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3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a\Desktop\Hackio\Proyecto excel\"/>
    </mc:Choice>
  </mc:AlternateContent>
  <xr:revisionPtr revIDLastSave="0" documentId="13_ncr:1_{DEF8F9E6-8EFC-4AA8-8B1E-9D6B83143C78}" xr6:coauthVersionLast="47" xr6:coauthVersionMax="47" xr10:uidLastSave="{00000000-0000-0000-0000-000000000000}"/>
  <bookViews>
    <workbookView xWindow="-120" yWindow="-120" windowWidth="29040" windowHeight="15720" activeTab="4" xr2:uid="{92B9B53C-5AB4-40D3-9561-DEE7CA739571}"/>
  </bookViews>
  <sheets>
    <sheet name="Sala" sheetId="1" r:id="rId1"/>
    <sheet name="Cocina" sheetId="2" r:id="rId2"/>
    <sheet name="Tablas" sheetId="3" r:id="rId3"/>
    <sheet name="Gráficos" sheetId="4" r:id="rId4"/>
    <sheet name="Informe" sheetId="5" r:id="rId5"/>
  </sheets>
  <definedNames>
    <definedName name="_xlcn.WorksheetConnection_Intento2.xlsxSala1" hidden="1">Sala[]</definedName>
  </definedNames>
  <calcPr calcId="191029"/>
  <pivotCaches>
    <pivotCache cacheId="138" r:id="rId6"/>
    <pivotCache cacheId="141" r:id="rId7"/>
    <pivotCache cacheId="147" r:id="rId8"/>
    <pivotCache cacheId="156" r:id="rId9"/>
    <pivotCache cacheId="159" r:id="rId10"/>
    <pivotCache cacheId="162" r:id="rId11"/>
    <pivotCache cacheId="168" r:id="rId12"/>
    <pivotCache cacheId="183" r:id="rId13"/>
    <pivotCache cacheId="199" r:id="rId1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a" name="Sala" connection="WorksheetConnection_Intento2.xlsx!Sal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1" i="5" l="1"/>
  <c r="E42" i="5"/>
  <c r="E43" i="5"/>
  <c r="E44" i="5"/>
  <c r="E45" i="5"/>
  <c r="E46" i="5"/>
  <c r="E40" i="5"/>
  <c r="D41" i="5"/>
  <c r="D42" i="5"/>
  <c r="D43" i="5"/>
  <c r="D44" i="5"/>
  <c r="D45" i="5"/>
  <c r="D46" i="5"/>
  <c r="D40" i="5"/>
  <c r="C41" i="5"/>
  <c r="F41" i="5" s="1"/>
  <c r="C42" i="5"/>
  <c r="F42" i="5" s="1"/>
  <c r="C43" i="5"/>
  <c r="F43" i="5" s="1"/>
  <c r="C44" i="5"/>
  <c r="F44" i="5" s="1"/>
  <c r="C45" i="5"/>
  <c r="F45" i="5" s="1"/>
  <c r="C46" i="5"/>
  <c r="F46" i="5" s="1"/>
  <c r="C40" i="5"/>
  <c r="F40" i="5" s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J26" i="5"/>
  <c r="J25" i="5"/>
  <c r="J24" i="5"/>
  <c r="J23" i="5"/>
  <c r="E14" i="5"/>
  <c r="E13" i="5"/>
  <c r="E12" i="5"/>
  <c r="E11" i="5"/>
  <c r="I26" i="5"/>
  <c r="I25" i="5"/>
  <c r="I24" i="5"/>
  <c r="I23" i="5"/>
  <c r="J14" i="5"/>
  <c r="I14" i="5"/>
  <c r="I13" i="5"/>
  <c r="I12" i="5"/>
  <c r="I11" i="5"/>
  <c r="K14" i="5" l="1"/>
  <c r="S2" i="1" l="1"/>
  <c r="C14" i="5"/>
  <c r="J11" i="5"/>
  <c r="F11" i="5"/>
  <c r="D13" i="5"/>
  <c r="G13" i="5"/>
  <c r="F12" i="5"/>
  <c r="H13" i="5"/>
  <c r="H12" i="5"/>
  <c r="D12" i="5"/>
  <c r="G12" i="5"/>
  <c r="D11" i="5"/>
  <c r="D14" i="5"/>
  <c r="C13" i="5"/>
  <c r="H11" i="5"/>
  <c r="G11" i="5"/>
  <c r="H14" i="5"/>
  <c r="J13" i="5"/>
  <c r="F14" i="5"/>
  <c r="C12" i="5"/>
  <c r="F13" i="5"/>
  <c r="C11" i="5"/>
  <c r="J12" i="5"/>
  <c r="K12" i="5" l="1"/>
  <c r="K13" i="5"/>
  <c r="K11" i="5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V36" i="3"/>
  <c r="V37" i="3"/>
  <c r="V42" i="3"/>
  <c r="V40" i="3"/>
  <c r="V34" i="3"/>
  <c r="V39" i="3"/>
  <c r="V32" i="3"/>
  <c r="V41" i="3"/>
  <c r="V33" i="3"/>
  <c r="V38" i="3"/>
  <c r="V35" i="3"/>
  <c r="G14" i="5" l="1"/>
  <c r="U2" i="1"/>
  <c r="V2" i="1" s="1"/>
  <c r="U3" i="1"/>
  <c r="V3" i="1" s="1"/>
  <c r="U4" i="1"/>
  <c r="V4" i="1" s="1"/>
  <c r="U5" i="1"/>
  <c r="V5" i="1" s="1"/>
  <c r="U6" i="1"/>
  <c r="V6" i="1" s="1"/>
  <c r="U7" i="1"/>
  <c r="V7" i="1" s="1"/>
  <c r="U8" i="1"/>
  <c r="V8" i="1" s="1"/>
  <c r="U9" i="1"/>
  <c r="V9" i="1" s="1"/>
  <c r="U10" i="1"/>
  <c r="V10" i="1" s="1"/>
  <c r="U11" i="1"/>
  <c r="V11" i="1" s="1"/>
  <c r="U12" i="1"/>
  <c r="V12" i="1" s="1"/>
  <c r="U13" i="1"/>
  <c r="V13" i="1" s="1"/>
  <c r="U14" i="1"/>
  <c r="V14" i="1" s="1"/>
  <c r="U15" i="1"/>
  <c r="V15" i="1" s="1"/>
  <c r="U16" i="1"/>
  <c r="V16" i="1" s="1"/>
  <c r="U17" i="1"/>
  <c r="V17" i="1" s="1"/>
  <c r="U18" i="1"/>
  <c r="V18" i="1" s="1"/>
  <c r="U19" i="1"/>
  <c r="V19" i="1" s="1"/>
  <c r="U20" i="1"/>
  <c r="V20" i="1" s="1"/>
  <c r="U21" i="1"/>
  <c r="V21" i="1" s="1"/>
  <c r="U22" i="1"/>
  <c r="V22" i="1" s="1"/>
  <c r="U23" i="1"/>
  <c r="V23" i="1" s="1"/>
  <c r="U24" i="1"/>
  <c r="V24" i="1" s="1"/>
  <c r="U25" i="1"/>
  <c r="V25" i="1" s="1"/>
  <c r="U26" i="1"/>
  <c r="V26" i="1" s="1"/>
  <c r="U27" i="1"/>
  <c r="V27" i="1" s="1"/>
  <c r="U28" i="1"/>
  <c r="V28" i="1" s="1"/>
  <c r="U29" i="1"/>
  <c r="V29" i="1" s="1"/>
  <c r="U30" i="1"/>
  <c r="V30" i="1" s="1"/>
  <c r="U31" i="1"/>
  <c r="V31" i="1" s="1"/>
  <c r="U32" i="1"/>
  <c r="V32" i="1" s="1"/>
  <c r="U33" i="1"/>
  <c r="V33" i="1" s="1"/>
  <c r="U34" i="1"/>
  <c r="V34" i="1" s="1"/>
  <c r="U35" i="1"/>
  <c r="V35" i="1" s="1"/>
  <c r="U36" i="1"/>
  <c r="V36" i="1" s="1"/>
  <c r="U37" i="1"/>
  <c r="V37" i="1" s="1"/>
  <c r="U38" i="1"/>
  <c r="V38" i="1" s="1"/>
  <c r="U39" i="1"/>
  <c r="V39" i="1" s="1"/>
  <c r="U40" i="1"/>
  <c r="V40" i="1" s="1"/>
  <c r="U41" i="1"/>
  <c r="V41" i="1" s="1"/>
  <c r="U42" i="1"/>
  <c r="V42" i="1" s="1"/>
  <c r="U43" i="1"/>
  <c r="V43" i="1" s="1"/>
  <c r="U44" i="1"/>
  <c r="V44" i="1" s="1"/>
  <c r="U45" i="1"/>
  <c r="V45" i="1" s="1"/>
  <c r="U46" i="1"/>
  <c r="V46" i="1" s="1"/>
  <c r="U47" i="1"/>
  <c r="V47" i="1" s="1"/>
  <c r="U48" i="1"/>
  <c r="V48" i="1" s="1"/>
  <c r="U49" i="1"/>
  <c r="V49" i="1" s="1"/>
  <c r="U50" i="1"/>
  <c r="V50" i="1" s="1"/>
  <c r="U51" i="1"/>
  <c r="V51" i="1" s="1"/>
  <c r="U52" i="1"/>
  <c r="V52" i="1" s="1"/>
  <c r="U53" i="1"/>
  <c r="V53" i="1" s="1"/>
  <c r="U54" i="1"/>
  <c r="V54" i="1" s="1"/>
  <c r="U55" i="1"/>
  <c r="V55" i="1" s="1"/>
  <c r="U56" i="1"/>
  <c r="V56" i="1" s="1"/>
  <c r="U57" i="1"/>
  <c r="V57" i="1" s="1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V83" i="1" s="1"/>
  <c r="U84" i="1"/>
  <c r="V84" i="1" s="1"/>
  <c r="U85" i="1"/>
  <c r="V85" i="1" s="1"/>
  <c r="U86" i="1"/>
  <c r="V86" i="1" s="1"/>
  <c r="U87" i="1"/>
  <c r="V87" i="1" s="1"/>
  <c r="U88" i="1"/>
  <c r="V88" i="1" s="1"/>
  <c r="U89" i="1"/>
  <c r="V89" i="1" s="1"/>
  <c r="U90" i="1"/>
  <c r="V90" i="1" s="1"/>
  <c r="U91" i="1"/>
  <c r="V91" i="1" s="1"/>
  <c r="U92" i="1"/>
  <c r="V92" i="1" s="1"/>
  <c r="U93" i="1"/>
  <c r="V93" i="1" s="1"/>
  <c r="U94" i="1"/>
  <c r="V94" i="1" s="1"/>
  <c r="U95" i="1"/>
  <c r="V95" i="1" s="1"/>
  <c r="U96" i="1"/>
  <c r="V96" i="1" s="1"/>
  <c r="U97" i="1"/>
  <c r="V97" i="1" s="1"/>
  <c r="U98" i="1"/>
  <c r="V98" i="1" s="1"/>
  <c r="U99" i="1"/>
  <c r="V99" i="1" s="1"/>
  <c r="U100" i="1"/>
  <c r="V100" i="1" s="1"/>
  <c r="U101" i="1"/>
  <c r="V101" i="1" s="1"/>
  <c r="U102" i="1"/>
  <c r="V102" i="1" s="1"/>
  <c r="U103" i="1"/>
  <c r="V103" i="1" s="1"/>
  <c r="U104" i="1"/>
  <c r="V104" i="1" s="1"/>
  <c r="U105" i="1"/>
  <c r="V105" i="1" s="1"/>
  <c r="U106" i="1"/>
  <c r="V106" i="1" s="1"/>
  <c r="U107" i="1"/>
  <c r="V107" i="1" s="1"/>
  <c r="U108" i="1"/>
  <c r="V108" i="1" s="1"/>
  <c r="U109" i="1"/>
  <c r="V109" i="1" s="1"/>
  <c r="U110" i="1"/>
  <c r="V110" i="1" s="1"/>
  <c r="U111" i="1"/>
  <c r="V111" i="1" s="1"/>
  <c r="U112" i="1"/>
  <c r="V112" i="1" s="1"/>
  <c r="U113" i="1"/>
  <c r="V113" i="1" s="1"/>
  <c r="U114" i="1"/>
  <c r="V114" i="1" s="1"/>
  <c r="U115" i="1"/>
  <c r="V115" i="1" s="1"/>
  <c r="U116" i="1"/>
  <c r="V116" i="1" s="1"/>
  <c r="U117" i="1"/>
  <c r="V117" i="1" s="1"/>
  <c r="U118" i="1"/>
  <c r="V118" i="1" s="1"/>
  <c r="U119" i="1"/>
  <c r="V119" i="1" s="1"/>
  <c r="U120" i="1"/>
  <c r="V120" i="1" s="1"/>
  <c r="U121" i="1"/>
  <c r="V121" i="1" s="1"/>
  <c r="U122" i="1"/>
  <c r="V122" i="1" s="1"/>
  <c r="U123" i="1"/>
  <c r="V123" i="1" s="1"/>
  <c r="U124" i="1"/>
  <c r="V124" i="1" s="1"/>
  <c r="U125" i="1"/>
  <c r="V125" i="1" s="1"/>
  <c r="U126" i="1"/>
  <c r="V126" i="1" s="1"/>
  <c r="U127" i="1"/>
  <c r="V127" i="1" s="1"/>
  <c r="U128" i="1"/>
  <c r="V128" i="1" s="1"/>
  <c r="U129" i="1"/>
  <c r="V129" i="1" s="1"/>
  <c r="U130" i="1"/>
  <c r="V130" i="1" s="1"/>
  <c r="U131" i="1"/>
  <c r="V131" i="1" s="1"/>
  <c r="U132" i="1"/>
  <c r="V132" i="1" s="1"/>
  <c r="U133" i="1"/>
  <c r="V133" i="1" s="1"/>
  <c r="U134" i="1"/>
  <c r="V134" i="1" s="1"/>
  <c r="U135" i="1"/>
  <c r="V135" i="1" s="1"/>
  <c r="U136" i="1"/>
  <c r="V136" i="1" s="1"/>
  <c r="U137" i="1"/>
  <c r="V137" i="1" s="1"/>
  <c r="U138" i="1"/>
  <c r="V138" i="1" s="1"/>
  <c r="U139" i="1"/>
  <c r="V139" i="1" s="1"/>
  <c r="U140" i="1"/>
  <c r="V140" i="1" s="1"/>
  <c r="U141" i="1"/>
  <c r="V141" i="1" s="1"/>
  <c r="U142" i="1"/>
  <c r="V142" i="1" s="1"/>
  <c r="U143" i="1"/>
  <c r="V143" i="1" s="1"/>
  <c r="U144" i="1"/>
  <c r="V144" i="1" s="1"/>
  <c r="U145" i="1"/>
  <c r="V145" i="1" s="1"/>
  <c r="U146" i="1"/>
  <c r="V146" i="1" s="1"/>
  <c r="U147" i="1"/>
  <c r="V147" i="1" s="1"/>
  <c r="U148" i="1"/>
  <c r="V148" i="1" s="1"/>
  <c r="U149" i="1"/>
  <c r="V149" i="1" s="1"/>
  <c r="U150" i="1"/>
  <c r="V150" i="1" s="1"/>
  <c r="U151" i="1"/>
  <c r="V151" i="1" s="1"/>
  <c r="U152" i="1"/>
  <c r="V152" i="1" s="1"/>
  <c r="U153" i="1"/>
  <c r="V153" i="1" s="1"/>
  <c r="U154" i="1"/>
  <c r="V154" i="1" s="1"/>
  <c r="U155" i="1"/>
  <c r="V155" i="1" s="1"/>
  <c r="U156" i="1"/>
  <c r="V156" i="1" s="1"/>
  <c r="U157" i="1"/>
  <c r="V157" i="1" s="1"/>
  <c r="U158" i="1"/>
  <c r="V158" i="1" s="1"/>
  <c r="U159" i="1"/>
  <c r="V159" i="1" s="1"/>
  <c r="U160" i="1"/>
  <c r="V160" i="1" s="1"/>
  <c r="U161" i="1"/>
  <c r="V161" i="1" s="1"/>
  <c r="U162" i="1"/>
  <c r="V162" i="1" s="1"/>
  <c r="U163" i="1"/>
  <c r="V163" i="1" s="1"/>
  <c r="U164" i="1"/>
  <c r="V164" i="1" s="1"/>
  <c r="U165" i="1"/>
  <c r="V165" i="1" s="1"/>
  <c r="U166" i="1"/>
  <c r="V166" i="1" s="1"/>
  <c r="U167" i="1"/>
  <c r="V167" i="1" s="1"/>
  <c r="U168" i="1"/>
  <c r="V168" i="1" s="1"/>
  <c r="U169" i="1"/>
  <c r="V169" i="1" s="1"/>
  <c r="U170" i="1"/>
  <c r="V170" i="1" s="1"/>
  <c r="U171" i="1"/>
  <c r="V171" i="1" s="1"/>
  <c r="U172" i="1"/>
  <c r="V172" i="1" s="1"/>
  <c r="U173" i="1"/>
  <c r="V173" i="1" s="1"/>
  <c r="U174" i="1"/>
  <c r="V174" i="1" s="1"/>
  <c r="U175" i="1"/>
  <c r="V175" i="1" s="1"/>
  <c r="U176" i="1"/>
  <c r="V176" i="1" s="1"/>
  <c r="U177" i="1"/>
  <c r="V177" i="1" s="1"/>
  <c r="U178" i="1"/>
  <c r="V178" i="1" s="1"/>
  <c r="U179" i="1"/>
  <c r="V179" i="1" s="1"/>
  <c r="U180" i="1"/>
  <c r="V180" i="1" s="1"/>
  <c r="U181" i="1"/>
  <c r="V181" i="1" s="1"/>
  <c r="U182" i="1"/>
  <c r="V182" i="1" s="1"/>
  <c r="U183" i="1"/>
  <c r="V183" i="1" s="1"/>
  <c r="U184" i="1"/>
  <c r="V184" i="1" s="1"/>
  <c r="U185" i="1"/>
  <c r="V185" i="1" s="1"/>
  <c r="U186" i="1"/>
  <c r="V186" i="1" s="1"/>
  <c r="U187" i="1"/>
  <c r="V187" i="1" s="1"/>
  <c r="U188" i="1"/>
  <c r="V188" i="1" s="1"/>
  <c r="U189" i="1"/>
  <c r="V189" i="1" s="1"/>
  <c r="U190" i="1"/>
  <c r="V190" i="1" s="1"/>
  <c r="U191" i="1"/>
  <c r="V191" i="1" s="1"/>
  <c r="U192" i="1"/>
  <c r="V192" i="1" s="1"/>
  <c r="U193" i="1"/>
  <c r="V193" i="1" s="1"/>
  <c r="U194" i="1"/>
  <c r="V194" i="1" s="1"/>
  <c r="U195" i="1"/>
  <c r="V195" i="1" s="1"/>
  <c r="U196" i="1"/>
  <c r="V196" i="1" s="1"/>
  <c r="U197" i="1"/>
  <c r="V197" i="1" s="1"/>
  <c r="U198" i="1"/>
  <c r="V198" i="1" s="1"/>
  <c r="U199" i="1"/>
  <c r="V199" i="1" s="1"/>
  <c r="U200" i="1"/>
  <c r="V200" i="1" s="1"/>
  <c r="U201" i="1"/>
  <c r="V201" i="1" s="1"/>
  <c r="U202" i="1"/>
  <c r="V202" i="1" s="1"/>
  <c r="U203" i="1"/>
  <c r="V203" i="1" s="1"/>
  <c r="U204" i="1"/>
  <c r="V204" i="1" s="1"/>
  <c r="U205" i="1"/>
  <c r="V205" i="1" s="1"/>
  <c r="U206" i="1"/>
  <c r="V206" i="1" s="1"/>
  <c r="U207" i="1"/>
  <c r="V207" i="1" s="1"/>
  <c r="U208" i="1"/>
  <c r="V208" i="1" s="1"/>
  <c r="U209" i="1"/>
  <c r="V209" i="1" s="1"/>
  <c r="U210" i="1"/>
  <c r="V210" i="1" s="1"/>
  <c r="U211" i="1"/>
  <c r="V211" i="1" s="1"/>
  <c r="U212" i="1"/>
  <c r="V212" i="1" s="1"/>
  <c r="U213" i="1"/>
  <c r="V213" i="1" s="1"/>
  <c r="U214" i="1"/>
  <c r="V214" i="1" s="1"/>
  <c r="U215" i="1"/>
  <c r="V215" i="1" s="1"/>
  <c r="U216" i="1"/>
  <c r="V216" i="1" s="1"/>
  <c r="U217" i="1"/>
  <c r="V217" i="1" s="1"/>
  <c r="U218" i="1"/>
  <c r="V218" i="1" s="1"/>
  <c r="U219" i="1"/>
  <c r="V219" i="1" s="1"/>
  <c r="U220" i="1"/>
  <c r="V220" i="1" s="1"/>
  <c r="U221" i="1"/>
  <c r="V221" i="1" s="1"/>
  <c r="U222" i="1"/>
  <c r="V222" i="1" s="1"/>
  <c r="U223" i="1"/>
  <c r="V223" i="1" s="1"/>
  <c r="U224" i="1"/>
  <c r="V224" i="1" s="1"/>
  <c r="U225" i="1"/>
  <c r="V225" i="1" s="1"/>
  <c r="U226" i="1"/>
  <c r="V226" i="1" s="1"/>
  <c r="U227" i="1"/>
  <c r="V227" i="1" s="1"/>
  <c r="U228" i="1"/>
  <c r="V228" i="1" s="1"/>
  <c r="U229" i="1"/>
  <c r="V229" i="1" s="1"/>
  <c r="U230" i="1"/>
  <c r="V230" i="1" s="1"/>
  <c r="U231" i="1"/>
  <c r="V231" i="1" s="1"/>
  <c r="U232" i="1"/>
  <c r="V232" i="1" s="1"/>
  <c r="U233" i="1"/>
  <c r="V233" i="1" s="1"/>
  <c r="U234" i="1"/>
  <c r="V234" i="1" s="1"/>
  <c r="U235" i="1"/>
  <c r="V235" i="1" s="1"/>
  <c r="U236" i="1"/>
  <c r="V236" i="1" s="1"/>
  <c r="U237" i="1"/>
  <c r="V237" i="1" s="1"/>
  <c r="U238" i="1"/>
  <c r="V238" i="1" s="1"/>
  <c r="U239" i="1"/>
  <c r="V239" i="1" s="1"/>
  <c r="U240" i="1"/>
  <c r="V240" i="1" s="1"/>
  <c r="U241" i="1"/>
  <c r="V241" i="1" s="1"/>
  <c r="U242" i="1"/>
  <c r="V242" i="1" s="1"/>
  <c r="U243" i="1"/>
  <c r="V243" i="1" s="1"/>
  <c r="U244" i="1"/>
  <c r="V244" i="1" s="1"/>
  <c r="U245" i="1"/>
  <c r="V245" i="1" s="1"/>
  <c r="U246" i="1"/>
  <c r="V246" i="1" s="1"/>
  <c r="U247" i="1"/>
  <c r="V247" i="1" s="1"/>
  <c r="U248" i="1"/>
  <c r="V248" i="1" s="1"/>
  <c r="U249" i="1"/>
  <c r="V249" i="1" s="1"/>
  <c r="U250" i="1"/>
  <c r="V250" i="1" s="1"/>
  <c r="U251" i="1"/>
  <c r="V251" i="1" s="1"/>
  <c r="U252" i="1"/>
  <c r="V252" i="1" s="1"/>
  <c r="U253" i="1"/>
  <c r="V253" i="1" s="1"/>
  <c r="U254" i="1"/>
  <c r="V254" i="1" s="1"/>
  <c r="U255" i="1"/>
  <c r="V255" i="1" s="1"/>
  <c r="U256" i="1"/>
  <c r="V256" i="1" s="1"/>
  <c r="U257" i="1"/>
  <c r="V257" i="1" s="1"/>
  <c r="U258" i="1"/>
  <c r="V258" i="1" s="1"/>
  <c r="U259" i="1"/>
  <c r="V259" i="1" s="1"/>
  <c r="U260" i="1"/>
  <c r="V260" i="1" s="1"/>
  <c r="U261" i="1"/>
  <c r="V261" i="1" s="1"/>
  <c r="U262" i="1"/>
  <c r="V262" i="1" s="1"/>
  <c r="U263" i="1"/>
  <c r="V263" i="1" s="1"/>
  <c r="U264" i="1"/>
  <c r="V264" i="1" s="1"/>
  <c r="U265" i="1"/>
  <c r="V265" i="1" s="1"/>
  <c r="U266" i="1"/>
  <c r="V266" i="1" s="1"/>
  <c r="U267" i="1"/>
  <c r="V267" i="1" s="1"/>
  <c r="U268" i="1"/>
  <c r="V268" i="1" s="1"/>
  <c r="U269" i="1"/>
  <c r="V269" i="1" s="1"/>
  <c r="U270" i="1"/>
  <c r="V270" i="1" s="1"/>
  <c r="U271" i="1"/>
  <c r="V271" i="1" s="1"/>
  <c r="U272" i="1"/>
  <c r="V272" i="1" s="1"/>
  <c r="U273" i="1"/>
  <c r="V273" i="1" s="1"/>
  <c r="U274" i="1"/>
  <c r="V274" i="1" s="1"/>
  <c r="U275" i="1"/>
  <c r="V275" i="1" s="1"/>
  <c r="U276" i="1"/>
  <c r="V276" i="1" s="1"/>
  <c r="U277" i="1"/>
  <c r="V277" i="1" s="1"/>
  <c r="U278" i="1"/>
  <c r="V278" i="1" s="1"/>
  <c r="U279" i="1"/>
  <c r="V279" i="1" s="1"/>
  <c r="U280" i="1"/>
  <c r="V280" i="1" s="1"/>
  <c r="U281" i="1"/>
  <c r="V281" i="1" s="1"/>
  <c r="U282" i="1"/>
  <c r="V282" i="1" s="1"/>
  <c r="U283" i="1"/>
  <c r="V283" i="1" s="1"/>
  <c r="U284" i="1"/>
  <c r="V284" i="1" s="1"/>
  <c r="U285" i="1"/>
  <c r="V285" i="1" s="1"/>
  <c r="U286" i="1"/>
  <c r="V286" i="1" s="1"/>
  <c r="U287" i="1"/>
  <c r="V287" i="1" s="1"/>
  <c r="U288" i="1"/>
  <c r="V288" i="1" s="1"/>
  <c r="U289" i="1"/>
  <c r="V289" i="1" s="1"/>
  <c r="U290" i="1"/>
  <c r="V290" i="1" s="1"/>
  <c r="U291" i="1"/>
  <c r="V291" i="1" s="1"/>
  <c r="U292" i="1"/>
  <c r="V292" i="1" s="1"/>
  <c r="U293" i="1"/>
  <c r="V293" i="1" s="1"/>
  <c r="U294" i="1"/>
  <c r="V294" i="1" s="1"/>
  <c r="U295" i="1"/>
  <c r="V295" i="1" s="1"/>
  <c r="U296" i="1"/>
  <c r="V296" i="1" s="1"/>
  <c r="U297" i="1"/>
  <c r="V297" i="1" s="1"/>
  <c r="U298" i="1"/>
  <c r="V298" i="1" s="1"/>
  <c r="U299" i="1"/>
  <c r="V299" i="1" s="1"/>
  <c r="U300" i="1"/>
  <c r="V300" i="1" s="1"/>
  <c r="U301" i="1"/>
  <c r="V301" i="1" s="1"/>
  <c r="U302" i="1"/>
  <c r="V302" i="1" s="1"/>
  <c r="U303" i="1"/>
  <c r="V303" i="1" s="1"/>
  <c r="U304" i="1"/>
  <c r="V304" i="1" s="1"/>
  <c r="U305" i="1"/>
  <c r="V305" i="1" s="1"/>
  <c r="U306" i="1"/>
  <c r="V306" i="1" s="1"/>
  <c r="U307" i="1"/>
  <c r="V307" i="1" s="1"/>
  <c r="U308" i="1"/>
  <c r="V308" i="1" s="1"/>
  <c r="U309" i="1"/>
  <c r="V309" i="1" s="1"/>
  <c r="U310" i="1"/>
  <c r="V310" i="1" s="1"/>
  <c r="U311" i="1"/>
  <c r="V311" i="1" s="1"/>
  <c r="U312" i="1"/>
  <c r="V312" i="1" s="1"/>
  <c r="U313" i="1"/>
  <c r="V313" i="1" s="1"/>
  <c r="U314" i="1"/>
  <c r="V314" i="1" s="1"/>
  <c r="U315" i="1"/>
  <c r="V315" i="1" s="1"/>
  <c r="U316" i="1"/>
  <c r="V316" i="1" s="1"/>
  <c r="U317" i="1"/>
  <c r="V317" i="1" s="1"/>
  <c r="U318" i="1"/>
  <c r="V318" i="1" s="1"/>
  <c r="U319" i="1"/>
  <c r="V319" i="1" s="1"/>
  <c r="U320" i="1"/>
  <c r="V320" i="1" s="1"/>
  <c r="U321" i="1"/>
  <c r="V321" i="1" s="1"/>
  <c r="U322" i="1"/>
  <c r="V322" i="1" s="1"/>
  <c r="U323" i="1"/>
  <c r="V323" i="1" s="1"/>
  <c r="U324" i="1"/>
  <c r="V324" i="1" s="1"/>
  <c r="U325" i="1"/>
  <c r="V325" i="1" s="1"/>
  <c r="U326" i="1"/>
  <c r="V326" i="1" s="1"/>
  <c r="U327" i="1"/>
  <c r="V327" i="1" s="1"/>
  <c r="U328" i="1"/>
  <c r="V328" i="1" s="1"/>
  <c r="U329" i="1"/>
  <c r="V329" i="1" s="1"/>
  <c r="U330" i="1"/>
  <c r="V330" i="1" s="1"/>
  <c r="U331" i="1"/>
  <c r="V331" i="1" s="1"/>
  <c r="U332" i="1"/>
  <c r="V332" i="1" s="1"/>
  <c r="U333" i="1"/>
  <c r="V333" i="1" s="1"/>
  <c r="U334" i="1"/>
  <c r="V334" i="1" s="1"/>
  <c r="U335" i="1"/>
  <c r="V335" i="1" s="1"/>
  <c r="U336" i="1"/>
  <c r="V336" i="1" s="1"/>
  <c r="U337" i="1"/>
  <c r="V337" i="1" s="1"/>
  <c r="U338" i="1"/>
  <c r="V338" i="1" s="1"/>
  <c r="U339" i="1"/>
  <c r="V339" i="1" s="1"/>
  <c r="U340" i="1"/>
  <c r="V340" i="1" s="1"/>
  <c r="U341" i="1"/>
  <c r="V341" i="1" s="1"/>
  <c r="U342" i="1"/>
  <c r="V342" i="1" s="1"/>
  <c r="U343" i="1"/>
  <c r="V343" i="1" s="1"/>
  <c r="U344" i="1"/>
  <c r="V344" i="1" s="1"/>
  <c r="U345" i="1"/>
  <c r="V345" i="1" s="1"/>
  <c r="U346" i="1"/>
  <c r="V346" i="1" s="1"/>
  <c r="U347" i="1"/>
  <c r="V347" i="1" s="1"/>
  <c r="U348" i="1"/>
  <c r="V348" i="1" s="1"/>
  <c r="U349" i="1"/>
  <c r="V349" i="1" s="1"/>
  <c r="U350" i="1"/>
  <c r="V350" i="1" s="1"/>
  <c r="U351" i="1"/>
  <c r="V351" i="1" s="1"/>
  <c r="U352" i="1"/>
  <c r="V352" i="1" s="1"/>
  <c r="U353" i="1"/>
  <c r="V353" i="1" s="1"/>
  <c r="U354" i="1"/>
  <c r="V354" i="1" s="1"/>
  <c r="U355" i="1"/>
  <c r="V355" i="1" s="1"/>
  <c r="U356" i="1"/>
  <c r="V356" i="1" s="1"/>
  <c r="U357" i="1"/>
  <c r="V357" i="1" s="1"/>
  <c r="U358" i="1"/>
  <c r="V358" i="1" s="1"/>
  <c r="U359" i="1"/>
  <c r="V359" i="1" s="1"/>
  <c r="U360" i="1"/>
  <c r="V360" i="1" s="1"/>
  <c r="U361" i="1"/>
  <c r="V361" i="1" s="1"/>
  <c r="U362" i="1"/>
  <c r="V362" i="1" s="1"/>
  <c r="U363" i="1"/>
  <c r="V363" i="1" s="1"/>
  <c r="U364" i="1"/>
  <c r="V364" i="1" s="1"/>
  <c r="U365" i="1"/>
  <c r="V365" i="1" s="1"/>
  <c r="U366" i="1"/>
  <c r="V366" i="1" s="1"/>
  <c r="U367" i="1"/>
  <c r="V367" i="1" s="1"/>
  <c r="U368" i="1"/>
  <c r="V368" i="1" s="1"/>
  <c r="U369" i="1"/>
  <c r="V369" i="1" s="1"/>
  <c r="U370" i="1"/>
  <c r="V370" i="1" s="1"/>
  <c r="U371" i="1"/>
  <c r="V371" i="1" s="1"/>
  <c r="U372" i="1"/>
  <c r="V372" i="1" s="1"/>
  <c r="U373" i="1"/>
  <c r="V373" i="1" s="1"/>
  <c r="U374" i="1"/>
  <c r="V374" i="1" s="1"/>
  <c r="U375" i="1"/>
  <c r="V375" i="1" s="1"/>
  <c r="U376" i="1"/>
  <c r="V376" i="1" s="1"/>
  <c r="U377" i="1"/>
  <c r="V377" i="1" s="1"/>
  <c r="U378" i="1"/>
  <c r="V378" i="1" s="1"/>
  <c r="U379" i="1"/>
  <c r="V379" i="1" s="1"/>
  <c r="U380" i="1"/>
  <c r="V380" i="1" s="1"/>
  <c r="U381" i="1"/>
  <c r="V381" i="1" s="1"/>
  <c r="U382" i="1"/>
  <c r="V382" i="1" s="1"/>
  <c r="U383" i="1"/>
  <c r="V383" i="1" s="1"/>
  <c r="U384" i="1"/>
  <c r="V384" i="1" s="1"/>
  <c r="U385" i="1"/>
  <c r="V385" i="1" s="1"/>
  <c r="U386" i="1"/>
  <c r="V386" i="1" s="1"/>
  <c r="U387" i="1"/>
  <c r="V387" i="1" s="1"/>
  <c r="U388" i="1"/>
  <c r="V388" i="1" s="1"/>
  <c r="U389" i="1"/>
  <c r="V389" i="1" s="1"/>
  <c r="U390" i="1"/>
  <c r="V390" i="1" s="1"/>
  <c r="U391" i="1"/>
  <c r="V391" i="1" s="1"/>
  <c r="U392" i="1"/>
  <c r="V392" i="1" s="1"/>
  <c r="U393" i="1"/>
  <c r="V393" i="1" s="1"/>
  <c r="U394" i="1"/>
  <c r="V394" i="1" s="1"/>
  <c r="U395" i="1"/>
  <c r="V395" i="1" s="1"/>
  <c r="U396" i="1"/>
  <c r="V396" i="1" s="1"/>
  <c r="U397" i="1"/>
  <c r="V397" i="1" s="1"/>
  <c r="U398" i="1"/>
  <c r="V398" i="1" s="1"/>
  <c r="U399" i="1"/>
  <c r="V399" i="1" s="1"/>
  <c r="U400" i="1"/>
  <c r="V400" i="1" s="1"/>
  <c r="U401" i="1"/>
  <c r="V401" i="1" s="1"/>
  <c r="U402" i="1"/>
  <c r="V402" i="1" s="1"/>
  <c r="U403" i="1"/>
  <c r="V403" i="1" s="1"/>
  <c r="U404" i="1"/>
  <c r="V404" i="1" s="1"/>
  <c r="U405" i="1"/>
  <c r="V405" i="1" s="1"/>
  <c r="U406" i="1"/>
  <c r="V406" i="1" s="1"/>
  <c r="U407" i="1"/>
  <c r="V407" i="1" s="1"/>
  <c r="U408" i="1"/>
  <c r="V408" i="1" s="1"/>
  <c r="U409" i="1"/>
  <c r="V409" i="1" s="1"/>
  <c r="U410" i="1"/>
  <c r="V410" i="1" s="1"/>
  <c r="U411" i="1"/>
  <c r="V411" i="1" s="1"/>
  <c r="U412" i="1"/>
  <c r="V412" i="1" s="1"/>
  <c r="U413" i="1"/>
  <c r="V413" i="1" s="1"/>
  <c r="U414" i="1"/>
  <c r="V414" i="1" s="1"/>
  <c r="U415" i="1"/>
  <c r="V415" i="1" s="1"/>
  <c r="U416" i="1"/>
  <c r="V416" i="1" s="1"/>
  <c r="U417" i="1"/>
  <c r="V417" i="1" s="1"/>
  <c r="U418" i="1"/>
  <c r="V418" i="1" s="1"/>
  <c r="U419" i="1"/>
  <c r="V419" i="1" s="1"/>
  <c r="U420" i="1"/>
  <c r="V420" i="1" s="1"/>
  <c r="U421" i="1"/>
  <c r="V421" i="1" s="1"/>
  <c r="U422" i="1"/>
  <c r="V422" i="1" s="1"/>
  <c r="U423" i="1"/>
  <c r="V423" i="1" s="1"/>
  <c r="U424" i="1"/>
  <c r="V424" i="1" s="1"/>
  <c r="U425" i="1"/>
  <c r="V425" i="1" s="1"/>
  <c r="U426" i="1"/>
  <c r="V426" i="1" s="1"/>
  <c r="U427" i="1"/>
  <c r="V427" i="1" s="1"/>
  <c r="U428" i="1"/>
  <c r="V428" i="1" s="1"/>
  <c r="U429" i="1"/>
  <c r="V429" i="1" s="1"/>
  <c r="U430" i="1"/>
  <c r="V430" i="1" s="1"/>
  <c r="U431" i="1"/>
  <c r="V431" i="1" s="1"/>
  <c r="U432" i="1"/>
  <c r="V432" i="1" s="1"/>
  <c r="U433" i="1"/>
  <c r="V433" i="1" s="1"/>
  <c r="U434" i="1"/>
  <c r="V434" i="1" s="1"/>
  <c r="U435" i="1"/>
  <c r="V435" i="1" s="1"/>
  <c r="U436" i="1"/>
  <c r="V436" i="1" s="1"/>
  <c r="U437" i="1"/>
  <c r="V437" i="1" s="1"/>
  <c r="U438" i="1"/>
  <c r="V438" i="1" s="1"/>
  <c r="U439" i="1"/>
  <c r="V439" i="1" s="1"/>
  <c r="U440" i="1"/>
  <c r="V440" i="1" s="1"/>
  <c r="U441" i="1"/>
  <c r="V441" i="1" s="1"/>
  <c r="U442" i="1"/>
  <c r="V442" i="1" s="1"/>
  <c r="U443" i="1"/>
  <c r="V443" i="1" s="1"/>
  <c r="U444" i="1"/>
  <c r="V444" i="1" s="1"/>
  <c r="U445" i="1"/>
  <c r="V445" i="1" s="1"/>
  <c r="U446" i="1"/>
  <c r="V446" i="1" s="1"/>
  <c r="U447" i="1"/>
  <c r="V447" i="1" s="1"/>
  <c r="U448" i="1"/>
  <c r="V448" i="1" s="1"/>
  <c r="U449" i="1"/>
  <c r="V449" i="1" s="1"/>
  <c r="U450" i="1"/>
  <c r="V450" i="1" s="1"/>
  <c r="U451" i="1"/>
  <c r="V451" i="1" s="1"/>
  <c r="U452" i="1"/>
  <c r="V452" i="1" s="1"/>
  <c r="U453" i="1"/>
  <c r="V453" i="1" s="1"/>
  <c r="U454" i="1"/>
  <c r="V454" i="1" s="1"/>
  <c r="U455" i="1"/>
  <c r="V455" i="1" s="1"/>
  <c r="U456" i="1"/>
  <c r="V456" i="1" s="1"/>
  <c r="U457" i="1"/>
  <c r="V457" i="1" s="1"/>
  <c r="U458" i="1"/>
  <c r="V458" i="1" s="1"/>
  <c r="U459" i="1"/>
  <c r="V459" i="1" s="1"/>
  <c r="U460" i="1"/>
  <c r="V460" i="1" s="1"/>
  <c r="U461" i="1"/>
  <c r="V461" i="1" s="1"/>
  <c r="U462" i="1"/>
  <c r="V462" i="1" s="1"/>
  <c r="U463" i="1"/>
  <c r="V463" i="1" s="1"/>
  <c r="U464" i="1"/>
  <c r="V464" i="1" s="1"/>
  <c r="U465" i="1"/>
  <c r="V465" i="1" s="1"/>
  <c r="U466" i="1"/>
  <c r="V466" i="1" s="1"/>
  <c r="U467" i="1"/>
  <c r="V467" i="1" s="1"/>
  <c r="U468" i="1"/>
  <c r="V468" i="1" s="1"/>
  <c r="U469" i="1"/>
  <c r="V469" i="1" s="1"/>
  <c r="U470" i="1"/>
  <c r="V470" i="1" s="1"/>
  <c r="U471" i="1"/>
  <c r="V471" i="1" s="1"/>
  <c r="U472" i="1"/>
  <c r="V472" i="1" s="1"/>
  <c r="U473" i="1"/>
  <c r="V473" i="1" s="1"/>
  <c r="U474" i="1"/>
  <c r="V474" i="1" s="1"/>
  <c r="U475" i="1"/>
  <c r="V475" i="1" s="1"/>
  <c r="U476" i="1"/>
  <c r="V476" i="1" s="1"/>
  <c r="U477" i="1"/>
  <c r="V477" i="1" s="1"/>
  <c r="U478" i="1"/>
  <c r="V478" i="1" s="1"/>
  <c r="U479" i="1"/>
  <c r="V479" i="1" s="1"/>
  <c r="U480" i="1"/>
  <c r="V480" i="1" s="1"/>
  <c r="U481" i="1"/>
  <c r="V481" i="1" s="1"/>
  <c r="U482" i="1"/>
  <c r="V482" i="1" s="1"/>
  <c r="U483" i="1"/>
  <c r="V483" i="1" s="1"/>
  <c r="U484" i="1"/>
  <c r="V484" i="1" s="1"/>
  <c r="U485" i="1"/>
  <c r="V485" i="1" s="1"/>
  <c r="U486" i="1"/>
  <c r="V486" i="1" s="1"/>
  <c r="U487" i="1"/>
  <c r="V487" i="1" s="1"/>
  <c r="U488" i="1"/>
  <c r="V488" i="1" s="1"/>
  <c r="U489" i="1"/>
  <c r="V489" i="1" s="1"/>
  <c r="U490" i="1"/>
  <c r="V490" i="1" s="1"/>
  <c r="U491" i="1"/>
  <c r="V491" i="1" s="1"/>
  <c r="U492" i="1"/>
  <c r="V492" i="1" s="1"/>
  <c r="U493" i="1"/>
  <c r="V493" i="1" s="1"/>
  <c r="U494" i="1"/>
  <c r="V494" i="1" s="1"/>
  <c r="U495" i="1"/>
  <c r="V495" i="1" s="1"/>
  <c r="U496" i="1"/>
  <c r="V496" i="1" s="1"/>
  <c r="U497" i="1"/>
  <c r="V497" i="1" s="1"/>
  <c r="U498" i="1"/>
  <c r="V498" i="1" s="1"/>
  <c r="U499" i="1"/>
  <c r="V499" i="1" s="1"/>
  <c r="U500" i="1"/>
  <c r="V500" i="1" s="1"/>
  <c r="U501" i="1"/>
  <c r="V501" i="1" s="1"/>
  <c r="U502" i="1"/>
  <c r="V502" i="1" s="1"/>
  <c r="U503" i="1"/>
  <c r="V503" i="1" s="1"/>
  <c r="U504" i="1"/>
  <c r="V504" i="1" s="1"/>
  <c r="U505" i="1"/>
  <c r="V505" i="1" s="1"/>
  <c r="U506" i="1"/>
  <c r="V506" i="1" s="1"/>
  <c r="U507" i="1"/>
  <c r="V507" i="1" s="1"/>
  <c r="U508" i="1"/>
  <c r="V508" i="1" s="1"/>
  <c r="U509" i="1"/>
  <c r="V509" i="1" s="1"/>
  <c r="U510" i="1"/>
  <c r="V510" i="1" s="1"/>
  <c r="U511" i="1"/>
  <c r="V511" i="1" s="1"/>
  <c r="U512" i="1"/>
  <c r="V512" i="1" s="1"/>
  <c r="U513" i="1"/>
  <c r="V513" i="1" s="1"/>
  <c r="U514" i="1"/>
  <c r="V514" i="1" s="1"/>
  <c r="U515" i="1"/>
  <c r="V515" i="1" s="1"/>
  <c r="U516" i="1"/>
  <c r="V516" i="1" s="1"/>
  <c r="U517" i="1"/>
  <c r="V517" i="1" s="1"/>
  <c r="U518" i="1"/>
  <c r="V518" i="1" s="1"/>
  <c r="U519" i="1"/>
  <c r="V519" i="1" s="1"/>
  <c r="U520" i="1"/>
  <c r="V520" i="1" s="1"/>
  <c r="U521" i="1"/>
  <c r="V521" i="1" s="1"/>
  <c r="U522" i="1"/>
  <c r="V522" i="1" s="1"/>
  <c r="U523" i="1"/>
  <c r="V523" i="1" s="1"/>
  <c r="U524" i="1"/>
  <c r="V524" i="1" s="1"/>
  <c r="U525" i="1"/>
  <c r="V525" i="1" s="1"/>
  <c r="U526" i="1"/>
  <c r="V526" i="1" s="1"/>
  <c r="U527" i="1"/>
  <c r="V527" i="1" s="1"/>
  <c r="U528" i="1"/>
  <c r="V528" i="1" s="1"/>
  <c r="U529" i="1"/>
  <c r="V529" i="1" s="1"/>
  <c r="U530" i="1"/>
  <c r="V530" i="1" s="1"/>
  <c r="U531" i="1"/>
  <c r="V531" i="1" s="1"/>
  <c r="U532" i="1"/>
  <c r="V532" i="1" s="1"/>
  <c r="U533" i="1"/>
  <c r="V533" i="1" s="1"/>
  <c r="U534" i="1"/>
  <c r="V534" i="1" s="1"/>
  <c r="U535" i="1"/>
  <c r="V535" i="1" s="1"/>
  <c r="U536" i="1"/>
  <c r="V536" i="1" s="1"/>
  <c r="U537" i="1"/>
  <c r="V537" i="1" s="1"/>
  <c r="U538" i="1"/>
  <c r="V538" i="1" s="1"/>
  <c r="U539" i="1"/>
  <c r="V539" i="1" s="1"/>
  <c r="U540" i="1"/>
  <c r="V540" i="1" s="1"/>
  <c r="U541" i="1"/>
  <c r="V541" i="1" s="1"/>
  <c r="U542" i="1"/>
  <c r="V542" i="1" s="1"/>
  <c r="U543" i="1"/>
  <c r="V543" i="1" s="1"/>
  <c r="U544" i="1"/>
  <c r="V544" i="1" s="1"/>
  <c r="U545" i="1"/>
  <c r="V545" i="1" s="1"/>
  <c r="U546" i="1"/>
  <c r="V546" i="1" s="1"/>
  <c r="U547" i="1"/>
  <c r="V547" i="1" s="1"/>
  <c r="U548" i="1"/>
  <c r="V548" i="1" s="1"/>
  <c r="U549" i="1"/>
  <c r="V549" i="1" s="1"/>
  <c r="U550" i="1"/>
  <c r="V550" i="1" s="1"/>
  <c r="U551" i="1"/>
  <c r="V551" i="1" s="1"/>
  <c r="U552" i="1"/>
  <c r="V552" i="1" s="1"/>
  <c r="U553" i="1"/>
  <c r="V553" i="1" s="1"/>
  <c r="U554" i="1"/>
  <c r="V554" i="1" s="1"/>
  <c r="U555" i="1"/>
  <c r="V555" i="1" s="1"/>
  <c r="U556" i="1"/>
  <c r="V556" i="1" s="1"/>
  <c r="U557" i="1"/>
  <c r="V557" i="1" s="1"/>
  <c r="U558" i="1"/>
  <c r="V558" i="1" s="1"/>
  <c r="U559" i="1"/>
  <c r="V559" i="1" s="1"/>
  <c r="U560" i="1"/>
  <c r="V560" i="1" s="1"/>
  <c r="U561" i="1"/>
  <c r="V561" i="1" s="1"/>
  <c r="U562" i="1"/>
  <c r="V562" i="1" s="1"/>
  <c r="U563" i="1"/>
  <c r="V563" i="1" s="1"/>
  <c r="U564" i="1"/>
  <c r="V564" i="1" s="1"/>
  <c r="U565" i="1"/>
  <c r="V565" i="1" s="1"/>
  <c r="U566" i="1"/>
  <c r="V566" i="1" s="1"/>
  <c r="U567" i="1"/>
  <c r="V567" i="1" s="1"/>
  <c r="U568" i="1"/>
  <c r="V568" i="1" s="1"/>
  <c r="U569" i="1"/>
  <c r="V569" i="1" s="1"/>
  <c r="U570" i="1"/>
  <c r="V570" i="1" s="1"/>
  <c r="U571" i="1"/>
  <c r="V571" i="1" s="1"/>
  <c r="U572" i="1"/>
  <c r="V572" i="1" s="1"/>
  <c r="U573" i="1"/>
  <c r="V573" i="1" s="1"/>
  <c r="U574" i="1"/>
  <c r="V574" i="1" s="1"/>
  <c r="U575" i="1"/>
  <c r="V575" i="1" s="1"/>
  <c r="U576" i="1"/>
  <c r="V576" i="1" s="1"/>
  <c r="U577" i="1"/>
  <c r="V577" i="1" s="1"/>
  <c r="U578" i="1"/>
  <c r="V578" i="1" s="1"/>
  <c r="U579" i="1"/>
  <c r="V579" i="1" s="1"/>
  <c r="U580" i="1"/>
  <c r="V580" i="1" s="1"/>
  <c r="U581" i="1"/>
  <c r="V581" i="1" s="1"/>
  <c r="U582" i="1"/>
  <c r="V582" i="1" s="1"/>
  <c r="U583" i="1"/>
  <c r="V583" i="1" s="1"/>
  <c r="U584" i="1"/>
  <c r="V584" i="1" s="1"/>
  <c r="U585" i="1"/>
  <c r="V585" i="1" s="1"/>
  <c r="U586" i="1"/>
  <c r="V586" i="1" s="1"/>
  <c r="U587" i="1"/>
  <c r="V587" i="1" s="1"/>
  <c r="U588" i="1"/>
  <c r="V588" i="1" s="1"/>
  <c r="U589" i="1"/>
  <c r="V589" i="1" s="1"/>
  <c r="U590" i="1"/>
  <c r="V590" i="1" s="1"/>
  <c r="U591" i="1"/>
  <c r="V591" i="1" s="1"/>
  <c r="U592" i="1"/>
  <c r="V592" i="1" s="1"/>
  <c r="U593" i="1"/>
  <c r="V593" i="1" s="1"/>
  <c r="U594" i="1"/>
  <c r="V594" i="1" s="1"/>
  <c r="U595" i="1"/>
  <c r="V595" i="1" s="1"/>
  <c r="U596" i="1"/>
  <c r="V596" i="1" s="1"/>
  <c r="U597" i="1"/>
  <c r="V597" i="1" s="1"/>
  <c r="U598" i="1"/>
  <c r="V598" i="1" s="1"/>
  <c r="U599" i="1"/>
  <c r="V599" i="1" s="1"/>
  <c r="U600" i="1"/>
  <c r="V600" i="1" s="1"/>
  <c r="U601" i="1"/>
  <c r="V601" i="1" s="1"/>
  <c r="U602" i="1"/>
  <c r="V602" i="1" s="1"/>
  <c r="U603" i="1"/>
  <c r="V603" i="1" s="1"/>
  <c r="U604" i="1"/>
  <c r="V604" i="1" s="1"/>
  <c r="U605" i="1"/>
  <c r="V605" i="1" s="1"/>
  <c r="U606" i="1"/>
  <c r="V606" i="1" s="1"/>
  <c r="U607" i="1"/>
  <c r="V607" i="1" s="1"/>
  <c r="U608" i="1"/>
  <c r="V608" i="1" s="1"/>
  <c r="U609" i="1"/>
  <c r="V609" i="1" s="1"/>
  <c r="U610" i="1"/>
  <c r="V610" i="1" s="1"/>
  <c r="U611" i="1"/>
  <c r="V611" i="1" s="1"/>
  <c r="U612" i="1"/>
  <c r="V612" i="1" s="1"/>
  <c r="U613" i="1"/>
  <c r="V613" i="1" s="1"/>
  <c r="U614" i="1"/>
  <c r="V614" i="1" s="1"/>
  <c r="U615" i="1"/>
  <c r="V615" i="1" s="1"/>
  <c r="U616" i="1"/>
  <c r="V616" i="1" s="1"/>
  <c r="U617" i="1"/>
  <c r="V617" i="1" s="1"/>
  <c r="U618" i="1"/>
  <c r="V618" i="1" s="1"/>
  <c r="U619" i="1"/>
  <c r="V619" i="1" s="1"/>
  <c r="U620" i="1"/>
  <c r="V620" i="1" s="1"/>
  <c r="U621" i="1"/>
  <c r="V621" i="1" s="1"/>
  <c r="U622" i="1"/>
  <c r="V622" i="1" s="1"/>
  <c r="U623" i="1"/>
  <c r="V623" i="1" s="1"/>
  <c r="U624" i="1"/>
  <c r="V624" i="1" s="1"/>
  <c r="U625" i="1"/>
  <c r="V625" i="1" s="1"/>
  <c r="U626" i="1"/>
  <c r="V626" i="1" s="1"/>
  <c r="U627" i="1"/>
  <c r="V627" i="1" s="1"/>
  <c r="U628" i="1"/>
  <c r="V628" i="1" s="1"/>
  <c r="U629" i="1"/>
  <c r="V629" i="1" s="1"/>
  <c r="U630" i="1"/>
  <c r="V630" i="1" s="1"/>
  <c r="U631" i="1"/>
  <c r="V631" i="1" s="1"/>
  <c r="U632" i="1"/>
  <c r="V632" i="1" s="1"/>
  <c r="U633" i="1"/>
  <c r="V633" i="1" s="1"/>
  <c r="U634" i="1"/>
  <c r="V634" i="1" s="1"/>
  <c r="U635" i="1"/>
  <c r="V635" i="1" s="1"/>
  <c r="U636" i="1"/>
  <c r="V636" i="1" s="1"/>
  <c r="U637" i="1"/>
  <c r="V637" i="1" s="1"/>
  <c r="U638" i="1"/>
  <c r="V638" i="1" s="1"/>
  <c r="U639" i="1"/>
  <c r="V639" i="1" s="1"/>
  <c r="U640" i="1"/>
  <c r="V640" i="1" s="1"/>
  <c r="U641" i="1"/>
  <c r="V641" i="1" s="1"/>
  <c r="U642" i="1"/>
  <c r="V642" i="1" s="1"/>
  <c r="U643" i="1"/>
  <c r="V643" i="1" s="1"/>
  <c r="U644" i="1"/>
  <c r="V644" i="1" s="1"/>
  <c r="U645" i="1"/>
  <c r="V645" i="1" s="1"/>
  <c r="U646" i="1"/>
  <c r="V646" i="1" s="1"/>
  <c r="U647" i="1"/>
  <c r="V647" i="1" s="1"/>
  <c r="U648" i="1"/>
  <c r="V648" i="1" s="1"/>
  <c r="U649" i="1"/>
  <c r="V649" i="1" s="1"/>
  <c r="U650" i="1"/>
  <c r="V650" i="1" s="1"/>
  <c r="U651" i="1"/>
  <c r="V651" i="1" s="1"/>
  <c r="U652" i="1"/>
  <c r="V652" i="1" s="1"/>
  <c r="U653" i="1"/>
  <c r="V653" i="1" s="1"/>
  <c r="U654" i="1"/>
  <c r="V654" i="1" s="1"/>
  <c r="U655" i="1"/>
  <c r="V655" i="1" s="1"/>
  <c r="U656" i="1"/>
  <c r="V656" i="1" s="1"/>
  <c r="U657" i="1"/>
  <c r="V657" i="1" s="1"/>
  <c r="U658" i="1"/>
  <c r="V658" i="1" s="1"/>
  <c r="U659" i="1"/>
  <c r="V659" i="1" s="1"/>
  <c r="U660" i="1"/>
  <c r="V660" i="1" s="1"/>
  <c r="U661" i="1"/>
  <c r="V661" i="1" s="1"/>
  <c r="U662" i="1"/>
  <c r="V662" i="1" s="1"/>
  <c r="U663" i="1"/>
  <c r="V663" i="1" s="1"/>
  <c r="U664" i="1"/>
  <c r="V664" i="1" s="1"/>
  <c r="U665" i="1"/>
  <c r="V665" i="1" s="1"/>
  <c r="U666" i="1"/>
  <c r="V666" i="1" s="1"/>
  <c r="U667" i="1"/>
  <c r="V667" i="1" s="1"/>
  <c r="U668" i="1"/>
  <c r="V668" i="1" s="1"/>
  <c r="U669" i="1"/>
  <c r="V669" i="1" s="1"/>
  <c r="U670" i="1"/>
  <c r="V670" i="1" s="1"/>
  <c r="U671" i="1"/>
  <c r="V671" i="1" s="1"/>
  <c r="U672" i="1"/>
  <c r="V672" i="1" s="1"/>
  <c r="U673" i="1"/>
  <c r="V673" i="1" s="1"/>
  <c r="U674" i="1"/>
  <c r="V674" i="1" s="1"/>
  <c r="U675" i="1"/>
  <c r="V675" i="1" s="1"/>
  <c r="U676" i="1"/>
  <c r="V676" i="1" s="1"/>
  <c r="U677" i="1"/>
  <c r="V677" i="1" s="1"/>
  <c r="U678" i="1"/>
  <c r="V678" i="1" s="1"/>
  <c r="U679" i="1"/>
  <c r="V679" i="1" s="1"/>
  <c r="U680" i="1"/>
  <c r="V680" i="1" s="1"/>
  <c r="U681" i="1"/>
  <c r="V681" i="1" s="1"/>
  <c r="U682" i="1"/>
  <c r="V682" i="1" s="1"/>
  <c r="U683" i="1"/>
  <c r="V683" i="1" s="1"/>
  <c r="U684" i="1"/>
  <c r="V684" i="1" s="1"/>
  <c r="U685" i="1"/>
  <c r="V685" i="1" s="1"/>
  <c r="U686" i="1"/>
  <c r="V686" i="1" s="1"/>
  <c r="U687" i="1"/>
  <c r="V687" i="1" s="1"/>
  <c r="U688" i="1"/>
  <c r="V688" i="1" s="1"/>
  <c r="U689" i="1"/>
  <c r="V689" i="1" s="1"/>
  <c r="U690" i="1"/>
  <c r="V690" i="1" s="1"/>
  <c r="U691" i="1"/>
  <c r="V691" i="1" s="1"/>
  <c r="U692" i="1"/>
  <c r="V692" i="1" s="1"/>
  <c r="U693" i="1"/>
  <c r="V693" i="1" s="1"/>
  <c r="U694" i="1"/>
  <c r="V694" i="1" s="1"/>
  <c r="U695" i="1"/>
  <c r="V695" i="1" s="1"/>
  <c r="U696" i="1"/>
  <c r="V696" i="1" s="1"/>
  <c r="U697" i="1"/>
  <c r="V697" i="1" s="1"/>
  <c r="U698" i="1"/>
  <c r="V698" i="1" s="1"/>
  <c r="U699" i="1"/>
  <c r="V699" i="1" s="1"/>
  <c r="U700" i="1"/>
  <c r="V700" i="1" s="1"/>
  <c r="U701" i="1"/>
  <c r="V701" i="1" s="1"/>
  <c r="U702" i="1"/>
  <c r="V702" i="1" s="1"/>
  <c r="U703" i="1"/>
  <c r="V703" i="1" s="1"/>
  <c r="U704" i="1"/>
  <c r="V704" i="1" s="1"/>
  <c r="U705" i="1"/>
  <c r="V705" i="1" s="1"/>
  <c r="U706" i="1"/>
  <c r="V706" i="1" s="1"/>
  <c r="U707" i="1"/>
  <c r="V707" i="1" s="1"/>
  <c r="U708" i="1"/>
  <c r="V708" i="1" s="1"/>
  <c r="U709" i="1"/>
  <c r="V709" i="1" s="1"/>
  <c r="U710" i="1"/>
  <c r="V710" i="1" s="1"/>
  <c r="U711" i="1"/>
  <c r="V711" i="1" s="1"/>
  <c r="U712" i="1"/>
  <c r="V712" i="1" s="1"/>
  <c r="U713" i="1"/>
  <c r="V713" i="1" s="1"/>
  <c r="U714" i="1"/>
  <c r="V714" i="1" s="1"/>
  <c r="U715" i="1"/>
  <c r="V715" i="1" s="1"/>
  <c r="U716" i="1"/>
  <c r="V716" i="1" s="1"/>
  <c r="U717" i="1"/>
  <c r="V717" i="1" s="1"/>
  <c r="U718" i="1"/>
  <c r="V718" i="1" s="1"/>
  <c r="U719" i="1"/>
  <c r="V719" i="1" s="1"/>
  <c r="U720" i="1"/>
  <c r="V720" i="1" s="1"/>
  <c r="U721" i="1"/>
  <c r="V721" i="1" s="1"/>
  <c r="U722" i="1"/>
  <c r="V722" i="1" s="1"/>
  <c r="U723" i="1"/>
  <c r="V723" i="1" s="1"/>
  <c r="U724" i="1"/>
  <c r="V724" i="1" s="1"/>
  <c r="U725" i="1"/>
  <c r="V725" i="1" s="1"/>
  <c r="U726" i="1"/>
  <c r="V726" i="1" s="1"/>
  <c r="U727" i="1"/>
  <c r="V727" i="1" s="1"/>
  <c r="U728" i="1"/>
  <c r="V728" i="1" s="1"/>
  <c r="U729" i="1"/>
  <c r="V729" i="1" s="1"/>
  <c r="U730" i="1"/>
  <c r="V730" i="1" s="1"/>
  <c r="U731" i="1"/>
  <c r="V731" i="1" s="1"/>
  <c r="U732" i="1"/>
  <c r="V732" i="1" s="1"/>
  <c r="U733" i="1"/>
  <c r="V733" i="1" s="1"/>
  <c r="U734" i="1"/>
  <c r="V734" i="1" s="1"/>
  <c r="U735" i="1"/>
  <c r="V735" i="1" s="1"/>
  <c r="U736" i="1"/>
  <c r="V736" i="1" s="1"/>
  <c r="U737" i="1"/>
  <c r="V737" i="1" s="1"/>
  <c r="U738" i="1"/>
  <c r="V738" i="1" s="1"/>
  <c r="U739" i="1"/>
  <c r="V739" i="1" s="1"/>
  <c r="U740" i="1"/>
  <c r="V740" i="1" s="1"/>
  <c r="U741" i="1"/>
  <c r="V741" i="1" s="1"/>
  <c r="U742" i="1"/>
  <c r="V742" i="1" s="1"/>
  <c r="U743" i="1"/>
  <c r="V743" i="1" s="1"/>
  <c r="U744" i="1"/>
  <c r="V744" i="1" s="1"/>
  <c r="U745" i="1"/>
  <c r="V745" i="1" s="1"/>
  <c r="U746" i="1"/>
  <c r="V746" i="1" s="1"/>
  <c r="U747" i="1"/>
  <c r="V747" i="1" s="1"/>
  <c r="U748" i="1"/>
  <c r="V748" i="1" s="1"/>
  <c r="U749" i="1"/>
  <c r="V749" i="1" s="1"/>
  <c r="U750" i="1"/>
  <c r="V750" i="1" s="1"/>
  <c r="U751" i="1"/>
  <c r="V751" i="1" s="1"/>
  <c r="U752" i="1"/>
  <c r="V752" i="1" s="1"/>
  <c r="U753" i="1"/>
  <c r="V753" i="1" s="1"/>
  <c r="U754" i="1"/>
  <c r="V754" i="1" s="1"/>
  <c r="U755" i="1"/>
  <c r="V755" i="1" s="1"/>
  <c r="U756" i="1"/>
  <c r="V756" i="1" s="1"/>
  <c r="U757" i="1"/>
  <c r="V757" i="1" s="1"/>
  <c r="U758" i="1"/>
  <c r="V758" i="1" s="1"/>
  <c r="U759" i="1"/>
  <c r="V759" i="1" s="1"/>
  <c r="U760" i="1"/>
  <c r="V760" i="1" s="1"/>
  <c r="U761" i="1"/>
  <c r="V761" i="1" s="1"/>
  <c r="U762" i="1"/>
  <c r="V762" i="1" s="1"/>
  <c r="U763" i="1"/>
  <c r="V763" i="1" s="1"/>
  <c r="U764" i="1"/>
  <c r="V764" i="1" s="1"/>
  <c r="U765" i="1"/>
  <c r="V765" i="1" s="1"/>
  <c r="U766" i="1"/>
  <c r="V766" i="1" s="1"/>
  <c r="U767" i="1"/>
  <c r="V767" i="1" s="1"/>
  <c r="U768" i="1"/>
  <c r="V768" i="1" s="1"/>
  <c r="Q2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O2" i="1"/>
  <c r="R2" i="1" s="1"/>
  <c r="W2" i="1" s="1"/>
  <c r="O3" i="1"/>
  <c r="R3" i="1" s="1"/>
  <c r="W3" i="1" s="1"/>
  <c r="O4" i="1"/>
  <c r="O5" i="1"/>
  <c r="R5" i="1" s="1"/>
  <c r="W5" i="1" s="1"/>
  <c r="O6" i="1"/>
  <c r="O7" i="1"/>
  <c r="O8" i="1"/>
  <c r="R8" i="1" s="1"/>
  <c r="W8" i="1" s="1"/>
  <c r="O9" i="1"/>
  <c r="O10" i="1"/>
  <c r="R10" i="1" s="1"/>
  <c r="W10" i="1" s="1"/>
  <c r="O11" i="1"/>
  <c r="R11" i="1" s="1"/>
  <c r="W11" i="1" s="1"/>
  <c r="O12" i="1"/>
  <c r="R12" i="1" s="1"/>
  <c r="W12" i="1" s="1"/>
  <c r="O13" i="1"/>
  <c r="R13" i="1" s="1"/>
  <c r="W13" i="1" s="1"/>
  <c r="O14" i="1"/>
  <c r="O15" i="1"/>
  <c r="O16" i="1"/>
  <c r="R16" i="1" s="1"/>
  <c r="W16" i="1" s="1"/>
  <c r="O17" i="1"/>
  <c r="O18" i="1"/>
  <c r="R18" i="1" s="1"/>
  <c r="W18" i="1" s="1"/>
  <c r="O19" i="1"/>
  <c r="R19" i="1" s="1"/>
  <c r="W19" i="1" s="1"/>
  <c r="O20" i="1"/>
  <c r="R20" i="1" s="1"/>
  <c r="W20" i="1" s="1"/>
  <c r="O21" i="1"/>
  <c r="R21" i="1" s="1"/>
  <c r="W21" i="1" s="1"/>
  <c r="O22" i="1"/>
  <c r="O23" i="1"/>
  <c r="O24" i="1"/>
  <c r="R24" i="1" s="1"/>
  <c r="W24" i="1" s="1"/>
  <c r="O25" i="1"/>
  <c r="O26" i="1"/>
  <c r="R26" i="1" s="1"/>
  <c r="W26" i="1" s="1"/>
  <c r="O27" i="1"/>
  <c r="R27" i="1" s="1"/>
  <c r="W27" i="1" s="1"/>
  <c r="O28" i="1"/>
  <c r="R28" i="1" s="1"/>
  <c r="W28" i="1" s="1"/>
  <c r="O29" i="1"/>
  <c r="R29" i="1" s="1"/>
  <c r="W29" i="1" s="1"/>
  <c r="O30" i="1"/>
  <c r="O31" i="1"/>
  <c r="O32" i="1"/>
  <c r="R32" i="1" s="1"/>
  <c r="W32" i="1" s="1"/>
  <c r="O33" i="1"/>
  <c r="O34" i="1"/>
  <c r="R34" i="1" s="1"/>
  <c r="W34" i="1" s="1"/>
  <c r="O35" i="1"/>
  <c r="R35" i="1" s="1"/>
  <c r="W35" i="1" s="1"/>
  <c r="O36" i="1"/>
  <c r="R36" i="1" s="1"/>
  <c r="W36" i="1" s="1"/>
  <c r="O37" i="1"/>
  <c r="R37" i="1" s="1"/>
  <c r="W37" i="1" s="1"/>
  <c r="O38" i="1"/>
  <c r="O39" i="1"/>
  <c r="O40" i="1"/>
  <c r="R40" i="1" s="1"/>
  <c r="W40" i="1" s="1"/>
  <c r="O41" i="1"/>
  <c r="O42" i="1"/>
  <c r="R42" i="1" s="1"/>
  <c r="W42" i="1" s="1"/>
  <c r="O43" i="1"/>
  <c r="R43" i="1" s="1"/>
  <c r="W43" i="1" s="1"/>
  <c r="O44" i="1"/>
  <c r="R44" i="1" s="1"/>
  <c r="W44" i="1" s="1"/>
  <c r="O45" i="1"/>
  <c r="R45" i="1" s="1"/>
  <c r="W45" i="1" s="1"/>
  <c r="O46" i="1"/>
  <c r="O47" i="1"/>
  <c r="O48" i="1"/>
  <c r="R48" i="1" s="1"/>
  <c r="W48" i="1" s="1"/>
  <c r="O49" i="1"/>
  <c r="O50" i="1"/>
  <c r="R50" i="1" s="1"/>
  <c r="W50" i="1" s="1"/>
  <c r="O51" i="1"/>
  <c r="R51" i="1" s="1"/>
  <c r="W51" i="1" s="1"/>
  <c r="O52" i="1"/>
  <c r="R52" i="1" s="1"/>
  <c r="W52" i="1" s="1"/>
  <c r="O53" i="1"/>
  <c r="R53" i="1" s="1"/>
  <c r="W53" i="1" s="1"/>
  <c r="O54" i="1"/>
  <c r="O55" i="1"/>
  <c r="O56" i="1"/>
  <c r="R56" i="1" s="1"/>
  <c r="W56" i="1" s="1"/>
  <c r="O57" i="1"/>
  <c r="O58" i="1"/>
  <c r="R58" i="1" s="1"/>
  <c r="W58" i="1" s="1"/>
  <c r="O59" i="1"/>
  <c r="R59" i="1" s="1"/>
  <c r="W59" i="1" s="1"/>
  <c r="O60" i="1"/>
  <c r="R60" i="1" s="1"/>
  <c r="W60" i="1" s="1"/>
  <c r="O61" i="1"/>
  <c r="R61" i="1" s="1"/>
  <c r="W61" i="1" s="1"/>
  <c r="O62" i="1"/>
  <c r="O63" i="1"/>
  <c r="O64" i="1"/>
  <c r="R64" i="1" s="1"/>
  <c r="W64" i="1" s="1"/>
  <c r="O65" i="1"/>
  <c r="O66" i="1"/>
  <c r="R66" i="1" s="1"/>
  <c r="W66" i="1" s="1"/>
  <c r="O67" i="1"/>
  <c r="R67" i="1" s="1"/>
  <c r="W67" i="1" s="1"/>
  <c r="O68" i="1"/>
  <c r="R68" i="1" s="1"/>
  <c r="W68" i="1" s="1"/>
  <c r="O69" i="1"/>
  <c r="R69" i="1" s="1"/>
  <c r="W69" i="1" s="1"/>
  <c r="O70" i="1"/>
  <c r="O71" i="1"/>
  <c r="O72" i="1"/>
  <c r="R72" i="1" s="1"/>
  <c r="W72" i="1" s="1"/>
  <c r="O73" i="1"/>
  <c r="O74" i="1"/>
  <c r="R74" i="1" s="1"/>
  <c r="W74" i="1" s="1"/>
  <c r="O75" i="1"/>
  <c r="R75" i="1" s="1"/>
  <c r="W75" i="1" s="1"/>
  <c r="O76" i="1"/>
  <c r="R76" i="1" s="1"/>
  <c r="W76" i="1" s="1"/>
  <c r="O77" i="1"/>
  <c r="R77" i="1" s="1"/>
  <c r="W77" i="1" s="1"/>
  <c r="O78" i="1"/>
  <c r="O79" i="1"/>
  <c r="O80" i="1"/>
  <c r="R80" i="1" s="1"/>
  <c r="W80" i="1" s="1"/>
  <c r="O81" i="1"/>
  <c r="O82" i="1"/>
  <c r="R82" i="1" s="1"/>
  <c r="W82" i="1" s="1"/>
  <c r="O83" i="1"/>
  <c r="R83" i="1" s="1"/>
  <c r="W83" i="1" s="1"/>
  <c r="O84" i="1"/>
  <c r="R84" i="1" s="1"/>
  <c r="W84" i="1" s="1"/>
  <c r="O85" i="1"/>
  <c r="R85" i="1" s="1"/>
  <c r="W85" i="1" s="1"/>
  <c r="O86" i="1"/>
  <c r="O87" i="1"/>
  <c r="O88" i="1"/>
  <c r="R88" i="1" s="1"/>
  <c r="W88" i="1" s="1"/>
  <c r="O89" i="1"/>
  <c r="O90" i="1"/>
  <c r="R90" i="1" s="1"/>
  <c r="W90" i="1" s="1"/>
  <c r="O91" i="1"/>
  <c r="R91" i="1" s="1"/>
  <c r="W91" i="1" s="1"/>
  <c r="O92" i="1"/>
  <c r="R92" i="1" s="1"/>
  <c r="W92" i="1" s="1"/>
  <c r="O93" i="1"/>
  <c r="R93" i="1" s="1"/>
  <c r="W93" i="1" s="1"/>
  <c r="O94" i="1"/>
  <c r="O95" i="1"/>
  <c r="O96" i="1"/>
  <c r="R96" i="1" s="1"/>
  <c r="W96" i="1" s="1"/>
  <c r="O97" i="1"/>
  <c r="O98" i="1"/>
  <c r="R98" i="1" s="1"/>
  <c r="W98" i="1" s="1"/>
  <c r="O99" i="1"/>
  <c r="R99" i="1" s="1"/>
  <c r="W99" i="1" s="1"/>
  <c r="O100" i="1"/>
  <c r="R100" i="1" s="1"/>
  <c r="W100" i="1" s="1"/>
  <c r="O101" i="1"/>
  <c r="R101" i="1" s="1"/>
  <c r="W101" i="1" s="1"/>
  <c r="O102" i="1"/>
  <c r="O103" i="1"/>
  <c r="O104" i="1"/>
  <c r="R104" i="1" s="1"/>
  <c r="W104" i="1" s="1"/>
  <c r="O105" i="1"/>
  <c r="O106" i="1"/>
  <c r="R106" i="1" s="1"/>
  <c r="W106" i="1" s="1"/>
  <c r="O107" i="1"/>
  <c r="R107" i="1" s="1"/>
  <c r="W107" i="1" s="1"/>
  <c r="O108" i="1"/>
  <c r="R108" i="1" s="1"/>
  <c r="W108" i="1" s="1"/>
  <c r="O109" i="1"/>
  <c r="R109" i="1" s="1"/>
  <c r="W109" i="1" s="1"/>
  <c r="O110" i="1"/>
  <c r="O111" i="1"/>
  <c r="O112" i="1"/>
  <c r="R112" i="1" s="1"/>
  <c r="W112" i="1" s="1"/>
  <c r="O113" i="1"/>
  <c r="O114" i="1"/>
  <c r="R114" i="1" s="1"/>
  <c r="W114" i="1" s="1"/>
  <c r="O115" i="1"/>
  <c r="R115" i="1" s="1"/>
  <c r="W115" i="1" s="1"/>
  <c r="O116" i="1"/>
  <c r="R116" i="1" s="1"/>
  <c r="W116" i="1" s="1"/>
  <c r="O117" i="1"/>
  <c r="R117" i="1" s="1"/>
  <c r="W117" i="1" s="1"/>
  <c r="O118" i="1"/>
  <c r="O119" i="1"/>
  <c r="O120" i="1"/>
  <c r="R120" i="1" s="1"/>
  <c r="W120" i="1" s="1"/>
  <c r="O121" i="1"/>
  <c r="O122" i="1"/>
  <c r="R122" i="1" s="1"/>
  <c r="W122" i="1" s="1"/>
  <c r="O123" i="1"/>
  <c r="R123" i="1" s="1"/>
  <c r="W123" i="1" s="1"/>
  <c r="O124" i="1"/>
  <c r="R124" i="1" s="1"/>
  <c r="W124" i="1" s="1"/>
  <c r="O125" i="1"/>
  <c r="R125" i="1" s="1"/>
  <c r="W125" i="1" s="1"/>
  <c r="O126" i="1"/>
  <c r="O127" i="1"/>
  <c r="O128" i="1"/>
  <c r="R128" i="1" s="1"/>
  <c r="W128" i="1" s="1"/>
  <c r="O129" i="1"/>
  <c r="O130" i="1"/>
  <c r="O131" i="1"/>
  <c r="R131" i="1" s="1"/>
  <c r="W131" i="1" s="1"/>
  <c r="O132" i="1"/>
  <c r="R132" i="1" s="1"/>
  <c r="W132" i="1" s="1"/>
  <c r="O133" i="1"/>
  <c r="R133" i="1" s="1"/>
  <c r="W133" i="1" s="1"/>
  <c r="O134" i="1"/>
  <c r="O135" i="1"/>
  <c r="O136" i="1"/>
  <c r="R136" i="1" s="1"/>
  <c r="W136" i="1" s="1"/>
  <c r="O137" i="1"/>
  <c r="O138" i="1"/>
  <c r="R138" i="1" s="1"/>
  <c r="W138" i="1" s="1"/>
  <c r="O139" i="1"/>
  <c r="R139" i="1" s="1"/>
  <c r="W139" i="1" s="1"/>
  <c r="O140" i="1"/>
  <c r="R140" i="1" s="1"/>
  <c r="W140" i="1" s="1"/>
  <c r="O141" i="1"/>
  <c r="R141" i="1" s="1"/>
  <c r="W141" i="1" s="1"/>
  <c r="O142" i="1"/>
  <c r="O143" i="1"/>
  <c r="O144" i="1"/>
  <c r="R144" i="1" s="1"/>
  <c r="W144" i="1" s="1"/>
  <c r="O145" i="1"/>
  <c r="O146" i="1"/>
  <c r="R146" i="1" s="1"/>
  <c r="W146" i="1" s="1"/>
  <c r="O147" i="1"/>
  <c r="R147" i="1" s="1"/>
  <c r="W147" i="1" s="1"/>
  <c r="O148" i="1"/>
  <c r="R148" i="1" s="1"/>
  <c r="W148" i="1" s="1"/>
  <c r="O149" i="1"/>
  <c r="R149" i="1" s="1"/>
  <c r="W149" i="1" s="1"/>
  <c r="O150" i="1"/>
  <c r="O151" i="1"/>
  <c r="O152" i="1"/>
  <c r="R152" i="1" s="1"/>
  <c r="W152" i="1" s="1"/>
  <c r="O153" i="1"/>
  <c r="O154" i="1"/>
  <c r="R154" i="1" s="1"/>
  <c r="W154" i="1" s="1"/>
  <c r="O155" i="1"/>
  <c r="R155" i="1" s="1"/>
  <c r="W155" i="1" s="1"/>
  <c r="O156" i="1"/>
  <c r="R156" i="1" s="1"/>
  <c r="W156" i="1" s="1"/>
  <c r="O157" i="1"/>
  <c r="R157" i="1" s="1"/>
  <c r="W157" i="1" s="1"/>
  <c r="O158" i="1"/>
  <c r="O159" i="1"/>
  <c r="O160" i="1"/>
  <c r="R160" i="1" s="1"/>
  <c r="W160" i="1" s="1"/>
  <c r="O161" i="1"/>
  <c r="O162" i="1"/>
  <c r="R162" i="1" s="1"/>
  <c r="W162" i="1" s="1"/>
  <c r="O163" i="1"/>
  <c r="R163" i="1" s="1"/>
  <c r="W163" i="1" s="1"/>
  <c r="O164" i="1"/>
  <c r="R164" i="1" s="1"/>
  <c r="W164" i="1" s="1"/>
  <c r="O165" i="1"/>
  <c r="R165" i="1" s="1"/>
  <c r="W165" i="1" s="1"/>
  <c r="O166" i="1"/>
  <c r="O167" i="1"/>
  <c r="O168" i="1"/>
  <c r="R168" i="1" s="1"/>
  <c r="W168" i="1" s="1"/>
  <c r="O169" i="1"/>
  <c r="O170" i="1"/>
  <c r="R170" i="1" s="1"/>
  <c r="W170" i="1" s="1"/>
  <c r="O171" i="1"/>
  <c r="R171" i="1" s="1"/>
  <c r="W171" i="1" s="1"/>
  <c r="O172" i="1"/>
  <c r="R172" i="1" s="1"/>
  <c r="W172" i="1" s="1"/>
  <c r="O173" i="1"/>
  <c r="R173" i="1" s="1"/>
  <c r="W173" i="1" s="1"/>
  <c r="O174" i="1"/>
  <c r="O175" i="1"/>
  <c r="O176" i="1"/>
  <c r="R176" i="1" s="1"/>
  <c r="W176" i="1" s="1"/>
  <c r="O177" i="1"/>
  <c r="O178" i="1"/>
  <c r="R178" i="1" s="1"/>
  <c r="W178" i="1" s="1"/>
  <c r="O179" i="1"/>
  <c r="R179" i="1" s="1"/>
  <c r="W179" i="1" s="1"/>
  <c r="O180" i="1"/>
  <c r="R180" i="1" s="1"/>
  <c r="W180" i="1" s="1"/>
  <c r="O181" i="1"/>
  <c r="R181" i="1" s="1"/>
  <c r="W181" i="1" s="1"/>
  <c r="O182" i="1"/>
  <c r="O183" i="1"/>
  <c r="O184" i="1"/>
  <c r="R184" i="1" s="1"/>
  <c r="W184" i="1" s="1"/>
  <c r="O185" i="1"/>
  <c r="O186" i="1"/>
  <c r="R186" i="1" s="1"/>
  <c r="W186" i="1" s="1"/>
  <c r="O187" i="1"/>
  <c r="R187" i="1" s="1"/>
  <c r="W187" i="1" s="1"/>
  <c r="O188" i="1"/>
  <c r="R188" i="1" s="1"/>
  <c r="W188" i="1" s="1"/>
  <c r="O189" i="1"/>
  <c r="R189" i="1" s="1"/>
  <c r="W189" i="1" s="1"/>
  <c r="O190" i="1"/>
  <c r="O191" i="1"/>
  <c r="O192" i="1"/>
  <c r="R192" i="1" s="1"/>
  <c r="W192" i="1" s="1"/>
  <c r="O193" i="1"/>
  <c r="O194" i="1"/>
  <c r="R194" i="1" s="1"/>
  <c r="W194" i="1" s="1"/>
  <c r="O195" i="1"/>
  <c r="R195" i="1" s="1"/>
  <c r="W195" i="1" s="1"/>
  <c r="O196" i="1"/>
  <c r="R196" i="1" s="1"/>
  <c r="W196" i="1" s="1"/>
  <c r="O197" i="1"/>
  <c r="R197" i="1" s="1"/>
  <c r="W197" i="1" s="1"/>
  <c r="O198" i="1"/>
  <c r="O199" i="1"/>
  <c r="O200" i="1"/>
  <c r="R200" i="1" s="1"/>
  <c r="W200" i="1" s="1"/>
  <c r="O201" i="1"/>
  <c r="O202" i="1"/>
  <c r="R202" i="1" s="1"/>
  <c r="W202" i="1" s="1"/>
  <c r="O203" i="1"/>
  <c r="R203" i="1" s="1"/>
  <c r="W203" i="1" s="1"/>
  <c r="O204" i="1"/>
  <c r="R204" i="1" s="1"/>
  <c r="W204" i="1" s="1"/>
  <c r="O205" i="1"/>
  <c r="R205" i="1" s="1"/>
  <c r="W205" i="1" s="1"/>
  <c r="O206" i="1"/>
  <c r="O207" i="1"/>
  <c r="O208" i="1"/>
  <c r="R208" i="1" s="1"/>
  <c r="W208" i="1" s="1"/>
  <c r="O209" i="1"/>
  <c r="O210" i="1"/>
  <c r="R210" i="1" s="1"/>
  <c r="W210" i="1" s="1"/>
  <c r="O211" i="1"/>
  <c r="R211" i="1" s="1"/>
  <c r="W211" i="1" s="1"/>
  <c r="O212" i="1"/>
  <c r="R212" i="1" s="1"/>
  <c r="W212" i="1" s="1"/>
  <c r="O213" i="1"/>
  <c r="R213" i="1" s="1"/>
  <c r="W213" i="1" s="1"/>
  <c r="O214" i="1"/>
  <c r="O215" i="1"/>
  <c r="O216" i="1"/>
  <c r="R216" i="1" s="1"/>
  <c r="W216" i="1" s="1"/>
  <c r="O217" i="1"/>
  <c r="O218" i="1"/>
  <c r="R218" i="1" s="1"/>
  <c r="W218" i="1" s="1"/>
  <c r="O219" i="1"/>
  <c r="R219" i="1" s="1"/>
  <c r="W219" i="1" s="1"/>
  <c r="O220" i="1"/>
  <c r="R220" i="1" s="1"/>
  <c r="W220" i="1" s="1"/>
  <c r="O221" i="1"/>
  <c r="R221" i="1" s="1"/>
  <c r="W221" i="1" s="1"/>
  <c r="O222" i="1"/>
  <c r="O223" i="1"/>
  <c r="O224" i="1"/>
  <c r="R224" i="1" s="1"/>
  <c r="W224" i="1" s="1"/>
  <c r="O225" i="1"/>
  <c r="O226" i="1"/>
  <c r="R226" i="1" s="1"/>
  <c r="W226" i="1" s="1"/>
  <c r="O227" i="1"/>
  <c r="R227" i="1" s="1"/>
  <c r="W227" i="1" s="1"/>
  <c r="O228" i="1"/>
  <c r="R228" i="1" s="1"/>
  <c r="W228" i="1" s="1"/>
  <c r="O229" i="1"/>
  <c r="R229" i="1" s="1"/>
  <c r="W229" i="1" s="1"/>
  <c r="O230" i="1"/>
  <c r="O231" i="1"/>
  <c r="O232" i="1"/>
  <c r="R232" i="1" s="1"/>
  <c r="W232" i="1" s="1"/>
  <c r="O233" i="1"/>
  <c r="O234" i="1"/>
  <c r="R234" i="1" s="1"/>
  <c r="W234" i="1" s="1"/>
  <c r="O235" i="1"/>
  <c r="R235" i="1" s="1"/>
  <c r="W235" i="1" s="1"/>
  <c r="O236" i="1"/>
  <c r="R236" i="1" s="1"/>
  <c r="W236" i="1" s="1"/>
  <c r="O237" i="1"/>
  <c r="R237" i="1" s="1"/>
  <c r="W237" i="1" s="1"/>
  <c r="O238" i="1"/>
  <c r="O239" i="1"/>
  <c r="O240" i="1"/>
  <c r="R240" i="1" s="1"/>
  <c r="W240" i="1" s="1"/>
  <c r="O241" i="1"/>
  <c r="O242" i="1"/>
  <c r="R242" i="1" s="1"/>
  <c r="W242" i="1" s="1"/>
  <c r="O243" i="1"/>
  <c r="R243" i="1" s="1"/>
  <c r="W243" i="1" s="1"/>
  <c r="O244" i="1"/>
  <c r="R244" i="1" s="1"/>
  <c r="W244" i="1" s="1"/>
  <c r="O245" i="1"/>
  <c r="R245" i="1" s="1"/>
  <c r="W245" i="1" s="1"/>
  <c r="O246" i="1"/>
  <c r="O247" i="1"/>
  <c r="O248" i="1"/>
  <c r="R248" i="1" s="1"/>
  <c r="W248" i="1" s="1"/>
  <c r="O249" i="1"/>
  <c r="O250" i="1"/>
  <c r="R250" i="1" s="1"/>
  <c r="W250" i="1" s="1"/>
  <c r="O251" i="1"/>
  <c r="R251" i="1" s="1"/>
  <c r="W251" i="1" s="1"/>
  <c r="O252" i="1"/>
  <c r="R252" i="1" s="1"/>
  <c r="W252" i="1" s="1"/>
  <c r="O253" i="1"/>
  <c r="R253" i="1" s="1"/>
  <c r="W253" i="1" s="1"/>
  <c r="O254" i="1"/>
  <c r="O255" i="1"/>
  <c r="O256" i="1"/>
  <c r="R256" i="1" s="1"/>
  <c r="W256" i="1" s="1"/>
  <c r="O257" i="1"/>
  <c r="O258" i="1"/>
  <c r="R258" i="1" s="1"/>
  <c r="W258" i="1" s="1"/>
  <c r="O259" i="1"/>
  <c r="R259" i="1" s="1"/>
  <c r="W259" i="1" s="1"/>
  <c r="O260" i="1"/>
  <c r="R260" i="1" s="1"/>
  <c r="W260" i="1" s="1"/>
  <c r="O261" i="1"/>
  <c r="R261" i="1" s="1"/>
  <c r="W261" i="1" s="1"/>
  <c r="O262" i="1"/>
  <c r="O263" i="1"/>
  <c r="O264" i="1"/>
  <c r="R264" i="1" s="1"/>
  <c r="W264" i="1" s="1"/>
  <c r="O265" i="1"/>
  <c r="O266" i="1"/>
  <c r="R266" i="1" s="1"/>
  <c r="W266" i="1" s="1"/>
  <c r="O267" i="1"/>
  <c r="R267" i="1" s="1"/>
  <c r="W267" i="1" s="1"/>
  <c r="O268" i="1"/>
  <c r="R268" i="1" s="1"/>
  <c r="W268" i="1" s="1"/>
  <c r="O269" i="1"/>
  <c r="R269" i="1" s="1"/>
  <c r="W269" i="1" s="1"/>
  <c r="O270" i="1"/>
  <c r="O271" i="1"/>
  <c r="O272" i="1"/>
  <c r="R272" i="1" s="1"/>
  <c r="W272" i="1" s="1"/>
  <c r="O273" i="1"/>
  <c r="O274" i="1"/>
  <c r="R274" i="1" s="1"/>
  <c r="W274" i="1" s="1"/>
  <c r="O275" i="1"/>
  <c r="R275" i="1" s="1"/>
  <c r="W275" i="1" s="1"/>
  <c r="O276" i="1"/>
  <c r="R276" i="1" s="1"/>
  <c r="W276" i="1" s="1"/>
  <c r="O277" i="1"/>
  <c r="R277" i="1" s="1"/>
  <c r="W277" i="1" s="1"/>
  <c r="O278" i="1"/>
  <c r="O279" i="1"/>
  <c r="O280" i="1"/>
  <c r="R280" i="1" s="1"/>
  <c r="W280" i="1" s="1"/>
  <c r="O281" i="1"/>
  <c r="O282" i="1"/>
  <c r="R282" i="1" s="1"/>
  <c r="W282" i="1" s="1"/>
  <c r="O283" i="1"/>
  <c r="R283" i="1" s="1"/>
  <c r="W283" i="1" s="1"/>
  <c r="O284" i="1"/>
  <c r="R284" i="1" s="1"/>
  <c r="W284" i="1" s="1"/>
  <c r="O285" i="1"/>
  <c r="R285" i="1" s="1"/>
  <c r="W285" i="1" s="1"/>
  <c r="O286" i="1"/>
  <c r="O287" i="1"/>
  <c r="O288" i="1"/>
  <c r="R288" i="1" s="1"/>
  <c r="W288" i="1" s="1"/>
  <c r="O289" i="1"/>
  <c r="O290" i="1"/>
  <c r="R290" i="1" s="1"/>
  <c r="W290" i="1" s="1"/>
  <c r="O291" i="1"/>
  <c r="O292" i="1"/>
  <c r="R292" i="1" s="1"/>
  <c r="W292" i="1" s="1"/>
  <c r="O293" i="1"/>
  <c r="R293" i="1" s="1"/>
  <c r="W293" i="1" s="1"/>
  <c r="O294" i="1"/>
  <c r="O295" i="1"/>
  <c r="O296" i="1"/>
  <c r="R296" i="1" s="1"/>
  <c r="W296" i="1" s="1"/>
  <c r="O297" i="1"/>
  <c r="O298" i="1"/>
  <c r="R298" i="1" s="1"/>
  <c r="W298" i="1" s="1"/>
  <c r="O299" i="1"/>
  <c r="R299" i="1" s="1"/>
  <c r="W299" i="1" s="1"/>
  <c r="O300" i="1"/>
  <c r="R300" i="1" s="1"/>
  <c r="W300" i="1" s="1"/>
  <c r="O301" i="1"/>
  <c r="R301" i="1" s="1"/>
  <c r="W301" i="1" s="1"/>
  <c r="O302" i="1"/>
  <c r="O303" i="1"/>
  <c r="O304" i="1"/>
  <c r="R304" i="1" s="1"/>
  <c r="W304" i="1" s="1"/>
  <c r="O305" i="1"/>
  <c r="O306" i="1"/>
  <c r="R306" i="1" s="1"/>
  <c r="W306" i="1" s="1"/>
  <c r="O307" i="1"/>
  <c r="R307" i="1" s="1"/>
  <c r="W307" i="1" s="1"/>
  <c r="O308" i="1"/>
  <c r="R308" i="1" s="1"/>
  <c r="W308" i="1" s="1"/>
  <c r="O309" i="1"/>
  <c r="R309" i="1" s="1"/>
  <c r="W309" i="1" s="1"/>
  <c r="O310" i="1"/>
  <c r="O311" i="1"/>
  <c r="O312" i="1"/>
  <c r="R312" i="1" s="1"/>
  <c r="W312" i="1" s="1"/>
  <c r="O313" i="1"/>
  <c r="O314" i="1"/>
  <c r="R314" i="1" s="1"/>
  <c r="W314" i="1" s="1"/>
  <c r="O315" i="1"/>
  <c r="R315" i="1" s="1"/>
  <c r="W315" i="1" s="1"/>
  <c r="O316" i="1"/>
  <c r="R316" i="1" s="1"/>
  <c r="W316" i="1" s="1"/>
  <c r="O317" i="1"/>
  <c r="R317" i="1" s="1"/>
  <c r="W317" i="1" s="1"/>
  <c r="O318" i="1"/>
  <c r="O319" i="1"/>
  <c r="O320" i="1"/>
  <c r="R320" i="1" s="1"/>
  <c r="W320" i="1" s="1"/>
  <c r="O321" i="1"/>
  <c r="O322" i="1"/>
  <c r="R322" i="1" s="1"/>
  <c r="W322" i="1" s="1"/>
  <c r="O323" i="1"/>
  <c r="R323" i="1" s="1"/>
  <c r="W323" i="1" s="1"/>
  <c r="O324" i="1"/>
  <c r="R324" i="1" s="1"/>
  <c r="W324" i="1" s="1"/>
  <c r="O325" i="1"/>
  <c r="R325" i="1" s="1"/>
  <c r="W325" i="1" s="1"/>
  <c r="O326" i="1"/>
  <c r="O327" i="1"/>
  <c r="O328" i="1"/>
  <c r="R328" i="1" s="1"/>
  <c r="W328" i="1" s="1"/>
  <c r="O329" i="1"/>
  <c r="O330" i="1"/>
  <c r="R330" i="1" s="1"/>
  <c r="W330" i="1" s="1"/>
  <c r="O331" i="1"/>
  <c r="R331" i="1" s="1"/>
  <c r="W331" i="1" s="1"/>
  <c r="O332" i="1"/>
  <c r="R332" i="1" s="1"/>
  <c r="W332" i="1" s="1"/>
  <c r="O333" i="1"/>
  <c r="R333" i="1" s="1"/>
  <c r="W333" i="1" s="1"/>
  <c r="O334" i="1"/>
  <c r="O335" i="1"/>
  <c r="O336" i="1"/>
  <c r="R336" i="1" s="1"/>
  <c r="W336" i="1" s="1"/>
  <c r="O337" i="1"/>
  <c r="O338" i="1"/>
  <c r="R338" i="1" s="1"/>
  <c r="W338" i="1" s="1"/>
  <c r="O339" i="1"/>
  <c r="R339" i="1" s="1"/>
  <c r="W339" i="1" s="1"/>
  <c r="O340" i="1"/>
  <c r="R340" i="1" s="1"/>
  <c r="W340" i="1" s="1"/>
  <c r="O341" i="1"/>
  <c r="R341" i="1" s="1"/>
  <c r="W341" i="1" s="1"/>
  <c r="O342" i="1"/>
  <c r="O343" i="1"/>
  <c r="O344" i="1"/>
  <c r="R344" i="1" s="1"/>
  <c r="W344" i="1" s="1"/>
  <c r="O345" i="1"/>
  <c r="O346" i="1"/>
  <c r="R346" i="1" s="1"/>
  <c r="W346" i="1" s="1"/>
  <c r="O347" i="1"/>
  <c r="R347" i="1" s="1"/>
  <c r="W347" i="1" s="1"/>
  <c r="O348" i="1"/>
  <c r="R348" i="1" s="1"/>
  <c r="W348" i="1" s="1"/>
  <c r="O349" i="1"/>
  <c r="R349" i="1" s="1"/>
  <c r="W349" i="1" s="1"/>
  <c r="O350" i="1"/>
  <c r="O351" i="1"/>
  <c r="O352" i="1"/>
  <c r="R352" i="1" s="1"/>
  <c r="W352" i="1" s="1"/>
  <c r="O353" i="1"/>
  <c r="O354" i="1"/>
  <c r="R354" i="1" s="1"/>
  <c r="W354" i="1" s="1"/>
  <c r="O355" i="1"/>
  <c r="R355" i="1" s="1"/>
  <c r="W355" i="1" s="1"/>
  <c r="O356" i="1"/>
  <c r="R356" i="1" s="1"/>
  <c r="W356" i="1" s="1"/>
  <c r="O357" i="1"/>
  <c r="R357" i="1" s="1"/>
  <c r="W357" i="1" s="1"/>
  <c r="O358" i="1"/>
  <c r="O359" i="1"/>
  <c r="O360" i="1"/>
  <c r="R360" i="1" s="1"/>
  <c r="W360" i="1" s="1"/>
  <c r="O361" i="1"/>
  <c r="O362" i="1"/>
  <c r="R362" i="1" s="1"/>
  <c r="W362" i="1" s="1"/>
  <c r="O363" i="1"/>
  <c r="R363" i="1" s="1"/>
  <c r="W363" i="1" s="1"/>
  <c r="O364" i="1"/>
  <c r="R364" i="1" s="1"/>
  <c r="W364" i="1" s="1"/>
  <c r="O365" i="1"/>
  <c r="R365" i="1" s="1"/>
  <c r="W365" i="1" s="1"/>
  <c r="O366" i="1"/>
  <c r="O367" i="1"/>
  <c r="O368" i="1"/>
  <c r="R368" i="1" s="1"/>
  <c r="W368" i="1" s="1"/>
  <c r="O369" i="1"/>
  <c r="O370" i="1"/>
  <c r="R370" i="1" s="1"/>
  <c r="W370" i="1" s="1"/>
  <c r="O371" i="1"/>
  <c r="R371" i="1" s="1"/>
  <c r="W371" i="1" s="1"/>
  <c r="O372" i="1"/>
  <c r="R372" i="1" s="1"/>
  <c r="W372" i="1" s="1"/>
  <c r="O373" i="1"/>
  <c r="R373" i="1" s="1"/>
  <c r="W373" i="1" s="1"/>
  <c r="O374" i="1"/>
  <c r="O375" i="1"/>
  <c r="O376" i="1"/>
  <c r="O377" i="1"/>
  <c r="O378" i="1"/>
  <c r="R378" i="1" s="1"/>
  <c r="W378" i="1" s="1"/>
  <c r="O379" i="1"/>
  <c r="R379" i="1" s="1"/>
  <c r="W379" i="1" s="1"/>
  <c r="O380" i="1"/>
  <c r="R380" i="1" s="1"/>
  <c r="W380" i="1" s="1"/>
  <c r="O381" i="1"/>
  <c r="R381" i="1" s="1"/>
  <c r="W381" i="1" s="1"/>
  <c r="O382" i="1"/>
  <c r="O383" i="1"/>
  <c r="O384" i="1"/>
  <c r="R384" i="1" s="1"/>
  <c r="W384" i="1" s="1"/>
  <c r="O385" i="1"/>
  <c r="O386" i="1"/>
  <c r="R386" i="1" s="1"/>
  <c r="W386" i="1" s="1"/>
  <c r="O387" i="1"/>
  <c r="R387" i="1" s="1"/>
  <c r="W387" i="1" s="1"/>
  <c r="O388" i="1"/>
  <c r="R388" i="1" s="1"/>
  <c r="W388" i="1" s="1"/>
  <c r="O389" i="1"/>
  <c r="R389" i="1" s="1"/>
  <c r="W389" i="1" s="1"/>
  <c r="O390" i="1"/>
  <c r="O391" i="1"/>
  <c r="O392" i="1"/>
  <c r="R392" i="1" s="1"/>
  <c r="W392" i="1" s="1"/>
  <c r="O393" i="1"/>
  <c r="O394" i="1"/>
  <c r="R394" i="1" s="1"/>
  <c r="W394" i="1" s="1"/>
  <c r="O395" i="1"/>
  <c r="R395" i="1" s="1"/>
  <c r="W395" i="1" s="1"/>
  <c r="O396" i="1"/>
  <c r="R396" i="1" s="1"/>
  <c r="W396" i="1" s="1"/>
  <c r="O397" i="1"/>
  <c r="R397" i="1" s="1"/>
  <c r="W397" i="1" s="1"/>
  <c r="O398" i="1"/>
  <c r="O399" i="1"/>
  <c r="O400" i="1"/>
  <c r="R400" i="1" s="1"/>
  <c r="W400" i="1" s="1"/>
  <c r="O401" i="1"/>
  <c r="O402" i="1"/>
  <c r="R402" i="1" s="1"/>
  <c r="W402" i="1" s="1"/>
  <c r="O403" i="1"/>
  <c r="R403" i="1" s="1"/>
  <c r="W403" i="1" s="1"/>
  <c r="O404" i="1"/>
  <c r="R404" i="1" s="1"/>
  <c r="W404" i="1" s="1"/>
  <c r="O405" i="1"/>
  <c r="R405" i="1" s="1"/>
  <c r="W405" i="1" s="1"/>
  <c r="O406" i="1"/>
  <c r="O407" i="1"/>
  <c r="O408" i="1"/>
  <c r="R408" i="1" s="1"/>
  <c r="W408" i="1" s="1"/>
  <c r="O409" i="1"/>
  <c r="O410" i="1"/>
  <c r="R410" i="1" s="1"/>
  <c r="W410" i="1" s="1"/>
  <c r="O411" i="1"/>
  <c r="R411" i="1" s="1"/>
  <c r="W411" i="1" s="1"/>
  <c r="O412" i="1"/>
  <c r="R412" i="1" s="1"/>
  <c r="W412" i="1" s="1"/>
  <c r="O413" i="1"/>
  <c r="R413" i="1" s="1"/>
  <c r="W413" i="1" s="1"/>
  <c r="O414" i="1"/>
  <c r="O415" i="1"/>
  <c r="O416" i="1"/>
  <c r="R416" i="1" s="1"/>
  <c r="W416" i="1" s="1"/>
  <c r="O417" i="1"/>
  <c r="O418" i="1"/>
  <c r="R418" i="1" s="1"/>
  <c r="W418" i="1" s="1"/>
  <c r="O419" i="1"/>
  <c r="R419" i="1" s="1"/>
  <c r="W419" i="1" s="1"/>
  <c r="O420" i="1"/>
  <c r="R420" i="1" s="1"/>
  <c r="W420" i="1" s="1"/>
  <c r="O421" i="1"/>
  <c r="R421" i="1" s="1"/>
  <c r="W421" i="1" s="1"/>
  <c r="O422" i="1"/>
  <c r="O423" i="1"/>
  <c r="O424" i="1"/>
  <c r="R424" i="1" s="1"/>
  <c r="W424" i="1" s="1"/>
  <c r="O425" i="1"/>
  <c r="O426" i="1"/>
  <c r="R426" i="1" s="1"/>
  <c r="W426" i="1" s="1"/>
  <c r="O427" i="1"/>
  <c r="R427" i="1" s="1"/>
  <c r="W427" i="1" s="1"/>
  <c r="O428" i="1"/>
  <c r="R428" i="1" s="1"/>
  <c r="W428" i="1" s="1"/>
  <c r="O429" i="1"/>
  <c r="R429" i="1" s="1"/>
  <c r="W429" i="1" s="1"/>
  <c r="O430" i="1"/>
  <c r="O431" i="1"/>
  <c r="O432" i="1"/>
  <c r="R432" i="1" s="1"/>
  <c r="W432" i="1" s="1"/>
  <c r="O433" i="1"/>
  <c r="O434" i="1"/>
  <c r="R434" i="1" s="1"/>
  <c r="W434" i="1" s="1"/>
  <c r="O435" i="1"/>
  <c r="R435" i="1" s="1"/>
  <c r="W435" i="1" s="1"/>
  <c r="O436" i="1"/>
  <c r="R436" i="1" s="1"/>
  <c r="W436" i="1" s="1"/>
  <c r="O437" i="1"/>
  <c r="R437" i="1" s="1"/>
  <c r="W437" i="1" s="1"/>
  <c r="O438" i="1"/>
  <c r="O439" i="1"/>
  <c r="O440" i="1"/>
  <c r="R440" i="1" s="1"/>
  <c r="W440" i="1" s="1"/>
  <c r="O441" i="1"/>
  <c r="O442" i="1"/>
  <c r="R442" i="1" s="1"/>
  <c r="W442" i="1" s="1"/>
  <c r="O443" i="1"/>
  <c r="R443" i="1" s="1"/>
  <c r="W443" i="1" s="1"/>
  <c r="O444" i="1"/>
  <c r="R444" i="1" s="1"/>
  <c r="W444" i="1" s="1"/>
  <c r="O445" i="1"/>
  <c r="R445" i="1" s="1"/>
  <c r="W445" i="1" s="1"/>
  <c r="O446" i="1"/>
  <c r="O447" i="1"/>
  <c r="O448" i="1"/>
  <c r="R448" i="1" s="1"/>
  <c r="W448" i="1" s="1"/>
  <c r="O449" i="1"/>
  <c r="O450" i="1"/>
  <c r="R450" i="1" s="1"/>
  <c r="W450" i="1" s="1"/>
  <c r="O451" i="1"/>
  <c r="R451" i="1" s="1"/>
  <c r="W451" i="1" s="1"/>
  <c r="O452" i="1"/>
  <c r="R452" i="1" s="1"/>
  <c r="W452" i="1" s="1"/>
  <c r="O453" i="1"/>
  <c r="R453" i="1" s="1"/>
  <c r="W453" i="1" s="1"/>
  <c r="O454" i="1"/>
  <c r="O455" i="1"/>
  <c r="O456" i="1"/>
  <c r="R456" i="1" s="1"/>
  <c r="W456" i="1" s="1"/>
  <c r="O457" i="1"/>
  <c r="O458" i="1"/>
  <c r="R458" i="1" s="1"/>
  <c r="W458" i="1" s="1"/>
  <c r="O459" i="1"/>
  <c r="R459" i="1" s="1"/>
  <c r="W459" i="1" s="1"/>
  <c r="O460" i="1"/>
  <c r="R460" i="1" s="1"/>
  <c r="W460" i="1" s="1"/>
  <c r="O461" i="1"/>
  <c r="R461" i="1" s="1"/>
  <c r="W461" i="1" s="1"/>
  <c r="O462" i="1"/>
  <c r="O463" i="1"/>
  <c r="O464" i="1"/>
  <c r="O465" i="1"/>
  <c r="O466" i="1"/>
  <c r="R466" i="1" s="1"/>
  <c r="W466" i="1" s="1"/>
  <c r="O467" i="1"/>
  <c r="R467" i="1" s="1"/>
  <c r="W467" i="1" s="1"/>
  <c r="O468" i="1"/>
  <c r="R468" i="1" s="1"/>
  <c r="W468" i="1" s="1"/>
  <c r="O469" i="1"/>
  <c r="R469" i="1" s="1"/>
  <c r="W469" i="1" s="1"/>
  <c r="O470" i="1"/>
  <c r="O471" i="1"/>
  <c r="O472" i="1"/>
  <c r="R472" i="1" s="1"/>
  <c r="W472" i="1" s="1"/>
  <c r="O473" i="1"/>
  <c r="O474" i="1"/>
  <c r="R474" i="1" s="1"/>
  <c r="W474" i="1" s="1"/>
  <c r="O475" i="1"/>
  <c r="R475" i="1" s="1"/>
  <c r="W475" i="1" s="1"/>
  <c r="O476" i="1"/>
  <c r="R476" i="1" s="1"/>
  <c r="W476" i="1" s="1"/>
  <c r="O477" i="1"/>
  <c r="R477" i="1" s="1"/>
  <c r="W477" i="1" s="1"/>
  <c r="O478" i="1"/>
  <c r="O479" i="1"/>
  <c r="O480" i="1"/>
  <c r="R480" i="1" s="1"/>
  <c r="W480" i="1" s="1"/>
  <c r="O481" i="1"/>
  <c r="O482" i="1"/>
  <c r="R482" i="1" s="1"/>
  <c r="W482" i="1" s="1"/>
  <c r="O483" i="1"/>
  <c r="R483" i="1" s="1"/>
  <c r="W483" i="1" s="1"/>
  <c r="O484" i="1"/>
  <c r="R484" i="1" s="1"/>
  <c r="W484" i="1" s="1"/>
  <c r="O485" i="1"/>
  <c r="R485" i="1" s="1"/>
  <c r="W485" i="1" s="1"/>
  <c r="O486" i="1"/>
  <c r="O487" i="1"/>
  <c r="O488" i="1"/>
  <c r="R488" i="1" s="1"/>
  <c r="W488" i="1" s="1"/>
  <c r="O489" i="1"/>
  <c r="O490" i="1"/>
  <c r="R490" i="1" s="1"/>
  <c r="W490" i="1" s="1"/>
  <c r="O491" i="1"/>
  <c r="R491" i="1" s="1"/>
  <c r="W491" i="1" s="1"/>
  <c r="O492" i="1"/>
  <c r="R492" i="1" s="1"/>
  <c r="W492" i="1" s="1"/>
  <c r="O493" i="1"/>
  <c r="R493" i="1" s="1"/>
  <c r="W493" i="1" s="1"/>
  <c r="O494" i="1"/>
  <c r="O495" i="1"/>
  <c r="O496" i="1"/>
  <c r="R496" i="1" s="1"/>
  <c r="W496" i="1" s="1"/>
  <c r="O497" i="1"/>
  <c r="O498" i="1"/>
  <c r="R498" i="1" s="1"/>
  <c r="W498" i="1" s="1"/>
  <c r="O499" i="1"/>
  <c r="R499" i="1" s="1"/>
  <c r="W499" i="1" s="1"/>
  <c r="O500" i="1"/>
  <c r="R500" i="1" s="1"/>
  <c r="W500" i="1" s="1"/>
  <c r="O501" i="1"/>
  <c r="R501" i="1" s="1"/>
  <c r="W501" i="1" s="1"/>
  <c r="O502" i="1"/>
  <c r="O503" i="1"/>
  <c r="O504" i="1"/>
  <c r="R504" i="1" s="1"/>
  <c r="W504" i="1" s="1"/>
  <c r="O505" i="1"/>
  <c r="O506" i="1"/>
  <c r="R506" i="1" s="1"/>
  <c r="W506" i="1" s="1"/>
  <c r="O507" i="1"/>
  <c r="R507" i="1" s="1"/>
  <c r="W507" i="1" s="1"/>
  <c r="O508" i="1"/>
  <c r="R508" i="1" s="1"/>
  <c r="W508" i="1" s="1"/>
  <c r="O509" i="1"/>
  <c r="R509" i="1" s="1"/>
  <c r="W509" i="1" s="1"/>
  <c r="O510" i="1"/>
  <c r="O511" i="1"/>
  <c r="O512" i="1"/>
  <c r="R512" i="1" s="1"/>
  <c r="W512" i="1" s="1"/>
  <c r="O513" i="1"/>
  <c r="O514" i="1"/>
  <c r="R514" i="1" s="1"/>
  <c r="W514" i="1" s="1"/>
  <c r="O515" i="1"/>
  <c r="R515" i="1" s="1"/>
  <c r="W515" i="1" s="1"/>
  <c r="O516" i="1"/>
  <c r="R516" i="1" s="1"/>
  <c r="W516" i="1" s="1"/>
  <c r="O517" i="1"/>
  <c r="R517" i="1" s="1"/>
  <c r="W517" i="1" s="1"/>
  <c r="O518" i="1"/>
  <c r="O519" i="1"/>
  <c r="O520" i="1"/>
  <c r="R520" i="1" s="1"/>
  <c r="W520" i="1" s="1"/>
  <c r="O521" i="1"/>
  <c r="O522" i="1"/>
  <c r="R522" i="1" s="1"/>
  <c r="W522" i="1" s="1"/>
  <c r="O523" i="1"/>
  <c r="R523" i="1" s="1"/>
  <c r="W523" i="1" s="1"/>
  <c r="O524" i="1"/>
  <c r="R524" i="1" s="1"/>
  <c r="W524" i="1" s="1"/>
  <c r="O525" i="1"/>
  <c r="R525" i="1" s="1"/>
  <c r="W525" i="1" s="1"/>
  <c r="O526" i="1"/>
  <c r="O527" i="1"/>
  <c r="O528" i="1"/>
  <c r="R528" i="1" s="1"/>
  <c r="W528" i="1" s="1"/>
  <c r="O529" i="1"/>
  <c r="O530" i="1"/>
  <c r="R530" i="1" s="1"/>
  <c r="W530" i="1" s="1"/>
  <c r="O531" i="1"/>
  <c r="R531" i="1" s="1"/>
  <c r="W531" i="1" s="1"/>
  <c r="O532" i="1"/>
  <c r="R532" i="1" s="1"/>
  <c r="W532" i="1" s="1"/>
  <c r="O533" i="1"/>
  <c r="R533" i="1" s="1"/>
  <c r="W533" i="1" s="1"/>
  <c r="O534" i="1"/>
  <c r="O535" i="1"/>
  <c r="O536" i="1"/>
  <c r="R536" i="1" s="1"/>
  <c r="W536" i="1" s="1"/>
  <c r="O537" i="1"/>
  <c r="O538" i="1"/>
  <c r="R538" i="1" s="1"/>
  <c r="W538" i="1" s="1"/>
  <c r="O539" i="1"/>
  <c r="R539" i="1" s="1"/>
  <c r="W539" i="1" s="1"/>
  <c r="O540" i="1"/>
  <c r="R540" i="1" s="1"/>
  <c r="W540" i="1" s="1"/>
  <c r="O541" i="1"/>
  <c r="R541" i="1" s="1"/>
  <c r="W541" i="1" s="1"/>
  <c r="O542" i="1"/>
  <c r="O543" i="1"/>
  <c r="O544" i="1"/>
  <c r="R544" i="1" s="1"/>
  <c r="W544" i="1" s="1"/>
  <c r="O545" i="1"/>
  <c r="O546" i="1"/>
  <c r="R546" i="1" s="1"/>
  <c r="W546" i="1" s="1"/>
  <c r="O547" i="1"/>
  <c r="R547" i="1" s="1"/>
  <c r="W547" i="1" s="1"/>
  <c r="O548" i="1"/>
  <c r="R548" i="1" s="1"/>
  <c r="W548" i="1" s="1"/>
  <c r="O549" i="1"/>
  <c r="R549" i="1" s="1"/>
  <c r="W549" i="1" s="1"/>
  <c r="O550" i="1"/>
  <c r="O551" i="1"/>
  <c r="O552" i="1"/>
  <c r="R552" i="1" s="1"/>
  <c r="W552" i="1" s="1"/>
  <c r="O553" i="1"/>
  <c r="O554" i="1"/>
  <c r="R554" i="1" s="1"/>
  <c r="W554" i="1" s="1"/>
  <c r="O555" i="1"/>
  <c r="R555" i="1" s="1"/>
  <c r="W555" i="1" s="1"/>
  <c r="O556" i="1"/>
  <c r="R556" i="1" s="1"/>
  <c r="W556" i="1" s="1"/>
  <c r="O557" i="1"/>
  <c r="R557" i="1" s="1"/>
  <c r="W557" i="1" s="1"/>
  <c r="O558" i="1"/>
  <c r="O559" i="1"/>
  <c r="O560" i="1"/>
  <c r="R560" i="1" s="1"/>
  <c r="W560" i="1" s="1"/>
  <c r="O561" i="1"/>
  <c r="O562" i="1"/>
  <c r="R562" i="1" s="1"/>
  <c r="W562" i="1" s="1"/>
  <c r="O563" i="1"/>
  <c r="R563" i="1" s="1"/>
  <c r="W563" i="1" s="1"/>
  <c r="O564" i="1"/>
  <c r="R564" i="1" s="1"/>
  <c r="W564" i="1" s="1"/>
  <c r="O565" i="1"/>
  <c r="R565" i="1" s="1"/>
  <c r="W565" i="1" s="1"/>
  <c r="O566" i="1"/>
  <c r="O567" i="1"/>
  <c r="O568" i="1"/>
  <c r="R568" i="1" s="1"/>
  <c r="W568" i="1" s="1"/>
  <c r="O569" i="1"/>
  <c r="O570" i="1"/>
  <c r="R570" i="1" s="1"/>
  <c r="W570" i="1" s="1"/>
  <c r="O571" i="1"/>
  <c r="R571" i="1" s="1"/>
  <c r="W571" i="1" s="1"/>
  <c r="O572" i="1"/>
  <c r="R572" i="1" s="1"/>
  <c r="W572" i="1" s="1"/>
  <c r="O573" i="1"/>
  <c r="R573" i="1" s="1"/>
  <c r="W573" i="1" s="1"/>
  <c r="O574" i="1"/>
  <c r="O575" i="1"/>
  <c r="O576" i="1"/>
  <c r="R576" i="1" s="1"/>
  <c r="W576" i="1" s="1"/>
  <c r="O577" i="1"/>
  <c r="O578" i="1"/>
  <c r="R578" i="1" s="1"/>
  <c r="W578" i="1" s="1"/>
  <c r="O579" i="1"/>
  <c r="R579" i="1" s="1"/>
  <c r="W579" i="1" s="1"/>
  <c r="O580" i="1"/>
  <c r="R580" i="1" s="1"/>
  <c r="W580" i="1" s="1"/>
  <c r="O581" i="1"/>
  <c r="R581" i="1" s="1"/>
  <c r="W581" i="1" s="1"/>
  <c r="O582" i="1"/>
  <c r="O583" i="1"/>
  <c r="O584" i="1"/>
  <c r="R584" i="1" s="1"/>
  <c r="W584" i="1" s="1"/>
  <c r="O585" i="1"/>
  <c r="O586" i="1"/>
  <c r="R586" i="1" s="1"/>
  <c r="W586" i="1" s="1"/>
  <c r="O587" i="1"/>
  <c r="R587" i="1" s="1"/>
  <c r="W587" i="1" s="1"/>
  <c r="O588" i="1"/>
  <c r="R588" i="1" s="1"/>
  <c r="W588" i="1" s="1"/>
  <c r="O589" i="1"/>
  <c r="R589" i="1" s="1"/>
  <c r="W589" i="1" s="1"/>
  <c r="O590" i="1"/>
  <c r="O591" i="1"/>
  <c r="O592" i="1"/>
  <c r="R592" i="1" s="1"/>
  <c r="W592" i="1" s="1"/>
  <c r="O593" i="1"/>
  <c r="O594" i="1"/>
  <c r="R594" i="1" s="1"/>
  <c r="W594" i="1" s="1"/>
  <c r="O595" i="1"/>
  <c r="R595" i="1" s="1"/>
  <c r="W595" i="1" s="1"/>
  <c r="O596" i="1"/>
  <c r="R596" i="1" s="1"/>
  <c r="W596" i="1" s="1"/>
  <c r="O597" i="1"/>
  <c r="R597" i="1" s="1"/>
  <c r="W597" i="1" s="1"/>
  <c r="O598" i="1"/>
  <c r="O599" i="1"/>
  <c r="O600" i="1"/>
  <c r="R600" i="1" s="1"/>
  <c r="W600" i="1" s="1"/>
  <c r="O601" i="1"/>
  <c r="O602" i="1"/>
  <c r="R602" i="1" s="1"/>
  <c r="W602" i="1" s="1"/>
  <c r="O603" i="1"/>
  <c r="R603" i="1" s="1"/>
  <c r="W603" i="1" s="1"/>
  <c r="O604" i="1"/>
  <c r="R604" i="1" s="1"/>
  <c r="W604" i="1" s="1"/>
  <c r="O605" i="1"/>
  <c r="R605" i="1" s="1"/>
  <c r="W605" i="1" s="1"/>
  <c r="O606" i="1"/>
  <c r="O607" i="1"/>
  <c r="O608" i="1"/>
  <c r="R608" i="1" s="1"/>
  <c r="W608" i="1" s="1"/>
  <c r="O609" i="1"/>
  <c r="O610" i="1"/>
  <c r="R610" i="1" s="1"/>
  <c r="W610" i="1" s="1"/>
  <c r="O611" i="1"/>
  <c r="R611" i="1" s="1"/>
  <c r="W611" i="1" s="1"/>
  <c r="O612" i="1"/>
  <c r="R612" i="1" s="1"/>
  <c r="W612" i="1" s="1"/>
  <c r="O613" i="1"/>
  <c r="R613" i="1" s="1"/>
  <c r="W613" i="1" s="1"/>
  <c r="O614" i="1"/>
  <c r="O615" i="1"/>
  <c r="O616" i="1"/>
  <c r="R616" i="1" s="1"/>
  <c r="W616" i="1" s="1"/>
  <c r="O617" i="1"/>
  <c r="O618" i="1"/>
  <c r="R618" i="1" s="1"/>
  <c r="W618" i="1" s="1"/>
  <c r="O619" i="1"/>
  <c r="R619" i="1" s="1"/>
  <c r="W619" i="1" s="1"/>
  <c r="O620" i="1"/>
  <c r="R620" i="1" s="1"/>
  <c r="W620" i="1" s="1"/>
  <c r="O621" i="1"/>
  <c r="R621" i="1" s="1"/>
  <c r="W621" i="1" s="1"/>
  <c r="O622" i="1"/>
  <c r="O623" i="1"/>
  <c r="O624" i="1"/>
  <c r="R624" i="1" s="1"/>
  <c r="W624" i="1" s="1"/>
  <c r="O625" i="1"/>
  <c r="O626" i="1"/>
  <c r="R626" i="1" s="1"/>
  <c r="W626" i="1" s="1"/>
  <c r="O627" i="1"/>
  <c r="R627" i="1" s="1"/>
  <c r="W627" i="1" s="1"/>
  <c r="O628" i="1"/>
  <c r="R628" i="1" s="1"/>
  <c r="W628" i="1" s="1"/>
  <c r="O629" i="1"/>
  <c r="R629" i="1" s="1"/>
  <c r="W629" i="1" s="1"/>
  <c r="O630" i="1"/>
  <c r="O631" i="1"/>
  <c r="O632" i="1"/>
  <c r="R632" i="1" s="1"/>
  <c r="W632" i="1" s="1"/>
  <c r="O633" i="1"/>
  <c r="O634" i="1"/>
  <c r="R634" i="1" s="1"/>
  <c r="W634" i="1" s="1"/>
  <c r="O635" i="1"/>
  <c r="R635" i="1" s="1"/>
  <c r="W635" i="1" s="1"/>
  <c r="O636" i="1"/>
  <c r="R636" i="1" s="1"/>
  <c r="W636" i="1" s="1"/>
  <c r="O637" i="1"/>
  <c r="R637" i="1" s="1"/>
  <c r="W637" i="1" s="1"/>
  <c r="O638" i="1"/>
  <c r="O639" i="1"/>
  <c r="O640" i="1"/>
  <c r="R640" i="1" s="1"/>
  <c r="W640" i="1" s="1"/>
  <c r="O641" i="1"/>
  <c r="O642" i="1"/>
  <c r="R642" i="1" s="1"/>
  <c r="W642" i="1" s="1"/>
  <c r="O643" i="1"/>
  <c r="R643" i="1" s="1"/>
  <c r="W643" i="1" s="1"/>
  <c r="O644" i="1"/>
  <c r="R644" i="1" s="1"/>
  <c r="W644" i="1" s="1"/>
  <c r="O645" i="1"/>
  <c r="R645" i="1" s="1"/>
  <c r="W645" i="1" s="1"/>
  <c r="O646" i="1"/>
  <c r="O647" i="1"/>
  <c r="O648" i="1"/>
  <c r="R648" i="1" s="1"/>
  <c r="W648" i="1" s="1"/>
  <c r="O649" i="1"/>
  <c r="O650" i="1"/>
  <c r="R650" i="1" s="1"/>
  <c r="W650" i="1" s="1"/>
  <c r="O651" i="1"/>
  <c r="R651" i="1" s="1"/>
  <c r="W651" i="1" s="1"/>
  <c r="O652" i="1"/>
  <c r="R652" i="1" s="1"/>
  <c r="W652" i="1" s="1"/>
  <c r="O653" i="1"/>
  <c r="R653" i="1" s="1"/>
  <c r="W653" i="1" s="1"/>
  <c r="O654" i="1"/>
  <c r="O655" i="1"/>
  <c r="O656" i="1"/>
  <c r="R656" i="1" s="1"/>
  <c r="W656" i="1" s="1"/>
  <c r="O657" i="1"/>
  <c r="O658" i="1"/>
  <c r="R658" i="1" s="1"/>
  <c r="W658" i="1" s="1"/>
  <c r="O659" i="1"/>
  <c r="R659" i="1" s="1"/>
  <c r="W659" i="1" s="1"/>
  <c r="O660" i="1"/>
  <c r="R660" i="1" s="1"/>
  <c r="W660" i="1" s="1"/>
  <c r="O661" i="1"/>
  <c r="R661" i="1" s="1"/>
  <c r="W661" i="1" s="1"/>
  <c r="O662" i="1"/>
  <c r="O663" i="1"/>
  <c r="O664" i="1"/>
  <c r="R664" i="1" s="1"/>
  <c r="W664" i="1" s="1"/>
  <c r="O665" i="1"/>
  <c r="O666" i="1"/>
  <c r="R666" i="1" s="1"/>
  <c r="W666" i="1" s="1"/>
  <c r="O667" i="1"/>
  <c r="R667" i="1" s="1"/>
  <c r="W667" i="1" s="1"/>
  <c r="O668" i="1"/>
  <c r="R668" i="1" s="1"/>
  <c r="W668" i="1" s="1"/>
  <c r="O669" i="1"/>
  <c r="R669" i="1" s="1"/>
  <c r="W669" i="1" s="1"/>
  <c r="O670" i="1"/>
  <c r="O671" i="1"/>
  <c r="O672" i="1"/>
  <c r="R672" i="1" s="1"/>
  <c r="W672" i="1" s="1"/>
  <c r="O673" i="1"/>
  <c r="O674" i="1"/>
  <c r="R674" i="1" s="1"/>
  <c r="W674" i="1" s="1"/>
  <c r="O675" i="1"/>
  <c r="R675" i="1" s="1"/>
  <c r="W675" i="1" s="1"/>
  <c r="O676" i="1"/>
  <c r="R676" i="1" s="1"/>
  <c r="W676" i="1" s="1"/>
  <c r="O677" i="1"/>
  <c r="R677" i="1" s="1"/>
  <c r="W677" i="1" s="1"/>
  <c r="O678" i="1"/>
  <c r="O679" i="1"/>
  <c r="O680" i="1"/>
  <c r="R680" i="1" s="1"/>
  <c r="W680" i="1" s="1"/>
  <c r="O681" i="1"/>
  <c r="O682" i="1"/>
  <c r="R682" i="1" s="1"/>
  <c r="W682" i="1" s="1"/>
  <c r="O683" i="1"/>
  <c r="R683" i="1" s="1"/>
  <c r="W683" i="1" s="1"/>
  <c r="O684" i="1"/>
  <c r="R684" i="1" s="1"/>
  <c r="W684" i="1" s="1"/>
  <c r="O685" i="1"/>
  <c r="R685" i="1" s="1"/>
  <c r="W685" i="1" s="1"/>
  <c r="O686" i="1"/>
  <c r="O687" i="1"/>
  <c r="O688" i="1"/>
  <c r="R688" i="1" s="1"/>
  <c r="W688" i="1" s="1"/>
  <c r="O689" i="1"/>
  <c r="O690" i="1"/>
  <c r="R690" i="1" s="1"/>
  <c r="W690" i="1" s="1"/>
  <c r="O691" i="1"/>
  <c r="R691" i="1" s="1"/>
  <c r="W691" i="1" s="1"/>
  <c r="O692" i="1"/>
  <c r="R692" i="1" s="1"/>
  <c r="W692" i="1" s="1"/>
  <c r="O693" i="1"/>
  <c r="R693" i="1" s="1"/>
  <c r="W693" i="1" s="1"/>
  <c r="O694" i="1"/>
  <c r="O695" i="1"/>
  <c r="O696" i="1"/>
  <c r="R696" i="1" s="1"/>
  <c r="W696" i="1" s="1"/>
  <c r="O697" i="1"/>
  <c r="O698" i="1"/>
  <c r="R698" i="1" s="1"/>
  <c r="W698" i="1" s="1"/>
  <c r="O699" i="1"/>
  <c r="R699" i="1" s="1"/>
  <c r="W699" i="1" s="1"/>
  <c r="O700" i="1"/>
  <c r="R700" i="1" s="1"/>
  <c r="W700" i="1" s="1"/>
  <c r="O701" i="1"/>
  <c r="R701" i="1" s="1"/>
  <c r="W701" i="1" s="1"/>
  <c r="O702" i="1"/>
  <c r="O703" i="1"/>
  <c r="O704" i="1"/>
  <c r="R704" i="1" s="1"/>
  <c r="W704" i="1" s="1"/>
  <c r="O705" i="1"/>
  <c r="O706" i="1"/>
  <c r="R706" i="1" s="1"/>
  <c r="W706" i="1" s="1"/>
  <c r="O707" i="1"/>
  <c r="R707" i="1" s="1"/>
  <c r="W707" i="1" s="1"/>
  <c r="O708" i="1"/>
  <c r="R708" i="1" s="1"/>
  <c r="W708" i="1" s="1"/>
  <c r="O709" i="1"/>
  <c r="R709" i="1" s="1"/>
  <c r="W709" i="1" s="1"/>
  <c r="O710" i="1"/>
  <c r="O711" i="1"/>
  <c r="O712" i="1"/>
  <c r="R712" i="1" s="1"/>
  <c r="W712" i="1" s="1"/>
  <c r="O713" i="1"/>
  <c r="O714" i="1"/>
  <c r="R714" i="1" s="1"/>
  <c r="W714" i="1" s="1"/>
  <c r="O715" i="1"/>
  <c r="R715" i="1" s="1"/>
  <c r="W715" i="1" s="1"/>
  <c r="O716" i="1"/>
  <c r="R716" i="1" s="1"/>
  <c r="W716" i="1" s="1"/>
  <c r="O717" i="1"/>
  <c r="R717" i="1" s="1"/>
  <c r="W717" i="1" s="1"/>
  <c r="O718" i="1"/>
  <c r="O719" i="1"/>
  <c r="O720" i="1"/>
  <c r="R720" i="1" s="1"/>
  <c r="W720" i="1" s="1"/>
  <c r="O721" i="1"/>
  <c r="O722" i="1"/>
  <c r="R722" i="1" s="1"/>
  <c r="W722" i="1" s="1"/>
  <c r="O723" i="1"/>
  <c r="R723" i="1" s="1"/>
  <c r="W723" i="1" s="1"/>
  <c r="O724" i="1"/>
  <c r="R724" i="1" s="1"/>
  <c r="W724" i="1" s="1"/>
  <c r="O725" i="1"/>
  <c r="R725" i="1" s="1"/>
  <c r="W725" i="1" s="1"/>
  <c r="O726" i="1"/>
  <c r="O727" i="1"/>
  <c r="O728" i="1"/>
  <c r="R728" i="1" s="1"/>
  <c r="W728" i="1" s="1"/>
  <c r="O729" i="1"/>
  <c r="O730" i="1"/>
  <c r="R730" i="1" s="1"/>
  <c r="W730" i="1" s="1"/>
  <c r="O731" i="1"/>
  <c r="R731" i="1" s="1"/>
  <c r="W731" i="1" s="1"/>
  <c r="O732" i="1"/>
  <c r="R732" i="1" s="1"/>
  <c r="W732" i="1" s="1"/>
  <c r="O733" i="1"/>
  <c r="R733" i="1" s="1"/>
  <c r="W733" i="1" s="1"/>
  <c r="O734" i="1"/>
  <c r="O735" i="1"/>
  <c r="O736" i="1"/>
  <c r="R736" i="1" s="1"/>
  <c r="W736" i="1" s="1"/>
  <c r="O737" i="1"/>
  <c r="O738" i="1"/>
  <c r="R738" i="1" s="1"/>
  <c r="W738" i="1" s="1"/>
  <c r="O739" i="1"/>
  <c r="R739" i="1" s="1"/>
  <c r="W739" i="1" s="1"/>
  <c r="O740" i="1"/>
  <c r="R740" i="1" s="1"/>
  <c r="W740" i="1" s="1"/>
  <c r="O741" i="1"/>
  <c r="R741" i="1" s="1"/>
  <c r="W741" i="1" s="1"/>
  <c r="O742" i="1"/>
  <c r="O743" i="1"/>
  <c r="O744" i="1"/>
  <c r="R744" i="1" s="1"/>
  <c r="W744" i="1" s="1"/>
  <c r="O745" i="1"/>
  <c r="O746" i="1"/>
  <c r="R746" i="1" s="1"/>
  <c r="W746" i="1" s="1"/>
  <c r="O747" i="1"/>
  <c r="R747" i="1" s="1"/>
  <c r="W747" i="1" s="1"/>
  <c r="O748" i="1"/>
  <c r="O749" i="1"/>
  <c r="R749" i="1" s="1"/>
  <c r="W749" i="1" s="1"/>
  <c r="O750" i="1"/>
  <c r="O751" i="1"/>
  <c r="O752" i="1"/>
  <c r="R752" i="1" s="1"/>
  <c r="W752" i="1" s="1"/>
  <c r="O753" i="1"/>
  <c r="O754" i="1"/>
  <c r="R754" i="1" s="1"/>
  <c r="W754" i="1" s="1"/>
  <c r="O755" i="1"/>
  <c r="R755" i="1" s="1"/>
  <c r="W755" i="1" s="1"/>
  <c r="O756" i="1"/>
  <c r="O757" i="1"/>
  <c r="R757" i="1" s="1"/>
  <c r="W757" i="1" s="1"/>
  <c r="O758" i="1"/>
  <c r="O759" i="1"/>
  <c r="O760" i="1"/>
  <c r="R760" i="1" s="1"/>
  <c r="W760" i="1" s="1"/>
  <c r="O761" i="1"/>
  <c r="O762" i="1"/>
  <c r="R762" i="1" s="1"/>
  <c r="W762" i="1" s="1"/>
  <c r="O763" i="1"/>
  <c r="R763" i="1" s="1"/>
  <c r="W763" i="1" s="1"/>
  <c r="O764" i="1"/>
  <c r="O765" i="1"/>
  <c r="R765" i="1" s="1"/>
  <c r="W765" i="1" s="1"/>
  <c r="O766" i="1"/>
  <c r="O767" i="1"/>
  <c r="O768" i="1"/>
  <c r="R768" i="1" s="1"/>
  <c r="W768" i="1" s="1"/>
  <c r="K14" i="2"/>
  <c r="K32" i="2"/>
  <c r="K40" i="2"/>
  <c r="K48" i="2"/>
  <c r="K66" i="2"/>
  <c r="K95" i="2"/>
  <c r="K96" i="2"/>
  <c r="K100" i="2"/>
  <c r="K116" i="2"/>
  <c r="K199" i="2"/>
  <c r="K212" i="2"/>
  <c r="K220" i="2"/>
  <c r="K226" i="2"/>
  <c r="K231" i="2"/>
  <c r="K241" i="2"/>
  <c r="K248" i="2"/>
  <c r="K283" i="2"/>
  <c r="K301" i="2"/>
  <c r="K302" i="2"/>
  <c r="K314" i="2"/>
  <c r="K324" i="2"/>
  <c r="K325" i="2"/>
  <c r="K326" i="2"/>
  <c r="K338" i="2"/>
  <c r="K346" i="2"/>
  <c r="K363" i="2"/>
  <c r="K364" i="2"/>
  <c r="K369" i="2"/>
  <c r="K373" i="2"/>
  <c r="K377" i="2"/>
  <c r="K384" i="2"/>
  <c r="K400" i="2"/>
  <c r="K409" i="2"/>
  <c r="K424" i="2"/>
  <c r="K425" i="2"/>
  <c r="K436" i="2"/>
  <c r="K440" i="2"/>
  <c r="K450" i="2"/>
  <c r="K453" i="2"/>
  <c r="K456" i="2"/>
  <c r="K465" i="2"/>
  <c r="K470" i="2"/>
  <c r="K471" i="2"/>
  <c r="K499" i="2"/>
  <c r="K506" i="2"/>
  <c r="K513" i="2"/>
  <c r="K520" i="2"/>
  <c r="K527" i="2"/>
  <c r="K530" i="2"/>
  <c r="K563" i="2"/>
  <c r="K569" i="2"/>
  <c r="K575" i="2"/>
  <c r="K576" i="2"/>
  <c r="K587" i="2"/>
  <c r="K603" i="2"/>
  <c r="K607" i="2"/>
  <c r="K614" i="2"/>
  <c r="K621" i="2"/>
  <c r="K625" i="2"/>
  <c r="K636" i="2"/>
  <c r="K643" i="2"/>
  <c r="K657" i="2"/>
  <c r="K658" i="2"/>
  <c r="K659" i="2"/>
  <c r="K664" i="2"/>
  <c r="K665" i="2"/>
  <c r="K692" i="2"/>
  <c r="K693" i="2"/>
  <c r="K706" i="2"/>
  <c r="K715" i="2"/>
  <c r="K718" i="2"/>
  <c r="K723" i="2"/>
  <c r="K724" i="2"/>
  <c r="K732" i="2"/>
  <c r="K737" i="2"/>
  <c r="K769" i="2"/>
  <c r="K780" i="2"/>
  <c r="K781" i="2"/>
  <c r="K799" i="2"/>
  <c r="K811" i="2"/>
  <c r="K841" i="2"/>
  <c r="K854" i="2"/>
  <c r="K887" i="2"/>
  <c r="K888" i="2"/>
  <c r="K889" i="2"/>
  <c r="K899" i="2"/>
  <c r="K908" i="2"/>
  <c r="K909" i="2"/>
  <c r="K938" i="2"/>
  <c r="K951" i="2"/>
  <c r="K956" i="2"/>
  <c r="K961" i="2"/>
  <c r="K962" i="2"/>
  <c r="K963" i="2"/>
  <c r="K968" i="2"/>
  <c r="K973" i="2"/>
  <c r="K974" i="2"/>
  <c r="K978" i="2"/>
  <c r="K979" i="2"/>
  <c r="K980" i="2"/>
  <c r="K985" i="2"/>
  <c r="K989" i="2"/>
  <c r="K998" i="2"/>
  <c r="K1010" i="2"/>
  <c r="K1041" i="2"/>
  <c r="K1042" i="2"/>
  <c r="K1043" i="2"/>
  <c r="K1047" i="2"/>
  <c r="K1068" i="2"/>
  <c r="K1081" i="2"/>
  <c r="K1082" i="2"/>
  <c r="K1083" i="2"/>
  <c r="K1094" i="2"/>
  <c r="K1095" i="2"/>
  <c r="K1096" i="2"/>
  <c r="K1112" i="2"/>
  <c r="K1113" i="2"/>
  <c r="K1119" i="2"/>
  <c r="K1134" i="2"/>
  <c r="K1143" i="2"/>
  <c r="K1150" i="2"/>
  <c r="K1151" i="2"/>
  <c r="K1169" i="2"/>
  <c r="K1194" i="2"/>
  <c r="K1195" i="2"/>
  <c r="K1196" i="2"/>
  <c r="K1197" i="2"/>
  <c r="K1220" i="2"/>
  <c r="K1233" i="2"/>
  <c r="K1247" i="2"/>
  <c r="K1250" i="2"/>
  <c r="K1253" i="2"/>
  <c r="K1254" i="2"/>
  <c r="K1255" i="2"/>
  <c r="K1260" i="2"/>
  <c r="K1265" i="2"/>
  <c r="K1284" i="2"/>
  <c r="K1285" i="2"/>
  <c r="K1291" i="2"/>
  <c r="K1292" i="2"/>
  <c r="K1323" i="2"/>
  <c r="K1344" i="2"/>
  <c r="K1373" i="2"/>
  <c r="K1382" i="2"/>
  <c r="K1391" i="2"/>
  <c r="K1399" i="2"/>
  <c r="K1410" i="2"/>
  <c r="K1419" i="2"/>
  <c r="K1425" i="2"/>
  <c r="K1426" i="2"/>
  <c r="K1427" i="2"/>
  <c r="K1430" i="2"/>
  <c r="K1444" i="2"/>
  <c r="K1453" i="2"/>
  <c r="K1489" i="2"/>
  <c r="K1490" i="2"/>
  <c r="K1500" i="2"/>
  <c r="K1501" i="2"/>
  <c r="K1514" i="2"/>
  <c r="K1529" i="2"/>
  <c r="K1530" i="2"/>
  <c r="K1546" i="2"/>
  <c r="K1554" i="2"/>
  <c r="K1565" i="2"/>
  <c r="K1572" i="2"/>
  <c r="K1585" i="2"/>
  <c r="K1586" i="2"/>
  <c r="K1589" i="2"/>
  <c r="K1592" i="2"/>
  <c r="K1611" i="2"/>
  <c r="K1621" i="2"/>
  <c r="K1640" i="2"/>
  <c r="K1641" i="2"/>
  <c r="K1688" i="2"/>
  <c r="K1697" i="2"/>
  <c r="K1700" i="2"/>
  <c r="K1701" i="2"/>
  <c r="K1709" i="2"/>
  <c r="K1722" i="2"/>
  <c r="K1731" i="2"/>
  <c r="K1741" i="2"/>
  <c r="K1742" i="2"/>
  <c r="K1745" i="2"/>
  <c r="K1750" i="2"/>
  <c r="K1761" i="2"/>
  <c r="K1779" i="2"/>
  <c r="K1794" i="2"/>
  <c r="K1800" i="2"/>
  <c r="K1808" i="2"/>
  <c r="K1828" i="2"/>
  <c r="K1852" i="2"/>
  <c r="K1855" i="2"/>
  <c r="K1861" i="2"/>
  <c r="K1875" i="2"/>
  <c r="K1882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R764" i="1" l="1"/>
  <c r="W764" i="1" s="1"/>
  <c r="R756" i="1"/>
  <c r="W756" i="1" s="1"/>
  <c r="R748" i="1"/>
  <c r="W748" i="1" s="1"/>
  <c r="Y722" i="1"/>
  <c r="Z722" i="1" s="1"/>
  <c r="Y666" i="1"/>
  <c r="Z666" i="1" s="1"/>
  <c r="Y610" i="1"/>
  <c r="Z610" i="1" s="1"/>
  <c r="Y546" i="1"/>
  <c r="Z546" i="1" s="1"/>
  <c r="Y490" i="1"/>
  <c r="Z490" i="1" s="1"/>
  <c r="Y434" i="1"/>
  <c r="Z434" i="1" s="1"/>
  <c r="Y370" i="1"/>
  <c r="Z370" i="1" s="1"/>
  <c r="Y314" i="1"/>
  <c r="Z314" i="1" s="1"/>
  <c r="Y258" i="1"/>
  <c r="Z258" i="1" s="1"/>
  <c r="Y194" i="1"/>
  <c r="Z194" i="1" s="1"/>
  <c r="Y138" i="1"/>
  <c r="Z138" i="1" s="1"/>
  <c r="Y82" i="1"/>
  <c r="Z82" i="1" s="1"/>
  <c r="Y42" i="1"/>
  <c r="Z42" i="1" s="1"/>
  <c r="R753" i="1"/>
  <c r="W753" i="1" s="1"/>
  <c r="R729" i="1"/>
  <c r="W729" i="1" s="1"/>
  <c r="R705" i="1"/>
  <c r="W705" i="1" s="1"/>
  <c r="R689" i="1"/>
  <c r="W689" i="1" s="1"/>
  <c r="R673" i="1"/>
  <c r="W673" i="1" s="1"/>
  <c r="R641" i="1"/>
  <c r="W641" i="1" s="1"/>
  <c r="R625" i="1"/>
  <c r="W625" i="1" s="1"/>
  <c r="R617" i="1"/>
  <c r="W617" i="1" s="1"/>
  <c r="R609" i="1"/>
  <c r="W609" i="1" s="1"/>
  <c r="R601" i="1"/>
  <c r="W601" i="1" s="1"/>
  <c r="R585" i="1"/>
  <c r="W585" i="1" s="1"/>
  <c r="R577" i="1"/>
  <c r="W577" i="1" s="1"/>
  <c r="R569" i="1"/>
  <c r="W569" i="1" s="1"/>
  <c r="R561" i="1"/>
  <c r="W561" i="1" s="1"/>
  <c r="R553" i="1"/>
  <c r="W553" i="1" s="1"/>
  <c r="R545" i="1"/>
  <c r="W545" i="1" s="1"/>
  <c r="R537" i="1"/>
  <c r="W537" i="1" s="1"/>
  <c r="R529" i="1"/>
  <c r="W529" i="1" s="1"/>
  <c r="R521" i="1"/>
  <c r="W521" i="1" s="1"/>
  <c r="R513" i="1"/>
  <c r="W513" i="1" s="1"/>
  <c r="R505" i="1"/>
  <c r="W505" i="1" s="1"/>
  <c r="R497" i="1"/>
  <c r="W497" i="1" s="1"/>
  <c r="R489" i="1"/>
  <c r="W489" i="1" s="1"/>
  <c r="R481" i="1"/>
  <c r="W481" i="1" s="1"/>
  <c r="R473" i="1"/>
  <c r="W473" i="1" s="1"/>
  <c r="R465" i="1"/>
  <c r="W465" i="1" s="1"/>
  <c r="R457" i="1"/>
  <c r="W457" i="1" s="1"/>
  <c r="R449" i="1"/>
  <c r="W449" i="1" s="1"/>
  <c r="R441" i="1"/>
  <c r="W441" i="1" s="1"/>
  <c r="R433" i="1"/>
  <c r="W433" i="1" s="1"/>
  <c r="R425" i="1"/>
  <c r="W425" i="1" s="1"/>
  <c r="R417" i="1"/>
  <c r="W417" i="1" s="1"/>
  <c r="R409" i="1"/>
  <c r="W409" i="1" s="1"/>
  <c r="R401" i="1"/>
  <c r="W401" i="1" s="1"/>
  <c r="R393" i="1"/>
  <c r="W393" i="1" s="1"/>
  <c r="R385" i="1"/>
  <c r="W385" i="1" s="1"/>
  <c r="R377" i="1"/>
  <c r="W377" i="1" s="1"/>
  <c r="R369" i="1"/>
  <c r="W369" i="1" s="1"/>
  <c r="R361" i="1"/>
  <c r="W361" i="1" s="1"/>
  <c r="R353" i="1"/>
  <c r="W353" i="1" s="1"/>
  <c r="R345" i="1"/>
  <c r="W345" i="1" s="1"/>
  <c r="R337" i="1"/>
  <c r="W337" i="1" s="1"/>
  <c r="R329" i="1"/>
  <c r="W329" i="1" s="1"/>
  <c r="R321" i="1"/>
  <c r="W321" i="1" s="1"/>
  <c r="R313" i="1"/>
  <c r="W313" i="1" s="1"/>
  <c r="R305" i="1"/>
  <c r="W305" i="1" s="1"/>
  <c r="R297" i="1"/>
  <c r="W297" i="1" s="1"/>
  <c r="R289" i="1"/>
  <c r="W289" i="1" s="1"/>
  <c r="R281" i="1"/>
  <c r="W281" i="1" s="1"/>
  <c r="R273" i="1"/>
  <c r="W273" i="1" s="1"/>
  <c r="R265" i="1"/>
  <c r="W265" i="1" s="1"/>
  <c r="R257" i="1"/>
  <c r="W257" i="1" s="1"/>
  <c r="R249" i="1"/>
  <c r="W249" i="1" s="1"/>
  <c r="R241" i="1"/>
  <c r="W241" i="1" s="1"/>
  <c r="R233" i="1"/>
  <c r="W233" i="1" s="1"/>
  <c r="R225" i="1"/>
  <c r="W225" i="1" s="1"/>
  <c r="R217" i="1"/>
  <c r="W217" i="1" s="1"/>
  <c r="R209" i="1"/>
  <c r="W209" i="1" s="1"/>
  <c r="R201" i="1"/>
  <c r="W201" i="1" s="1"/>
  <c r="R193" i="1"/>
  <c r="W193" i="1" s="1"/>
  <c r="R185" i="1"/>
  <c r="W185" i="1" s="1"/>
  <c r="R177" i="1"/>
  <c r="W177" i="1" s="1"/>
  <c r="R169" i="1"/>
  <c r="W169" i="1" s="1"/>
  <c r="R161" i="1"/>
  <c r="W161" i="1" s="1"/>
  <c r="R153" i="1"/>
  <c r="W153" i="1" s="1"/>
  <c r="R145" i="1"/>
  <c r="W145" i="1" s="1"/>
  <c r="R137" i="1"/>
  <c r="W137" i="1" s="1"/>
  <c r="R129" i="1"/>
  <c r="W129" i="1" s="1"/>
  <c r="R121" i="1"/>
  <c r="W121" i="1" s="1"/>
  <c r="R113" i="1"/>
  <c r="W113" i="1" s="1"/>
  <c r="R105" i="1"/>
  <c r="W105" i="1" s="1"/>
  <c r="R97" i="1"/>
  <c r="W97" i="1" s="1"/>
  <c r="R89" i="1"/>
  <c r="W89" i="1" s="1"/>
  <c r="R81" i="1"/>
  <c r="W81" i="1" s="1"/>
  <c r="R73" i="1"/>
  <c r="W73" i="1" s="1"/>
  <c r="R65" i="1"/>
  <c r="W65" i="1" s="1"/>
  <c r="R57" i="1"/>
  <c r="W57" i="1" s="1"/>
  <c r="R49" i="1"/>
  <c r="W49" i="1" s="1"/>
  <c r="R41" i="1"/>
  <c r="W41" i="1" s="1"/>
  <c r="R33" i="1"/>
  <c r="W33" i="1" s="1"/>
  <c r="R25" i="1"/>
  <c r="W25" i="1" s="1"/>
  <c r="R17" i="1"/>
  <c r="W17" i="1" s="1"/>
  <c r="Z714" i="1"/>
  <c r="Y714" i="1"/>
  <c r="Y658" i="1"/>
  <c r="Z658" i="1" s="1"/>
  <c r="Y594" i="1"/>
  <c r="Z594" i="1" s="1"/>
  <c r="Y538" i="1"/>
  <c r="Z538" i="1" s="1"/>
  <c r="Y482" i="1"/>
  <c r="Z482" i="1" s="1"/>
  <c r="Y418" i="1"/>
  <c r="Z418" i="1" s="1"/>
  <c r="Y362" i="1"/>
  <c r="Z362" i="1" s="1"/>
  <c r="Z306" i="1"/>
  <c r="Y306" i="1"/>
  <c r="Y250" i="1"/>
  <c r="Z250" i="1" s="1"/>
  <c r="Y186" i="1"/>
  <c r="Z186" i="1" s="1"/>
  <c r="Y122" i="1"/>
  <c r="Z122" i="1" s="1"/>
  <c r="Z74" i="1"/>
  <c r="Y74" i="1"/>
  <c r="Y18" i="1"/>
  <c r="Z18" i="1" s="1"/>
  <c r="R745" i="1"/>
  <c r="W745" i="1" s="1"/>
  <c r="R657" i="1"/>
  <c r="W657" i="1" s="1"/>
  <c r="Y760" i="1"/>
  <c r="Z760" i="1" s="1"/>
  <c r="Y736" i="1"/>
  <c r="Z736" i="1" s="1"/>
  <c r="Y720" i="1"/>
  <c r="Z720" i="1" s="1"/>
  <c r="Y704" i="1"/>
  <c r="Z704" i="1" s="1"/>
  <c r="Y680" i="1"/>
  <c r="Z680" i="1" s="1"/>
  <c r="Y664" i="1"/>
  <c r="Z664" i="1" s="1"/>
  <c r="Y648" i="1"/>
  <c r="Z648" i="1" s="1"/>
  <c r="Y632" i="1"/>
  <c r="Z632" i="1" s="1"/>
  <c r="Y608" i="1"/>
  <c r="Z608" i="1" s="1"/>
  <c r="Y592" i="1"/>
  <c r="Z592" i="1" s="1"/>
  <c r="Y576" i="1"/>
  <c r="Z576" i="1" s="1"/>
  <c r="Y552" i="1"/>
  <c r="Z552" i="1" s="1"/>
  <c r="Y536" i="1"/>
  <c r="Z536" i="1" s="1"/>
  <c r="Y520" i="1"/>
  <c r="Z520" i="1" s="1"/>
  <c r="Y504" i="1"/>
  <c r="Z504" i="1" s="1"/>
  <c r="Y480" i="1"/>
  <c r="Z480" i="1" s="1"/>
  <c r="Y448" i="1"/>
  <c r="Z448" i="1" s="1"/>
  <c r="Z432" i="1"/>
  <c r="Y432" i="1"/>
  <c r="Y408" i="1"/>
  <c r="Z408" i="1" s="1"/>
  <c r="Y392" i="1"/>
  <c r="Z392" i="1" s="1"/>
  <c r="Z360" i="1"/>
  <c r="Y360" i="1"/>
  <c r="Y344" i="1"/>
  <c r="Z344" i="1" s="1"/>
  <c r="Y328" i="1"/>
  <c r="Z328" i="1" s="1"/>
  <c r="Y304" i="1"/>
  <c r="Z304" i="1" s="1"/>
  <c r="Y288" i="1"/>
  <c r="Z288" i="1" s="1"/>
  <c r="Y272" i="1"/>
  <c r="Z272" i="1" s="1"/>
  <c r="Y256" i="1"/>
  <c r="Z256" i="1" s="1"/>
  <c r="Y248" i="1"/>
  <c r="Z248" i="1" s="1"/>
  <c r="Y240" i="1"/>
  <c r="Z240" i="1" s="1"/>
  <c r="Y224" i="1"/>
  <c r="Z224" i="1" s="1"/>
  <c r="Y216" i="1"/>
  <c r="Z216" i="1" s="1"/>
  <c r="Y208" i="1"/>
  <c r="Z208" i="1" s="1"/>
  <c r="Y200" i="1"/>
  <c r="Z200" i="1" s="1"/>
  <c r="Y192" i="1"/>
  <c r="Z192" i="1" s="1"/>
  <c r="Y184" i="1"/>
  <c r="Z184" i="1" s="1"/>
  <c r="Y176" i="1"/>
  <c r="Z176" i="1" s="1"/>
  <c r="Z168" i="1"/>
  <c r="Y168" i="1"/>
  <c r="Z160" i="1"/>
  <c r="Y160" i="1"/>
  <c r="Y152" i="1"/>
  <c r="Z152" i="1" s="1"/>
  <c r="Y144" i="1"/>
  <c r="Z144" i="1" s="1"/>
  <c r="Y136" i="1"/>
  <c r="Z136" i="1" s="1"/>
  <c r="Y128" i="1"/>
  <c r="Z128" i="1" s="1"/>
  <c r="Y120" i="1"/>
  <c r="Z120" i="1" s="1"/>
  <c r="Y112" i="1"/>
  <c r="Z112" i="1" s="1"/>
  <c r="Y104" i="1"/>
  <c r="Z104" i="1" s="1"/>
  <c r="Y96" i="1"/>
  <c r="Z96" i="1" s="1"/>
  <c r="Z88" i="1"/>
  <c r="Y88" i="1"/>
  <c r="Y80" i="1"/>
  <c r="Z80" i="1" s="1"/>
  <c r="Y72" i="1"/>
  <c r="Z72" i="1" s="1"/>
  <c r="Y64" i="1"/>
  <c r="Z64" i="1" s="1"/>
  <c r="Z56" i="1"/>
  <c r="Y56" i="1"/>
  <c r="Y48" i="1"/>
  <c r="Z48" i="1" s="1"/>
  <c r="Y40" i="1"/>
  <c r="Z40" i="1" s="1"/>
  <c r="Y32" i="1"/>
  <c r="Z32" i="1" s="1"/>
  <c r="Y24" i="1"/>
  <c r="Z24" i="1" s="1"/>
  <c r="Y16" i="1"/>
  <c r="Z16" i="1" s="1"/>
  <c r="Y8" i="1"/>
  <c r="Z8" i="1" s="1"/>
  <c r="Y730" i="1"/>
  <c r="Z730" i="1" s="1"/>
  <c r="Y674" i="1"/>
  <c r="Z674" i="1" s="1"/>
  <c r="Y642" i="1"/>
  <c r="Z642" i="1" s="1"/>
  <c r="Y602" i="1"/>
  <c r="Z602" i="1" s="1"/>
  <c r="Y554" i="1"/>
  <c r="Z554" i="1" s="1"/>
  <c r="Y498" i="1"/>
  <c r="Z498" i="1" s="1"/>
  <c r="Y450" i="1"/>
  <c r="Z450" i="1" s="1"/>
  <c r="Y426" i="1"/>
  <c r="Z426" i="1" s="1"/>
  <c r="Y378" i="1"/>
  <c r="Z378" i="1" s="1"/>
  <c r="Y322" i="1"/>
  <c r="Z322" i="1" s="1"/>
  <c r="Y274" i="1"/>
  <c r="Z274" i="1" s="1"/>
  <c r="Y242" i="1"/>
  <c r="Z242" i="1" s="1"/>
  <c r="Y202" i="1"/>
  <c r="Z202" i="1" s="1"/>
  <c r="Y146" i="1"/>
  <c r="Z146" i="1" s="1"/>
  <c r="Y106" i="1"/>
  <c r="Z106" i="1" s="1"/>
  <c r="Y50" i="1"/>
  <c r="Z50" i="1" s="1"/>
  <c r="Y34" i="1"/>
  <c r="Z34" i="1" s="1"/>
  <c r="Y2" i="1"/>
  <c r="Z2" i="1" s="1"/>
  <c r="R761" i="1"/>
  <c r="W761" i="1" s="1"/>
  <c r="R737" i="1"/>
  <c r="W737" i="1" s="1"/>
  <c r="R721" i="1"/>
  <c r="W721" i="1" s="1"/>
  <c r="R713" i="1"/>
  <c r="W713" i="1" s="1"/>
  <c r="R697" i="1"/>
  <c r="W697" i="1" s="1"/>
  <c r="R681" i="1"/>
  <c r="W681" i="1" s="1"/>
  <c r="R665" i="1"/>
  <c r="W665" i="1" s="1"/>
  <c r="R649" i="1"/>
  <c r="W649" i="1" s="1"/>
  <c r="R633" i="1"/>
  <c r="W633" i="1" s="1"/>
  <c r="R593" i="1"/>
  <c r="W593" i="1" s="1"/>
  <c r="Y768" i="1"/>
  <c r="Z768" i="1" s="1"/>
  <c r="Y752" i="1"/>
  <c r="Z752" i="1" s="1"/>
  <c r="Y744" i="1"/>
  <c r="Z744" i="1" s="1"/>
  <c r="Y728" i="1"/>
  <c r="Z728" i="1" s="1"/>
  <c r="Y712" i="1"/>
  <c r="Z712" i="1" s="1"/>
  <c r="Y696" i="1"/>
  <c r="Z696" i="1" s="1"/>
  <c r="Y688" i="1"/>
  <c r="Z688" i="1" s="1"/>
  <c r="Y672" i="1"/>
  <c r="Z672" i="1" s="1"/>
  <c r="Z656" i="1"/>
  <c r="Y656" i="1"/>
  <c r="Y640" i="1"/>
  <c r="Z640" i="1" s="1"/>
  <c r="Y624" i="1"/>
  <c r="Z624" i="1" s="1"/>
  <c r="Y616" i="1"/>
  <c r="Z616" i="1" s="1"/>
  <c r="Y600" i="1"/>
  <c r="Z600" i="1" s="1"/>
  <c r="Y584" i="1"/>
  <c r="Z584" i="1" s="1"/>
  <c r="Y568" i="1"/>
  <c r="Z568" i="1" s="1"/>
  <c r="Y560" i="1"/>
  <c r="Z560" i="1" s="1"/>
  <c r="Y544" i="1"/>
  <c r="Z544" i="1" s="1"/>
  <c r="Y528" i="1"/>
  <c r="Z528" i="1" s="1"/>
  <c r="Y512" i="1"/>
  <c r="Z512" i="1" s="1"/>
  <c r="Y496" i="1"/>
  <c r="Z496" i="1" s="1"/>
  <c r="Y488" i="1"/>
  <c r="Z488" i="1" s="1"/>
  <c r="Y472" i="1"/>
  <c r="Z472" i="1" s="1"/>
  <c r="Y456" i="1"/>
  <c r="Z456" i="1" s="1"/>
  <c r="Y440" i="1"/>
  <c r="Z440" i="1" s="1"/>
  <c r="Y424" i="1"/>
  <c r="Z424" i="1" s="1"/>
  <c r="Y416" i="1"/>
  <c r="Z416" i="1" s="1"/>
  <c r="Z400" i="1"/>
  <c r="Y400" i="1"/>
  <c r="Y384" i="1"/>
  <c r="Z384" i="1" s="1"/>
  <c r="Y368" i="1"/>
  <c r="Z368" i="1" s="1"/>
  <c r="Y352" i="1"/>
  <c r="Z352" i="1" s="1"/>
  <c r="Y336" i="1"/>
  <c r="Z336" i="1" s="1"/>
  <c r="Y320" i="1"/>
  <c r="Z320" i="1" s="1"/>
  <c r="Y312" i="1"/>
  <c r="Z312" i="1" s="1"/>
  <c r="Y296" i="1"/>
  <c r="Z296" i="1" s="1"/>
  <c r="Y280" i="1"/>
  <c r="Z280" i="1" s="1"/>
  <c r="Y264" i="1"/>
  <c r="Z264" i="1" s="1"/>
  <c r="Y232" i="1"/>
  <c r="Z232" i="1" s="1"/>
  <c r="Y746" i="1"/>
  <c r="Z746" i="1" s="1"/>
  <c r="Y698" i="1"/>
  <c r="Z698" i="1" s="1"/>
  <c r="Y634" i="1"/>
  <c r="Z634" i="1" s="1"/>
  <c r="Z570" i="1"/>
  <c r="Y570" i="1"/>
  <c r="Y522" i="1"/>
  <c r="Z522" i="1" s="1"/>
  <c r="Y474" i="1"/>
  <c r="Z474" i="1" s="1"/>
  <c r="Y410" i="1"/>
  <c r="Z410" i="1" s="1"/>
  <c r="Y346" i="1"/>
  <c r="Z346" i="1" s="1"/>
  <c r="Y290" i="1"/>
  <c r="Z290" i="1" s="1"/>
  <c r="Y218" i="1"/>
  <c r="Z218" i="1" s="1"/>
  <c r="Y162" i="1"/>
  <c r="Z162" i="1" s="1"/>
  <c r="Y90" i="1"/>
  <c r="Z90" i="1" s="1"/>
  <c r="Y762" i="1"/>
  <c r="Z762" i="1" s="1"/>
  <c r="Y706" i="1"/>
  <c r="Z706" i="1" s="1"/>
  <c r="Y650" i="1"/>
  <c r="Z650" i="1" s="1"/>
  <c r="Y586" i="1"/>
  <c r="Z586" i="1" s="1"/>
  <c r="Y530" i="1"/>
  <c r="Z530" i="1" s="1"/>
  <c r="Y466" i="1"/>
  <c r="Z466" i="1" s="1"/>
  <c r="Y394" i="1"/>
  <c r="Z394" i="1" s="1"/>
  <c r="Y338" i="1"/>
  <c r="Z338" i="1" s="1"/>
  <c r="Y282" i="1"/>
  <c r="Z282" i="1" s="1"/>
  <c r="Y226" i="1"/>
  <c r="Z226" i="1" s="1"/>
  <c r="Y170" i="1"/>
  <c r="Z170" i="1" s="1"/>
  <c r="Y98" i="1"/>
  <c r="Z98" i="1" s="1"/>
  <c r="Z765" i="1"/>
  <c r="Y765" i="1"/>
  <c r="Y757" i="1"/>
  <c r="Z757" i="1" s="1"/>
  <c r="Y749" i="1"/>
  <c r="Z749" i="1" s="1"/>
  <c r="Y741" i="1"/>
  <c r="Z741" i="1" s="1"/>
  <c r="Y733" i="1"/>
  <c r="Z733" i="1" s="1"/>
  <c r="Y725" i="1"/>
  <c r="Z725" i="1" s="1"/>
  <c r="Y717" i="1"/>
  <c r="Z717" i="1" s="1"/>
  <c r="Y709" i="1"/>
  <c r="Z709" i="1" s="1"/>
  <c r="Y701" i="1"/>
  <c r="Z701" i="1" s="1"/>
  <c r="Y693" i="1"/>
  <c r="Z693" i="1" s="1"/>
  <c r="Y685" i="1"/>
  <c r="Z685" i="1" s="1"/>
  <c r="Y677" i="1"/>
  <c r="Z677" i="1" s="1"/>
  <c r="Z669" i="1"/>
  <c r="Y669" i="1"/>
  <c r="Y661" i="1"/>
  <c r="Z661" i="1" s="1"/>
  <c r="Y653" i="1"/>
  <c r="Z653" i="1" s="1"/>
  <c r="Y645" i="1"/>
  <c r="Z645" i="1" s="1"/>
  <c r="Z637" i="1"/>
  <c r="Y637" i="1"/>
  <c r="Z629" i="1"/>
  <c r="Y629" i="1"/>
  <c r="Y621" i="1"/>
  <c r="Z621" i="1" s="1"/>
  <c r="Y613" i="1"/>
  <c r="Z613" i="1" s="1"/>
  <c r="Y605" i="1"/>
  <c r="Z605" i="1" s="1"/>
  <c r="Y597" i="1"/>
  <c r="Z597" i="1" s="1"/>
  <c r="Y589" i="1"/>
  <c r="Z589" i="1" s="1"/>
  <c r="Y581" i="1"/>
  <c r="Z581" i="1" s="1"/>
  <c r="Y573" i="1"/>
  <c r="Z573" i="1" s="1"/>
  <c r="Y565" i="1"/>
  <c r="Z565" i="1" s="1"/>
  <c r="Y557" i="1"/>
  <c r="Z557" i="1" s="1"/>
  <c r="Y549" i="1"/>
  <c r="Z549" i="1" s="1"/>
  <c r="Y541" i="1"/>
  <c r="Z541" i="1" s="1"/>
  <c r="Z533" i="1"/>
  <c r="Y533" i="1"/>
  <c r="Y525" i="1"/>
  <c r="Z525" i="1" s="1"/>
  <c r="Y517" i="1"/>
  <c r="Z517" i="1" s="1"/>
  <c r="Y509" i="1"/>
  <c r="Z509" i="1" s="1"/>
  <c r="Y501" i="1"/>
  <c r="Z501" i="1" s="1"/>
  <c r="Y493" i="1"/>
  <c r="Z493" i="1" s="1"/>
  <c r="Y485" i="1"/>
  <c r="Z485" i="1" s="1"/>
  <c r="Z477" i="1"/>
  <c r="Y477" i="1"/>
  <c r="Y469" i="1"/>
  <c r="Z469" i="1" s="1"/>
  <c r="Y461" i="1"/>
  <c r="Z461" i="1" s="1"/>
  <c r="Y453" i="1"/>
  <c r="Z453" i="1" s="1"/>
  <c r="Y445" i="1"/>
  <c r="Z445" i="1" s="1"/>
  <c r="Y437" i="1"/>
  <c r="Z437" i="1" s="1"/>
  <c r="Y429" i="1"/>
  <c r="Z429" i="1" s="1"/>
  <c r="Y421" i="1"/>
  <c r="Z421" i="1" s="1"/>
  <c r="Y413" i="1"/>
  <c r="Z413" i="1" s="1"/>
  <c r="Y405" i="1"/>
  <c r="Z405" i="1" s="1"/>
  <c r="Y397" i="1"/>
  <c r="Z397" i="1" s="1"/>
  <c r="Y389" i="1"/>
  <c r="Z389" i="1" s="1"/>
  <c r="Y381" i="1"/>
  <c r="Z381" i="1" s="1"/>
  <c r="Z373" i="1"/>
  <c r="Y373" i="1"/>
  <c r="Y365" i="1"/>
  <c r="Z365" i="1" s="1"/>
  <c r="Y357" i="1"/>
  <c r="Z357" i="1" s="1"/>
  <c r="Y349" i="1"/>
  <c r="Z349" i="1" s="1"/>
  <c r="Y341" i="1"/>
  <c r="Z341" i="1" s="1"/>
  <c r="Y333" i="1"/>
  <c r="Z333" i="1" s="1"/>
  <c r="Y325" i="1"/>
  <c r="Z325" i="1" s="1"/>
  <c r="Y317" i="1"/>
  <c r="Z317" i="1" s="1"/>
  <c r="Y309" i="1"/>
  <c r="Z309" i="1" s="1"/>
  <c r="Y301" i="1"/>
  <c r="Z301" i="1" s="1"/>
  <c r="Y293" i="1"/>
  <c r="Z293" i="1" s="1"/>
  <c r="Y285" i="1"/>
  <c r="Z285" i="1" s="1"/>
  <c r="Y277" i="1"/>
  <c r="Z277" i="1" s="1"/>
  <c r="Y269" i="1"/>
  <c r="Z269" i="1" s="1"/>
  <c r="Y261" i="1"/>
  <c r="Z261" i="1" s="1"/>
  <c r="Y253" i="1"/>
  <c r="Z253" i="1" s="1"/>
  <c r="Y245" i="1"/>
  <c r="Z245" i="1" s="1"/>
  <c r="Y237" i="1"/>
  <c r="Z237" i="1" s="1"/>
  <c r="Y229" i="1"/>
  <c r="Z229" i="1" s="1"/>
  <c r="Y221" i="1"/>
  <c r="Z221" i="1" s="1"/>
  <c r="Y213" i="1"/>
  <c r="Z213" i="1" s="1"/>
  <c r="Y205" i="1"/>
  <c r="Z205" i="1" s="1"/>
  <c r="Y197" i="1"/>
  <c r="Z197" i="1" s="1"/>
  <c r="Y189" i="1"/>
  <c r="Z189" i="1" s="1"/>
  <c r="Y181" i="1"/>
  <c r="Z181" i="1" s="1"/>
  <c r="Y173" i="1"/>
  <c r="Z173" i="1" s="1"/>
  <c r="Y165" i="1"/>
  <c r="Z165" i="1" s="1"/>
  <c r="Y157" i="1"/>
  <c r="Z157" i="1" s="1"/>
  <c r="Y149" i="1"/>
  <c r="Z149" i="1" s="1"/>
  <c r="Y141" i="1"/>
  <c r="Z141" i="1" s="1"/>
  <c r="Y133" i="1"/>
  <c r="Z133" i="1" s="1"/>
  <c r="Y125" i="1"/>
  <c r="Z125" i="1" s="1"/>
  <c r="Y117" i="1"/>
  <c r="Z117" i="1" s="1"/>
  <c r="Y109" i="1"/>
  <c r="Z109" i="1" s="1"/>
  <c r="Y101" i="1"/>
  <c r="Z101" i="1" s="1"/>
  <c r="Y93" i="1"/>
  <c r="Z93" i="1" s="1"/>
  <c r="Y85" i="1"/>
  <c r="Z85" i="1" s="1"/>
  <c r="Y77" i="1"/>
  <c r="Z77" i="1" s="1"/>
  <c r="Y69" i="1"/>
  <c r="Z69" i="1" s="1"/>
  <c r="Y61" i="1"/>
  <c r="Z61" i="1" s="1"/>
  <c r="Y53" i="1"/>
  <c r="Z53" i="1" s="1"/>
  <c r="Y45" i="1"/>
  <c r="Z45" i="1" s="1"/>
  <c r="Y37" i="1"/>
  <c r="Z37" i="1" s="1"/>
  <c r="Y29" i="1"/>
  <c r="Z29" i="1" s="1"/>
  <c r="Y21" i="1"/>
  <c r="Z21" i="1" s="1"/>
  <c r="Y13" i="1"/>
  <c r="Z13" i="1" s="1"/>
  <c r="Y5" i="1"/>
  <c r="Z5" i="1" s="1"/>
  <c r="Y738" i="1"/>
  <c r="Z738" i="1" s="1"/>
  <c r="Y682" i="1"/>
  <c r="Z682" i="1" s="1"/>
  <c r="Y618" i="1"/>
  <c r="Z618" i="1" s="1"/>
  <c r="Y562" i="1"/>
  <c r="Z562" i="1" s="1"/>
  <c r="Y506" i="1"/>
  <c r="Z506" i="1" s="1"/>
  <c r="Z442" i="1"/>
  <c r="Y442" i="1"/>
  <c r="Y386" i="1"/>
  <c r="Z386" i="1" s="1"/>
  <c r="Y330" i="1"/>
  <c r="Z330" i="1" s="1"/>
  <c r="Y266" i="1"/>
  <c r="Z266" i="1" s="1"/>
  <c r="Y210" i="1"/>
  <c r="Z210" i="1" s="1"/>
  <c r="Y154" i="1"/>
  <c r="Z154" i="1" s="1"/>
  <c r="Y66" i="1"/>
  <c r="Z66" i="1" s="1"/>
  <c r="Y10" i="1"/>
  <c r="Z10" i="1" s="1"/>
  <c r="Y764" i="1"/>
  <c r="Z764" i="1" s="1"/>
  <c r="Y756" i="1"/>
  <c r="Z756" i="1" s="1"/>
  <c r="Y748" i="1"/>
  <c r="Z748" i="1" s="1"/>
  <c r="Y740" i="1"/>
  <c r="Z740" i="1" s="1"/>
  <c r="Y732" i="1"/>
  <c r="Z732" i="1" s="1"/>
  <c r="Y724" i="1"/>
  <c r="Z724" i="1" s="1"/>
  <c r="Y716" i="1"/>
  <c r="Z716" i="1" s="1"/>
  <c r="Y708" i="1"/>
  <c r="Z708" i="1" s="1"/>
  <c r="Y700" i="1"/>
  <c r="Z700" i="1" s="1"/>
  <c r="Y692" i="1"/>
  <c r="Z692" i="1" s="1"/>
  <c r="Z684" i="1"/>
  <c r="Y684" i="1"/>
  <c r="Y676" i="1"/>
  <c r="Z676" i="1" s="1"/>
  <c r="Y668" i="1"/>
  <c r="Z668" i="1" s="1"/>
  <c r="Y660" i="1"/>
  <c r="Z660" i="1" s="1"/>
  <c r="Y652" i="1"/>
  <c r="Z652" i="1" s="1"/>
  <c r="Y644" i="1"/>
  <c r="Z644" i="1" s="1"/>
  <c r="Y636" i="1"/>
  <c r="Z636" i="1" s="1"/>
  <c r="Y628" i="1"/>
  <c r="Z628" i="1" s="1"/>
  <c r="Y620" i="1"/>
  <c r="Z620" i="1" s="1"/>
  <c r="Y612" i="1"/>
  <c r="Z612" i="1" s="1"/>
  <c r="Y604" i="1"/>
  <c r="Z604" i="1" s="1"/>
  <c r="Y596" i="1"/>
  <c r="Z596" i="1" s="1"/>
  <c r="Y588" i="1"/>
  <c r="Z588" i="1" s="1"/>
  <c r="Y580" i="1"/>
  <c r="Z580" i="1" s="1"/>
  <c r="Y572" i="1"/>
  <c r="Z572" i="1" s="1"/>
  <c r="Y564" i="1"/>
  <c r="Z564" i="1" s="1"/>
  <c r="Y556" i="1"/>
  <c r="Z556" i="1" s="1"/>
  <c r="Y548" i="1"/>
  <c r="Z548" i="1" s="1"/>
  <c r="Y540" i="1"/>
  <c r="Z540" i="1" s="1"/>
  <c r="Y532" i="1"/>
  <c r="Z532" i="1" s="1"/>
  <c r="Y524" i="1"/>
  <c r="Z524" i="1" s="1"/>
  <c r="Y516" i="1"/>
  <c r="Z516" i="1" s="1"/>
  <c r="Y508" i="1"/>
  <c r="Z508" i="1" s="1"/>
  <c r="Y500" i="1"/>
  <c r="Z500" i="1" s="1"/>
  <c r="Y492" i="1"/>
  <c r="Z492" i="1" s="1"/>
  <c r="Y484" i="1"/>
  <c r="Z484" i="1" s="1"/>
  <c r="Y476" i="1"/>
  <c r="Z476" i="1" s="1"/>
  <c r="Y468" i="1"/>
  <c r="Z468" i="1" s="1"/>
  <c r="Y460" i="1"/>
  <c r="Z460" i="1" s="1"/>
  <c r="Y452" i="1"/>
  <c r="Z452" i="1" s="1"/>
  <c r="Y444" i="1"/>
  <c r="Z444" i="1" s="1"/>
  <c r="Y436" i="1"/>
  <c r="Z436" i="1" s="1"/>
  <c r="Y428" i="1"/>
  <c r="Z428" i="1" s="1"/>
  <c r="Y420" i="1"/>
  <c r="Z420" i="1" s="1"/>
  <c r="Y412" i="1"/>
  <c r="Z412" i="1" s="1"/>
  <c r="Y404" i="1"/>
  <c r="Z404" i="1" s="1"/>
  <c r="Y396" i="1"/>
  <c r="Z396" i="1" s="1"/>
  <c r="Y388" i="1"/>
  <c r="Z388" i="1" s="1"/>
  <c r="Y380" i="1"/>
  <c r="Z380" i="1" s="1"/>
  <c r="Y372" i="1"/>
  <c r="Z372" i="1" s="1"/>
  <c r="Z364" i="1"/>
  <c r="Y364" i="1"/>
  <c r="Y356" i="1"/>
  <c r="Z356" i="1" s="1"/>
  <c r="Y348" i="1"/>
  <c r="Z348" i="1" s="1"/>
  <c r="Y340" i="1"/>
  <c r="Z340" i="1" s="1"/>
  <c r="Y332" i="1"/>
  <c r="Z332" i="1" s="1"/>
  <c r="Y324" i="1"/>
  <c r="Z324" i="1" s="1"/>
  <c r="Y316" i="1"/>
  <c r="Z316" i="1" s="1"/>
  <c r="Y308" i="1"/>
  <c r="Z308" i="1" s="1"/>
  <c r="Y300" i="1"/>
  <c r="Z300" i="1" s="1"/>
  <c r="Y292" i="1"/>
  <c r="Z292" i="1" s="1"/>
  <c r="Y284" i="1"/>
  <c r="Z284" i="1" s="1"/>
  <c r="Y276" i="1"/>
  <c r="Z276" i="1" s="1"/>
  <c r="Y268" i="1"/>
  <c r="Z268" i="1" s="1"/>
  <c r="Y260" i="1"/>
  <c r="Z260" i="1" s="1"/>
  <c r="Y252" i="1"/>
  <c r="Z252" i="1" s="1"/>
  <c r="Y244" i="1"/>
  <c r="Z244" i="1" s="1"/>
  <c r="Y236" i="1"/>
  <c r="Z236" i="1" s="1"/>
  <c r="Y228" i="1"/>
  <c r="Z228" i="1" s="1"/>
  <c r="Y220" i="1"/>
  <c r="Z220" i="1" s="1"/>
  <c r="Y212" i="1"/>
  <c r="Z212" i="1" s="1"/>
  <c r="Y204" i="1"/>
  <c r="Z204" i="1" s="1"/>
  <c r="Y196" i="1"/>
  <c r="Z196" i="1" s="1"/>
  <c r="Y188" i="1"/>
  <c r="Z188" i="1" s="1"/>
  <c r="Y180" i="1"/>
  <c r="Z180" i="1" s="1"/>
  <c r="Y172" i="1"/>
  <c r="Z172" i="1" s="1"/>
  <c r="Y164" i="1"/>
  <c r="Z164" i="1" s="1"/>
  <c r="Y156" i="1"/>
  <c r="Z156" i="1" s="1"/>
  <c r="Y148" i="1"/>
  <c r="Z148" i="1" s="1"/>
  <c r="Y140" i="1"/>
  <c r="Z140" i="1" s="1"/>
  <c r="Z132" i="1"/>
  <c r="Y132" i="1"/>
  <c r="Y124" i="1"/>
  <c r="Z124" i="1" s="1"/>
  <c r="Y116" i="1"/>
  <c r="Z116" i="1" s="1"/>
  <c r="Z108" i="1"/>
  <c r="Y108" i="1"/>
  <c r="Y100" i="1"/>
  <c r="Z100" i="1" s="1"/>
  <c r="Y92" i="1"/>
  <c r="Z92" i="1" s="1"/>
  <c r="Y84" i="1"/>
  <c r="Z84" i="1" s="1"/>
  <c r="Y76" i="1"/>
  <c r="Z76" i="1" s="1"/>
  <c r="Y68" i="1"/>
  <c r="Z68" i="1" s="1"/>
  <c r="Y60" i="1"/>
  <c r="Z60" i="1" s="1"/>
  <c r="Y52" i="1"/>
  <c r="Z52" i="1" s="1"/>
  <c r="Y44" i="1"/>
  <c r="Z44" i="1" s="1"/>
  <c r="Y36" i="1"/>
  <c r="Z36" i="1" s="1"/>
  <c r="Y28" i="1"/>
  <c r="Z28" i="1" s="1"/>
  <c r="Y20" i="1"/>
  <c r="Z20" i="1" s="1"/>
  <c r="Y12" i="1"/>
  <c r="Z12" i="1" s="1"/>
  <c r="Y754" i="1"/>
  <c r="Z754" i="1" s="1"/>
  <c r="Y690" i="1"/>
  <c r="Z690" i="1" s="1"/>
  <c r="Y626" i="1"/>
  <c r="Z626" i="1" s="1"/>
  <c r="Z578" i="1"/>
  <c r="Y578" i="1"/>
  <c r="Y514" i="1"/>
  <c r="Z514" i="1" s="1"/>
  <c r="Y458" i="1"/>
  <c r="Z458" i="1" s="1"/>
  <c r="Y402" i="1"/>
  <c r="Z402" i="1" s="1"/>
  <c r="Y354" i="1"/>
  <c r="Z354" i="1" s="1"/>
  <c r="Y298" i="1"/>
  <c r="Z298" i="1" s="1"/>
  <c r="Y234" i="1"/>
  <c r="Z234" i="1" s="1"/>
  <c r="Y178" i="1"/>
  <c r="Z178" i="1" s="1"/>
  <c r="Y114" i="1"/>
  <c r="Z114" i="1" s="1"/>
  <c r="Y58" i="1"/>
  <c r="Z58" i="1" s="1"/>
  <c r="Y26" i="1"/>
  <c r="Z26" i="1" s="1"/>
  <c r="Y763" i="1"/>
  <c r="Z763" i="1" s="1"/>
  <c r="Y755" i="1"/>
  <c r="Z755" i="1" s="1"/>
  <c r="Y747" i="1"/>
  <c r="Z747" i="1" s="1"/>
  <c r="Y739" i="1"/>
  <c r="Z739" i="1" s="1"/>
  <c r="Y731" i="1"/>
  <c r="Z731" i="1" s="1"/>
  <c r="Y723" i="1"/>
  <c r="Z723" i="1" s="1"/>
  <c r="Y715" i="1"/>
  <c r="Z715" i="1" s="1"/>
  <c r="Y707" i="1"/>
  <c r="Z707" i="1" s="1"/>
  <c r="Y699" i="1"/>
  <c r="Z699" i="1" s="1"/>
  <c r="Z691" i="1"/>
  <c r="Y691" i="1"/>
  <c r="Y683" i="1"/>
  <c r="Z683" i="1" s="1"/>
  <c r="Y675" i="1"/>
  <c r="Z675" i="1" s="1"/>
  <c r="Y667" i="1"/>
  <c r="Z667" i="1" s="1"/>
  <c r="Y659" i="1"/>
  <c r="Z659" i="1" s="1"/>
  <c r="Y651" i="1"/>
  <c r="Z651" i="1" s="1"/>
  <c r="Y643" i="1"/>
  <c r="Z643" i="1" s="1"/>
  <c r="Y635" i="1"/>
  <c r="Z635" i="1" s="1"/>
  <c r="Y627" i="1"/>
  <c r="Z627" i="1" s="1"/>
  <c r="Y619" i="1"/>
  <c r="Z619" i="1" s="1"/>
  <c r="Y611" i="1"/>
  <c r="Z611" i="1" s="1"/>
  <c r="Y603" i="1"/>
  <c r="Z603" i="1" s="1"/>
  <c r="Y595" i="1"/>
  <c r="Z595" i="1" s="1"/>
  <c r="Y587" i="1"/>
  <c r="Z587" i="1" s="1"/>
  <c r="Y579" i="1"/>
  <c r="Z579" i="1" s="1"/>
  <c r="Y571" i="1"/>
  <c r="Z571" i="1" s="1"/>
  <c r="Y563" i="1"/>
  <c r="Z563" i="1" s="1"/>
  <c r="Y555" i="1"/>
  <c r="Z555" i="1" s="1"/>
  <c r="Y547" i="1"/>
  <c r="Z547" i="1" s="1"/>
  <c r="Y539" i="1"/>
  <c r="Z539" i="1" s="1"/>
  <c r="Y531" i="1"/>
  <c r="Z531" i="1" s="1"/>
  <c r="Y523" i="1"/>
  <c r="Z523" i="1" s="1"/>
  <c r="Y515" i="1"/>
  <c r="Z515" i="1" s="1"/>
  <c r="Y507" i="1"/>
  <c r="Z507" i="1" s="1"/>
  <c r="Y499" i="1"/>
  <c r="Z499" i="1" s="1"/>
  <c r="Z491" i="1"/>
  <c r="Y491" i="1"/>
  <c r="Y483" i="1"/>
  <c r="Z483" i="1" s="1"/>
  <c r="Y475" i="1"/>
  <c r="Z475" i="1" s="1"/>
  <c r="Y467" i="1"/>
  <c r="Z467" i="1" s="1"/>
  <c r="Y459" i="1"/>
  <c r="Z459" i="1" s="1"/>
  <c r="Y451" i="1"/>
  <c r="Z451" i="1" s="1"/>
  <c r="Y443" i="1"/>
  <c r="Z443" i="1" s="1"/>
  <c r="Y435" i="1"/>
  <c r="Z435" i="1" s="1"/>
  <c r="Y427" i="1"/>
  <c r="Z427" i="1" s="1"/>
  <c r="Z419" i="1"/>
  <c r="Y419" i="1"/>
  <c r="Y411" i="1"/>
  <c r="Z411" i="1" s="1"/>
  <c r="Y403" i="1"/>
  <c r="Z403" i="1" s="1"/>
  <c r="Y395" i="1"/>
  <c r="Z395" i="1" s="1"/>
  <c r="Y387" i="1"/>
  <c r="Z387" i="1" s="1"/>
  <c r="Y379" i="1"/>
  <c r="Z379" i="1" s="1"/>
  <c r="Y371" i="1"/>
  <c r="Z371" i="1" s="1"/>
  <c r="Z363" i="1"/>
  <c r="Y363" i="1"/>
  <c r="Y355" i="1"/>
  <c r="Z355" i="1" s="1"/>
  <c r="Y347" i="1"/>
  <c r="Z347" i="1" s="1"/>
  <c r="Y339" i="1"/>
  <c r="Z339" i="1" s="1"/>
  <c r="Y331" i="1"/>
  <c r="Z331" i="1" s="1"/>
  <c r="Y323" i="1"/>
  <c r="Z323" i="1" s="1"/>
  <c r="Y315" i="1"/>
  <c r="Z315" i="1" s="1"/>
  <c r="Y307" i="1"/>
  <c r="Z307" i="1" s="1"/>
  <c r="Y299" i="1"/>
  <c r="Z299" i="1" s="1"/>
  <c r="Y283" i="1"/>
  <c r="Z283" i="1" s="1"/>
  <c r="Y275" i="1"/>
  <c r="Z275" i="1" s="1"/>
  <c r="Y267" i="1"/>
  <c r="Z267" i="1" s="1"/>
  <c r="Z259" i="1"/>
  <c r="Y259" i="1"/>
  <c r="Y251" i="1"/>
  <c r="Z251" i="1" s="1"/>
  <c r="Y243" i="1"/>
  <c r="Z243" i="1" s="1"/>
  <c r="Y235" i="1"/>
  <c r="Z235" i="1" s="1"/>
  <c r="Y227" i="1"/>
  <c r="Z227" i="1" s="1"/>
  <c r="Y219" i="1"/>
  <c r="Z219" i="1" s="1"/>
  <c r="Y211" i="1"/>
  <c r="Z211" i="1" s="1"/>
  <c r="Y203" i="1"/>
  <c r="Z203" i="1" s="1"/>
  <c r="Y195" i="1"/>
  <c r="Z195" i="1" s="1"/>
  <c r="Z187" i="1"/>
  <c r="Y187" i="1"/>
  <c r="Y179" i="1"/>
  <c r="Z179" i="1"/>
  <c r="Y171" i="1"/>
  <c r="Z171" i="1" s="1"/>
  <c r="Y163" i="1"/>
  <c r="Z163" i="1" s="1"/>
  <c r="Y155" i="1"/>
  <c r="Z155" i="1" s="1"/>
  <c r="Y147" i="1"/>
  <c r="Z147" i="1" s="1"/>
  <c r="Y139" i="1"/>
  <c r="Z139" i="1" s="1"/>
  <c r="Y131" i="1"/>
  <c r="Z131" i="1" s="1"/>
  <c r="Y123" i="1"/>
  <c r="Z123" i="1" s="1"/>
  <c r="Y115" i="1"/>
  <c r="Z115" i="1" s="1"/>
  <c r="Y107" i="1"/>
  <c r="Z107" i="1" s="1"/>
  <c r="Y99" i="1"/>
  <c r="Z99" i="1" s="1"/>
  <c r="Y91" i="1"/>
  <c r="Z91" i="1" s="1"/>
  <c r="Y83" i="1"/>
  <c r="Z83" i="1" s="1"/>
  <c r="Y75" i="1"/>
  <c r="Z75" i="1" s="1"/>
  <c r="Y67" i="1"/>
  <c r="Z67" i="1" s="1"/>
  <c r="Y59" i="1"/>
  <c r="Z59" i="1" s="1"/>
  <c r="Y51" i="1"/>
  <c r="Z51" i="1"/>
  <c r="Y43" i="1"/>
  <c r="Z43" i="1" s="1"/>
  <c r="Y35" i="1"/>
  <c r="Z35" i="1" s="1"/>
  <c r="Y27" i="1"/>
  <c r="Z27" i="1" s="1"/>
  <c r="Y19" i="1"/>
  <c r="Z19" i="1" s="1"/>
  <c r="Z11" i="1"/>
  <c r="Y11" i="1"/>
  <c r="Y3" i="1"/>
  <c r="Z3" i="1" s="1"/>
  <c r="R767" i="1"/>
  <c r="W767" i="1" s="1"/>
  <c r="R719" i="1"/>
  <c r="W719" i="1" s="1"/>
  <c r="R671" i="1"/>
  <c r="W671" i="1" s="1"/>
  <c r="R615" i="1"/>
  <c r="W615" i="1" s="1"/>
  <c r="R559" i="1"/>
  <c r="W559" i="1" s="1"/>
  <c r="R511" i="1"/>
  <c r="W511" i="1" s="1"/>
  <c r="R455" i="1"/>
  <c r="W455" i="1" s="1"/>
  <c r="R407" i="1"/>
  <c r="W407" i="1" s="1"/>
  <c r="R359" i="1"/>
  <c r="W359" i="1" s="1"/>
  <c r="R311" i="1"/>
  <c r="W311" i="1" s="1"/>
  <c r="R255" i="1"/>
  <c r="W255" i="1" s="1"/>
  <c r="R207" i="1"/>
  <c r="W207" i="1" s="1"/>
  <c r="R159" i="1"/>
  <c r="W159" i="1" s="1"/>
  <c r="R103" i="1"/>
  <c r="W103" i="1" s="1"/>
  <c r="R71" i="1"/>
  <c r="W71" i="1" s="1"/>
  <c r="R23" i="1"/>
  <c r="W23" i="1" s="1"/>
  <c r="R735" i="1"/>
  <c r="W735" i="1" s="1"/>
  <c r="R687" i="1"/>
  <c r="W687" i="1" s="1"/>
  <c r="R631" i="1"/>
  <c r="W631" i="1" s="1"/>
  <c r="R599" i="1"/>
  <c r="W599" i="1" s="1"/>
  <c r="R551" i="1"/>
  <c r="W551" i="1" s="1"/>
  <c r="R487" i="1"/>
  <c r="W487" i="1" s="1"/>
  <c r="R447" i="1"/>
  <c r="W447" i="1" s="1"/>
  <c r="R399" i="1"/>
  <c r="W399" i="1" s="1"/>
  <c r="R351" i="1"/>
  <c r="W351" i="1" s="1"/>
  <c r="R287" i="1"/>
  <c r="W287" i="1" s="1"/>
  <c r="R247" i="1"/>
  <c r="W247" i="1" s="1"/>
  <c r="R199" i="1"/>
  <c r="W199" i="1" s="1"/>
  <c r="R127" i="1"/>
  <c r="W127" i="1" s="1"/>
  <c r="R743" i="1"/>
  <c r="W743" i="1" s="1"/>
  <c r="R695" i="1"/>
  <c r="W695" i="1" s="1"/>
  <c r="R647" i="1"/>
  <c r="W647" i="1" s="1"/>
  <c r="R591" i="1"/>
  <c r="W591" i="1" s="1"/>
  <c r="R535" i="1"/>
  <c r="W535" i="1" s="1"/>
  <c r="R495" i="1"/>
  <c r="W495" i="1" s="1"/>
  <c r="R439" i="1"/>
  <c r="W439" i="1" s="1"/>
  <c r="R391" i="1"/>
  <c r="W391" i="1" s="1"/>
  <c r="R343" i="1"/>
  <c r="W343" i="1" s="1"/>
  <c r="R295" i="1"/>
  <c r="W295" i="1" s="1"/>
  <c r="R239" i="1"/>
  <c r="W239" i="1" s="1"/>
  <c r="R191" i="1"/>
  <c r="W191" i="1" s="1"/>
  <c r="R143" i="1"/>
  <c r="W143" i="1" s="1"/>
  <c r="R63" i="1"/>
  <c r="W63" i="1" s="1"/>
  <c r="R39" i="1"/>
  <c r="W39" i="1" s="1"/>
  <c r="R15" i="1"/>
  <c r="W15" i="1" s="1"/>
  <c r="R766" i="1"/>
  <c r="W766" i="1" s="1"/>
  <c r="R758" i="1"/>
  <c r="W758" i="1" s="1"/>
  <c r="R750" i="1"/>
  <c r="W750" i="1" s="1"/>
  <c r="R742" i="1"/>
  <c r="W742" i="1" s="1"/>
  <c r="R734" i="1"/>
  <c r="W734" i="1" s="1"/>
  <c r="R726" i="1"/>
  <c r="W726" i="1" s="1"/>
  <c r="R718" i="1"/>
  <c r="W718" i="1" s="1"/>
  <c r="R710" i="1"/>
  <c r="W710" i="1" s="1"/>
  <c r="R702" i="1"/>
  <c r="W702" i="1" s="1"/>
  <c r="R694" i="1"/>
  <c r="W694" i="1" s="1"/>
  <c r="R686" i="1"/>
  <c r="W686" i="1" s="1"/>
  <c r="R759" i="1"/>
  <c r="W759" i="1" s="1"/>
  <c r="R711" i="1"/>
  <c r="W711" i="1" s="1"/>
  <c r="R639" i="1"/>
  <c r="W639" i="1" s="1"/>
  <c r="R583" i="1"/>
  <c r="W583" i="1" s="1"/>
  <c r="R543" i="1"/>
  <c r="W543" i="1" s="1"/>
  <c r="R479" i="1"/>
  <c r="W479" i="1" s="1"/>
  <c r="R431" i="1"/>
  <c r="W431" i="1" s="1"/>
  <c r="R335" i="1"/>
  <c r="W335" i="1" s="1"/>
  <c r="R279" i="1"/>
  <c r="W279" i="1" s="1"/>
  <c r="R231" i="1"/>
  <c r="W231" i="1" s="1"/>
  <c r="R175" i="1"/>
  <c r="W175" i="1" s="1"/>
  <c r="R135" i="1"/>
  <c r="W135" i="1" s="1"/>
  <c r="R87" i="1"/>
  <c r="W87" i="1" s="1"/>
  <c r="R751" i="1"/>
  <c r="W751" i="1" s="1"/>
  <c r="R703" i="1"/>
  <c r="W703" i="1" s="1"/>
  <c r="R663" i="1"/>
  <c r="W663" i="1" s="1"/>
  <c r="R607" i="1"/>
  <c r="W607" i="1" s="1"/>
  <c r="R567" i="1"/>
  <c r="W567" i="1" s="1"/>
  <c r="R519" i="1"/>
  <c r="W519" i="1" s="1"/>
  <c r="R471" i="1"/>
  <c r="W471" i="1" s="1"/>
  <c r="R415" i="1"/>
  <c r="W415" i="1" s="1"/>
  <c r="R367" i="1"/>
  <c r="W367" i="1" s="1"/>
  <c r="R319" i="1"/>
  <c r="W319" i="1" s="1"/>
  <c r="R271" i="1"/>
  <c r="W271" i="1" s="1"/>
  <c r="R215" i="1"/>
  <c r="W215" i="1" s="1"/>
  <c r="R167" i="1"/>
  <c r="W167" i="1" s="1"/>
  <c r="R119" i="1"/>
  <c r="W119" i="1" s="1"/>
  <c r="R55" i="1"/>
  <c r="W55" i="1" s="1"/>
  <c r="R727" i="1"/>
  <c r="W727" i="1" s="1"/>
  <c r="R679" i="1"/>
  <c r="W679" i="1" s="1"/>
  <c r="R655" i="1"/>
  <c r="W655" i="1" s="1"/>
  <c r="R623" i="1"/>
  <c r="W623" i="1" s="1"/>
  <c r="R575" i="1"/>
  <c r="W575" i="1" s="1"/>
  <c r="R527" i="1"/>
  <c r="W527" i="1" s="1"/>
  <c r="R503" i="1"/>
  <c r="W503" i="1" s="1"/>
  <c r="R463" i="1"/>
  <c r="W463" i="1" s="1"/>
  <c r="R423" i="1"/>
  <c r="W423" i="1" s="1"/>
  <c r="R375" i="1"/>
  <c r="W375" i="1" s="1"/>
  <c r="R327" i="1"/>
  <c r="W327" i="1" s="1"/>
  <c r="R303" i="1"/>
  <c r="W303" i="1" s="1"/>
  <c r="R263" i="1"/>
  <c r="W263" i="1" s="1"/>
  <c r="R223" i="1"/>
  <c r="W223" i="1" s="1"/>
  <c r="R183" i="1"/>
  <c r="W183" i="1" s="1"/>
  <c r="R151" i="1"/>
  <c r="W151" i="1" s="1"/>
  <c r="R111" i="1"/>
  <c r="W111" i="1" s="1"/>
  <c r="R79" i="1"/>
  <c r="W79" i="1" s="1"/>
  <c r="R47" i="1"/>
  <c r="W47" i="1" s="1"/>
  <c r="R31" i="1"/>
  <c r="W31" i="1" s="1"/>
  <c r="R678" i="1"/>
  <c r="W678" i="1" s="1"/>
  <c r="R670" i="1"/>
  <c r="W670" i="1" s="1"/>
  <c r="R662" i="1"/>
  <c r="W662" i="1" s="1"/>
  <c r="R654" i="1"/>
  <c r="W654" i="1" s="1"/>
  <c r="R646" i="1"/>
  <c r="W646" i="1" s="1"/>
  <c r="R638" i="1"/>
  <c r="W638" i="1" s="1"/>
  <c r="R630" i="1"/>
  <c r="W630" i="1" s="1"/>
  <c r="R622" i="1"/>
  <c r="W622" i="1" s="1"/>
  <c r="R614" i="1"/>
  <c r="W614" i="1" s="1"/>
  <c r="R606" i="1"/>
  <c r="W606" i="1" s="1"/>
  <c r="R598" i="1"/>
  <c r="W598" i="1" s="1"/>
  <c r="R590" i="1"/>
  <c r="W590" i="1" s="1"/>
  <c r="R582" i="1"/>
  <c r="W582" i="1" s="1"/>
  <c r="R574" i="1"/>
  <c r="W574" i="1" s="1"/>
  <c r="R566" i="1"/>
  <c r="W566" i="1" s="1"/>
  <c r="R558" i="1"/>
  <c r="W558" i="1" s="1"/>
  <c r="R550" i="1"/>
  <c r="W550" i="1" s="1"/>
  <c r="R542" i="1"/>
  <c r="W542" i="1" s="1"/>
  <c r="R534" i="1"/>
  <c r="W534" i="1" s="1"/>
  <c r="R526" i="1"/>
  <c r="W526" i="1" s="1"/>
  <c r="R518" i="1"/>
  <c r="W518" i="1" s="1"/>
  <c r="R510" i="1"/>
  <c r="W510" i="1" s="1"/>
  <c r="R502" i="1"/>
  <c r="W502" i="1" s="1"/>
  <c r="R494" i="1"/>
  <c r="W494" i="1" s="1"/>
  <c r="R486" i="1"/>
  <c r="W486" i="1" s="1"/>
  <c r="R478" i="1"/>
  <c r="W478" i="1" s="1"/>
  <c r="R470" i="1"/>
  <c r="W470" i="1" s="1"/>
  <c r="R462" i="1"/>
  <c r="W462" i="1" s="1"/>
  <c r="R454" i="1"/>
  <c r="W454" i="1" s="1"/>
  <c r="R446" i="1"/>
  <c r="W446" i="1" s="1"/>
  <c r="R438" i="1"/>
  <c r="W438" i="1" s="1"/>
  <c r="R430" i="1"/>
  <c r="W430" i="1" s="1"/>
  <c r="R422" i="1"/>
  <c r="W422" i="1" s="1"/>
  <c r="R414" i="1"/>
  <c r="W414" i="1" s="1"/>
  <c r="R406" i="1"/>
  <c r="W406" i="1" s="1"/>
  <c r="R398" i="1"/>
  <c r="W398" i="1" s="1"/>
  <c r="R390" i="1"/>
  <c r="W390" i="1" s="1"/>
  <c r="R382" i="1"/>
  <c r="W382" i="1" s="1"/>
  <c r="R374" i="1"/>
  <c r="W374" i="1" s="1"/>
  <c r="R366" i="1"/>
  <c r="W366" i="1" s="1"/>
  <c r="R358" i="1"/>
  <c r="W358" i="1" s="1"/>
  <c r="R350" i="1"/>
  <c r="W350" i="1" s="1"/>
  <c r="R342" i="1"/>
  <c r="W342" i="1" s="1"/>
  <c r="R334" i="1"/>
  <c r="W334" i="1" s="1"/>
  <c r="R326" i="1"/>
  <c r="W326" i="1" s="1"/>
  <c r="R318" i="1"/>
  <c r="W318" i="1" s="1"/>
  <c r="R310" i="1"/>
  <c r="W310" i="1" s="1"/>
  <c r="R302" i="1"/>
  <c r="W302" i="1" s="1"/>
  <c r="R294" i="1"/>
  <c r="W294" i="1" s="1"/>
  <c r="R286" i="1"/>
  <c r="W286" i="1" s="1"/>
  <c r="R278" i="1"/>
  <c r="W278" i="1" s="1"/>
  <c r="R270" i="1"/>
  <c r="W270" i="1" s="1"/>
  <c r="R262" i="1"/>
  <c r="W262" i="1" s="1"/>
  <c r="R254" i="1"/>
  <c r="W254" i="1" s="1"/>
  <c r="R246" i="1"/>
  <c r="W246" i="1" s="1"/>
  <c r="R238" i="1"/>
  <c r="W238" i="1" s="1"/>
  <c r="R230" i="1"/>
  <c r="W230" i="1" s="1"/>
  <c r="R222" i="1"/>
  <c r="W222" i="1" s="1"/>
  <c r="R214" i="1"/>
  <c r="W214" i="1" s="1"/>
  <c r="R206" i="1"/>
  <c r="W206" i="1" s="1"/>
  <c r="R198" i="1"/>
  <c r="W198" i="1" s="1"/>
  <c r="R190" i="1"/>
  <c r="W190" i="1" s="1"/>
  <c r="R182" i="1"/>
  <c r="W182" i="1" s="1"/>
  <c r="R174" i="1"/>
  <c r="W174" i="1" s="1"/>
  <c r="R166" i="1"/>
  <c r="W166" i="1" s="1"/>
  <c r="R158" i="1"/>
  <c r="W158" i="1" s="1"/>
  <c r="R150" i="1"/>
  <c r="W150" i="1" s="1"/>
  <c r="R142" i="1"/>
  <c r="W142" i="1" s="1"/>
  <c r="R134" i="1"/>
  <c r="W134" i="1" s="1"/>
  <c r="R126" i="1"/>
  <c r="W126" i="1" s="1"/>
  <c r="R118" i="1"/>
  <c r="W118" i="1" s="1"/>
  <c r="R110" i="1"/>
  <c r="W110" i="1" s="1"/>
  <c r="R102" i="1"/>
  <c r="W102" i="1" s="1"/>
  <c r="R94" i="1"/>
  <c r="W94" i="1" s="1"/>
  <c r="R86" i="1"/>
  <c r="W86" i="1" s="1"/>
  <c r="R78" i="1"/>
  <c r="W78" i="1" s="1"/>
  <c r="R70" i="1"/>
  <c r="W70" i="1" s="1"/>
  <c r="R62" i="1"/>
  <c r="W62" i="1" s="1"/>
  <c r="R54" i="1"/>
  <c r="W54" i="1" s="1"/>
  <c r="R46" i="1"/>
  <c r="W46" i="1" s="1"/>
  <c r="R38" i="1"/>
  <c r="W38" i="1" s="1"/>
  <c r="R30" i="1"/>
  <c r="W30" i="1" s="1"/>
  <c r="R22" i="1"/>
  <c r="W22" i="1" s="1"/>
  <c r="R14" i="1"/>
  <c r="W14" i="1" s="1"/>
  <c r="R6" i="1"/>
  <c r="W6" i="1" s="1"/>
  <c r="R383" i="1"/>
  <c r="W383" i="1" s="1"/>
  <c r="R464" i="1"/>
  <c r="W464" i="1" s="1"/>
  <c r="R376" i="1"/>
  <c r="W376" i="1" s="1"/>
  <c r="R7" i="1"/>
  <c r="W7" i="1" s="1"/>
  <c r="R291" i="1"/>
  <c r="W291" i="1" s="1"/>
  <c r="R9" i="1"/>
  <c r="W9" i="1" s="1"/>
  <c r="K1776" i="2"/>
  <c r="K1777" i="2"/>
  <c r="K1778" i="2"/>
  <c r="K1672" i="2"/>
  <c r="K1673" i="2"/>
  <c r="K1674" i="2"/>
  <c r="K1549" i="2"/>
  <c r="K1550" i="2"/>
  <c r="K1551" i="2"/>
  <c r="K1429" i="2"/>
  <c r="K1428" i="2"/>
  <c r="K1310" i="2"/>
  <c r="K1311" i="2"/>
  <c r="K1198" i="2"/>
  <c r="K1199" i="2"/>
  <c r="K971" i="2"/>
  <c r="K972" i="2"/>
  <c r="K892" i="2"/>
  <c r="K893" i="2"/>
  <c r="K894" i="2"/>
  <c r="K786" i="2"/>
  <c r="K787" i="2"/>
  <c r="K788" i="2"/>
  <c r="K631" i="2"/>
  <c r="K628" i="2"/>
  <c r="K629" i="2"/>
  <c r="K630" i="2"/>
  <c r="K511" i="2"/>
  <c r="K512" i="2"/>
  <c r="K411" i="2"/>
  <c r="K412" i="2"/>
  <c r="K410" i="2"/>
  <c r="K413" i="2"/>
  <c r="K291" i="2"/>
  <c r="K292" i="2"/>
  <c r="K293" i="2"/>
  <c r="K163" i="2"/>
  <c r="K164" i="2"/>
  <c r="K165" i="2"/>
  <c r="K166" i="2"/>
  <c r="K12" i="2"/>
  <c r="K13" i="2"/>
  <c r="K1853" i="2"/>
  <c r="K1854" i="2"/>
  <c r="K1732" i="2"/>
  <c r="K1733" i="2"/>
  <c r="K1734" i="2"/>
  <c r="K1465" i="2"/>
  <c r="K1466" i="2"/>
  <c r="K1467" i="2"/>
  <c r="K1468" i="2"/>
  <c r="K1333" i="2"/>
  <c r="K1332" i="2"/>
  <c r="K1217" i="2"/>
  <c r="K1218" i="2"/>
  <c r="K1219" i="2"/>
  <c r="K981" i="2"/>
  <c r="K984" i="2"/>
  <c r="K982" i="2"/>
  <c r="K983" i="2"/>
  <c r="K874" i="2"/>
  <c r="K875" i="2"/>
  <c r="K608" i="2"/>
  <c r="K609" i="2"/>
  <c r="K611" i="2"/>
  <c r="K610" i="2"/>
  <c r="K488" i="2"/>
  <c r="K489" i="2"/>
  <c r="K371" i="2"/>
  <c r="K372" i="2"/>
  <c r="K370" i="2"/>
  <c r="K113" i="2"/>
  <c r="K115" i="2"/>
  <c r="K114" i="2"/>
  <c r="K1869" i="2"/>
  <c r="K1871" i="2"/>
  <c r="K1872" i="2"/>
  <c r="K1870" i="2"/>
  <c r="K1792" i="2"/>
  <c r="K1793" i="2"/>
  <c r="K1748" i="2"/>
  <c r="K1749" i="2"/>
  <c r="K1746" i="2"/>
  <c r="K1747" i="2"/>
  <c r="K1692" i="2"/>
  <c r="K1689" i="2"/>
  <c r="K1690" i="2"/>
  <c r="K1691" i="2"/>
  <c r="K1665" i="2"/>
  <c r="K1666" i="2"/>
  <c r="K1667" i="2"/>
  <c r="K1601" i="2"/>
  <c r="K1602" i="2"/>
  <c r="K1603" i="2"/>
  <c r="K1504" i="2"/>
  <c r="K1505" i="2"/>
  <c r="K1464" i="2"/>
  <c r="K1463" i="2"/>
  <c r="K1304" i="2"/>
  <c r="K1305" i="2"/>
  <c r="K1306" i="2"/>
  <c r="K1303" i="2"/>
  <c r="K1215" i="2"/>
  <c r="K1216" i="2"/>
  <c r="K1092" i="2"/>
  <c r="K1093" i="2"/>
  <c r="K1091" i="2"/>
  <c r="K1040" i="2"/>
  <c r="K1038" i="2"/>
  <c r="K1039" i="2"/>
  <c r="K954" i="2"/>
  <c r="K955" i="2"/>
  <c r="K952" i="2"/>
  <c r="K953" i="2"/>
  <c r="K850" i="2"/>
  <c r="K851" i="2"/>
  <c r="K852" i="2"/>
  <c r="K853" i="2"/>
  <c r="K545" i="2"/>
  <c r="K547" i="2"/>
  <c r="K548" i="2"/>
  <c r="K546" i="2"/>
  <c r="K487" i="2"/>
  <c r="K484" i="2"/>
  <c r="K485" i="2"/>
  <c r="K486" i="2"/>
  <c r="K427" i="2"/>
  <c r="K428" i="2"/>
  <c r="K426" i="2"/>
  <c r="K429" i="2"/>
  <c r="K385" i="2"/>
  <c r="K386" i="2"/>
  <c r="K263" i="2"/>
  <c r="K264" i="2"/>
  <c r="K265" i="2"/>
  <c r="K266" i="2"/>
  <c r="K203" i="2"/>
  <c r="K204" i="2"/>
  <c r="K131" i="2"/>
  <c r="K132" i="2"/>
  <c r="K133" i="2"/>
  <c r="K134" i="2"/>
  <c r="K91" i="2"/>
  <c r="K92" i="2"/>
  <c r="K93" i="2"/>
  <c r="K94" i="2"/>
  <c r="K27" i="2"/>
  <c r="K26" i="2"/>
  <c r="K1868" i="2"/>
  <c r="K1866" i="2"/>
  <c r="K1867" i="2"/>
  <c r="K1825" i="2"/>
  <c r="K1826" i="2"/>
  <c r="K1827" i="2"/>
  <c r="K1791" i="2"/>
  <c r="K1790" i="2"/>
  <c r="K1708" i="2"/>
  <c r="K1705" i="2"/>
  <c r="K1706" i="2"/>
  <c r="K1707" i="2"/>
  <c r="K1661" i="2"/>
  <c r="K1662" i="2"/>
  <c r="K1663" i="2"/>
  <c r="K1664" i="2"/>
  <c r="K1620" i="2"/>
  <c r="K1619" i="2"/>
  <c r="K1597" i="2"/>
  <c r="K1598" i="2"/>
  <c r="K1599" i="2"/>
  <c r="K1600" i="2"/>
  <c r="K1582" i="2"/>
  <c r="K1583" i="2"/>
  <c r="K1584" i="2"/>
  <c r="K1561" i="2"/>
  <c r="K1562" i="2"/>
  <c r="K1563" i="2"/>
  <c r="K1564" i="2"/>
  <c r="K1544" i="2"/>
  <c r="K1545" i="2"/>
  <c r="K1543" i="2"/>
  <c r="K1523" i="2"/>
  <c r="K1524" i="2"/>
  <c r="K1525" i="2"/>
  <c r="K1526" i="2"/>
  <c r="K1502" i="2"/>
  <c r="K1503" i="2"/>
  <c r="K1485" i="2"/>
  <c r="K1488" i="2"/>
  <c r="K1486" i="2"/>
  <c r="K1487" i="2"/>
  <c r="K1461" i="2"/>
  <c r="K1460" i="2"/>
  <c r="K1462" i="2"/>
  <c r="K1442" i="2"/>
  <c r="K1443" i="2"/>
  <c r="K1408" i="2"/>
  <c r="K1409" i="2"/>
  <c r="K1389" i="2"/>
  <c r="K1390" i="2"/>
  <c r="K1387" i="2"/>
  <c r="K1388" i="2"/>
  <c r="K1371" i="2"/>
  <c r="K1372" i="2"/>
  <c r="K1347" i="2"/>
  <c r="K1348" i="2"/>
  <c r="K1325" i="2"/>
  <c r="K1326" i="2"/>
  <c r="K1327" i="2"/>
  <c r="K1324" i="2"/>
  <c r="K1301" i="2"/>
  <c r="K1300" i="2"/>
  <c r="K1302" i="2"/>
  <c r="K1261" i="2"/>
  <c r="K1262" i="2"/>
  <c r="K1263" i="2"/>
  <c r="K1264" i="2"/>
  <c r="K1213" i="2"/>
  <c r="K1214" i="2"/>
  <c r="K1212" i="2"/>
  <c r="K1174" i="2"/>
  <c r="K1175" i="2"/>
  <c r="K1176" i="2"/>
  <c r="K1177" i="2"/>
  <c r="K1157" i="2"/>
  <c r="K1158" i="2"/>
  <c r="K1159" i="2"/>
  <c r="K1141" i="2"/>
  <c r="K1142" i="2"/>
  <c r="K1139" i="2"/>
  <c r="K1140" i="2"/>
  <c r="K1120" i="2"/>
  <c r="K1121" i="2"/>
  <c r="K1103" i="2"/>
  <c r="K1104" i="2"/>
  <c r="K1105" i="2"/>
  <c r="K1090" i="2"/>
  <c r="K1089" i="2"/>
  <c r="K1069" i="2"/>
  <c r="K1072" i="2"/>
  <c r="K1070" i="2"/>
  <c r="K1071" i="2"/>
  <c r="K1052" i="2"/>
  <c r="K1053" i="2"/>
  <c r="K1036" i="2"/>
  <c r="K1037" i="2"/>
  <c r="K1011" i="2"/>
  <c r="K1012" i="2"/>
  <c r="K1013" i="2"/>
  <c r="K996" i="2"/>
  <c r="K997" i="2"/>
  <c r="K967" i="2"/>
  <c r="K966" i="2"/>
  <c r="K928" i="2"/>
  <c r="K929" i="2"/>
  <c r="K927" i="2"/>
  <c r="K906" i="2"/>
  <c r="K907" i="2"/>
  <c r="K904" i="2"/>
  <c r="K905" i="2"/>
  <c r="K868" i="2"/>
  <c r="K869" i="2"/>
  <c r="K870" i="2"/>
  <c r="K871" i="2"/>
  <c r="K848" i="2"/>
  <c r="K849" i="2"/>
  <c r="K846" i="2"/>
  <c r="K847" i="2"/>
  <c r="K822" i="2"/>
  <c r="K823" i="2"/>
  <c r="K754" i="2"/>
  <c r="K755" i="2"/>
  <c r="K756" i="2"/>
  <c r="K716" i="2"/>
  <c r="K717" i="2"/>
  <c r="K699" i="2"/>
  <c r="K700" i="2"/>
  <c r="K682" i="2"/>
  <c r="K683" i="2"/>
  <c r="K663" i="2"/>
  <c r="K661" i="2"/>
  <c r="K662" i="2"/>
  <c r="K660" i="2"/>
  <c r="K623" i="2"/>
  <c r="K624" i="2"/>
  <c r="K622" i="2"/>
  <c r="K604" i="2"/>
  <c r="K605" i="2"/>
  <c r="K606" i="2"/>
  <c r="K579" i="2"/>
  <c r="K580" i="2"/>
  <c r="K581" i="2"/>
  <c r="K582" i="2"/>
  <c r="K564" i="2"/>
  <c r="K565" i="2"/>
  <c r="K566" i="2"/>
  <c r="K543" i="2"/>
  <c r="K544" i="2"/>
  <c r="K541" i="2"/>
  <c r="K542" i="2"/>
  <c r="K521" i="2"/>
  <c r="K523" i="2"/>
  <c r="K524" i="2"/>
  <c r="K522" i="2"/>
  <c r="K504" i="2"/>
  <c r="K505" i="2"/>
  <c r="K481" i="2"/>
  <c r="K483" i="2"/>
  <c r="K482" i="2"/>
  <c r="K463" i="2"/>
  <c r="K464" i="2"/>
  <c r="K462" i="2"/>
  <c r="K461" i="2"/>
  <c r="K447" i="2"/>
  <c r="K444" i="2"/>
  <c r="K446" i="2"/>
  <c r="K445" i="2"/>
  <c r="K404" i="2"/>
  <c r="K405" i="2"/>
  <c r="K367" i="2"/>
  <c r="K368" i="2"/>
  <c r="K365" i="2"/>
  <c r="K366" i="2"/>
  <c r="K303" i="2"/>
  <c r="K304" i="2"/>
  <c r="K305" i="2"/>
  <c r="K306" i="2"/>
  <c r="K260" i="2"/>
  <c r="K261" i="2"/>
  <c r="K262" i="2"/>
  <c r="K221" i="2"/>
  <c r="K222" i="2"/>
  <c r="K200" i="2"/>
  <c r="K201" i="2"/>
  <c r="K202" i="2"/>
  <c r="K179" i="2"/>
  <c r="K180" i="2"/>
  <c r="K181" i="2"/>
  <c r="K155" i="2"/>
  <c r="K156" i="2"/>
  <c r="K129" i="2"/>
  <c r="K130" i="2"/>
  <c r="K107" i="2"/>
  <c r="K108" i="2"/>
  <c r="K89" i="2"/>
  <c r="K90" i="2"/>
  <c r="K67" i="2"/>
  <c r="K68" i="2"/>
  <c r="K69" i="2"/>
  <c r="K47" i="2"/>
  <c r="K44" i="2"/>
  <c r="K45" i="2"/>
  <c r="K46" i="2"/>
  <c r="K24" i="2"/>
  <c r="K25" i="2"/>
  <c r="K4" i="2"/>
  <c r="K5" i="2"/>
  <c r="K2" i="2"/>
  <c r="K3" i="2"/>
  <c r="K1796" i="2"/>
  <c r="K1795" i="2"/>
  <c r="K1645" i="2"/>
  <c r="K1646" i="2"/>
  <c r="K1647" i="2"/>
  <c r="K1413" i="2"/>
  <c r="K1414" i="2"/>
  <c r="K1269" i="2"/>
  <c r="K1270" i="2"/>
  <c r="K1271" i="2"/>
  <c r="K1165" i="2"/>
  <c r="K1166" i="2"/>
  <c r="K1060" i="2"/>
  <c r="K1061" i="2"/>
  <c r="K957" i="2"/>
  <c r="K960" i="2"/>
  <c r="K958" i="2"/>
  <c r="K959" i="2"/>
  <c r="K810" i="2"/>
  <c r="K808" i="2"/>
  <c r="K809" i="2"/>
  <c r="K690" i="2"/>
  <c r="K691" i="2"/>
  <c r="K689" i="2"/>
  <c r="K571" i="2"/>
  <c r="K572" i="2"/>
  <c r="K570" i="2"/>
  <c r="K451" i="2"/>
  <c r="K452" i="2"/>
  <c r="K191" i="2"/>
  <c r="K192" i="2"/>
  <c r="K190" i="2"/>
  <c r="K55" i="2"/>
  <c r="K52" i="2"/>
  <c r="K53" i="2"/>
  <c r="K54" i="2"/>
  <c r="K1892" i="2"/>
  <c r="K1890" i="2"/>
  <c r="K1891" i="2"/>
  <c r="K1622" i="2"/>
  <c r="K1623" i="2"/>
  <c r="K1624" i="2"/>
  <c r="K1509" i="2"/>
  <c r="K1506" i="2"/>
  <c r="K1507" i="2"/>
  <c r="K1508" i="2"/>
  <c r="K1392" i="2"/>
  <c r="K1393" i="2"/>
  <c r="K1394" i="2"/>
  <c r="K1144" i="2"/>
  <c r="K1145" i="2"/>
  <c r="K1146" i="2"/>
  <c r="K1147" i="2"/>
  <c r="K1018" i="2"/>
  <c r="K1019" i="2"/>
  <c r="K1020" i="2"/>
  <c r="K936" i="2"/>
  <c r="K937" i="2"/>
  <c r="K934" i="2"/>
  <c r="K935" i="2"/>
  <c r="K804" i="2"/>
  <c r="K805" i="2"/>
  <c r="K806" i="2"/>
  <c r="K807" i="2"/>
  <c r="K551" i="2"/>
  <c r="K552" i="2"/>
  <c r="K549" i="2"/>
  <c r="K550" i="2"/>
  <c r="K467" i="2"/>
  <c r="K468" i="2"/>
  <c r="K469" i="2"/>
  <c r="K466" i="2"/>
  <c r="K327" i="2"/>
  <c r="K328" i="2"/>
  <c r="K329" i="2"/>
  <c r="K330" i="2"/>
  <c r="K187" i="2"/>
  <c r="K188" i="2"/>
  <c r="K186" i="2"/>
  <c r="K189" i="2"/>
  <c r="K49" i="2"/>
  <c r="K51" i="2"/>
  <c r="K50" i="2"/>
  <c r="K1528" i="2"/>
  <c r="K1527" i="2"/>
  <c r="K1349" i="2"/>
  <c r="K1350" i="2"/>
  <c r="K1351" i="2"/>
  <c r="K1234" i="2"/>
  <c r="K1235" i="2"/>
  <c r="K1236" i="2"/>
  <c r="K1178" i="2"/>
  <c r="K1179" i="2"/>
  <c r="K1122" i="2"/>
  <c r="K1124" i="2"/>
  <c r="K1123" i="2"/>
  <c r="K1074" i="2"/>
  <c r="K1075" i="2"/>
  <c r="K1076" i="2"/>
  <c r="K1073" i="2"/>
  <c r="K1016" i="2"/>
  <c r="K1014" i="2"/>
  <c r="K1015" i="2"/>
  <c r="K1017" i="2"/>
  <c r="K826" i="2"/>
  <c r="K827" i="2"/>
  <c r="K824" i="2"/>
  <c r="K825" i="2"/>
  <c r="K757" i="2"/>
  <c r="K760" i="2"/>
  <c r="K758" i="2"/>
  <c r="K759" i="2"/>
  <c r="K701" i="2"/>
  <c r="K702" i="2"/>
  <c r="K703" i="2"/>
  <c r="K647" i="2"/>
  <c r="K644" i="2"/>
  <c r="K645" i="2"/>
  <c r="K646" i="2"/>
  <c r="K583" i="2"/>
  <c r="K584" i="2"/>
  <c r="K585" i="2"/>
  <c r="K586" i="2"/>
  <c r="K526" i="2"/>
  <c r="K525" i="2"/>
  <c r="K407" i="2"/>
  <c r="K408" i="2"/>
  <c r="K406" i="2"/>
  <c r="K347" i="2"/>
  <c r="K348" i="2"/>
  <c r="K349" i="2"/>
  <c r="K284" i="2"/>
  <c r="K285" i="2"/>
  <c r="K286" i="2"/>
  <c r="K223" i="2"/>
  <c r="K224" i="2"/>
  <c r="K225" i="2"/>
  <c r="K159" i="2"/>
  <c r="K160" i="2"/>
  <c r="K157" i="2"/>
  <c r="K158" i="2"/>
  <c r="K71" i="2"/>
  <c r="K70" i="2"/>
  <c r="K6" i="2"/>
  <c r="K7" i="2"/>
  <c r="K8" i="2"/>
  <c r="K9" i="2"/>
  <c r="K1887" i="2"/>
  <c r="K1886" i="2"/>
  <c r="K1850" i="2"/>
  <c r="K1851" i="2"/>
  <c r="K1807" i="2"/>
  <c r="K1806" i="2"/>
  <c r="K1767" i="2"/>
  <c r="K1768" i="2"/>
  <c r="K1766" i="2"/>
  <c r="K1727" i="2"/>
  <c r="K1728" i="2"/>
  <c r="K1729" i="2"/>
  <c r="K1730" i="2"/>
  <c r="K1884" i="2"/>
  <c r="K1885" i="2"/>
  <c r="K1883" i="2"/>
  <c r="K1863" i="2"/>
  <c r="K1864" i="2"/>
  <c r="K1865" i="2"/>
  <c r="K1862" i="2"/>
  <c r="K1847" i="2"/>
  <c r="K1848" i="2"/>
  <c r="K1849" i="2"/>
  <c r="K1846" i="2"/>
  <c r="K1823" i="2"/>
  <c r="K1824" i="2"/>
  <c r="K1804" i="2"/>
  <c r="K1805" i="2"/>
  <c r="K1788" i="2"/>
  <c r="K1789" i="2"/>
  <c r="K1786" i="2"/>
  <c r="K1787" i="2"/>
  <c r="K1764" i="2"/>
  <c r="K1765" i="2"/>
  <c r="K1762" i="2"/>
  <c r="K1763" i="2"/>
  <c r="K1743" i="2"/>
  <c r="K1744" i="2"/>
  <c r="K1724" i="2"/>
  <c r="K1725" i="2"/>
  <c r="K1726" i="2"/>
  <c r="K1723" i="2"/>
  <c r="K1702" i="2"/>
  <c r="K1703" i="2"/>
  <c r="K1704" i="2"/>
  <c r="K1686" i="2"/>
  <c r="K1687" i="2"/>
  <c r="K1660" i="2"/>
  <c r="K1657" i="2"/>
  <c r="K1659" i="2"/>
  <c r="K1658" i="2"/>
  <c r="K1638" i="2"/>
  <c r="K1639" i="2"/>
  <c r="K1616" i="2"/>
  <c r="K1617" i="2"/>
  <c r="K1618" i="2"/>
  <c r="K1596" i="2"/>
  <c r="K1593" i="2"/>
  <c r="K1594" i="2"/>
  <c r="K1595" i="2"/>
  <c r="K1580" i="2"/>
  <c r="K1581" i="2"/>
  <c r="K1579" i="2"/>
  <c r="K1557" i="2"/>
  <c r="K1558" i="2"/>
  <c r="K1559" i="2"/>
  <c r="K1560" i="2"/>
  <c r="K1542" i="2"/>
  <c r="K1540" i="2"/>
  <c r="K1541" i="2"/>
  <c r="K1521" i="2"/>
  <c r="K1522" i="2"/>
  <c r="K1481" i="2"/>
  <c r="K1482" i="2"/>
  <c r="K1483" i="2"/>
  <c r="K1484" i="2"/>
  <c r="K1456" i="2"/>
  <c r="K1457" i="2"/>
  <c r="K1458" i="2"/>
  <c r="K1459" i="2"/>
  <c r="K1440" i="2"/>
  <c r="K1441" i="2"/>
  <c r="K1438" i="2"/>
  <c r="K1439" i="2"/>
  <c r="K1424" i="2"/>
  <c r="K1423" i="2"/>
  <c r="K1406" i="2"/>
  <c r="K1407" i="2"/>
  <c r="K1385" i="2"/>
  <c r="K1386" i="2"/>
  <c r="K1368" i="2"/>
  <c r="K1369" i="2"/>
  <c r="K1370" i="2"/>
  <c r="K1367" i="2"/>
  <c r="K1345" i="2"/>
  <c r="K1346" i="2"/>
  <c r="K1296" i="2"/>
  <c r="K1297" i="2"/>
  <c r="K1298" i="2"/>
  <c r="K1299" i="2"/>
  <c r="K1281" i="2"/>
  <c r="K1282" i="2"/>
  <c r="K1283" i="2"/>
  <c r="K1248" i="2"/>
  <c r="K1249" i="2"/>
  <c r="K1231" i="2"/>
  <c r="K1232" i="2"/>
  <c r="K1210" i="2"/>
  <c r="K1211" i="2"/>
  <c r="K1173" i="2"/>
  <c r="K1172" i="2"/>
  <c r="K1155" i="2"/>
  <c r="K1156" i="2"/>
  <c r="K1137" i="2"/>
  <c r="K1138" i="2"/>
  <c r="K1101" i="2"/>
  <c r="K1102" i="2"/>
  <c r="K1088" i="2"/>
  <c r="K1087" i="2"/>
  <c r="K1050" i="2"/>
  <c r="K1051" i="2"/>
  <c r="K1048" i="2"/>
  <c r="K1049" i="2"/>
  <c r="K1034" i="2"/>
  <c r="K1035" i="2"/>
  <c r="K1032" i="2"/>
  <c r="K1033" i="2"/>
  <c r="K994" i="2"/>
  <c r="K995" i="2"/>
  <c r="K992" i="2"/>
  <c r="K993" i="2"/>
  <c r="K964" i="2"/>
  <c r="K965" i="2"/>
  <c r="K947" i="2"/>
  <c r="K948" i="2"/>
  <c r="K949" i="2"/>
  <c r="K950" i="2"/>
  <c r="K925" i="2"/>
  <c r="K926" i="2"/>
  <c r="K900" i="2"/>
  <c r="K901" i="2"/>
  <c r="K902" i="2"/>
  <c r="K903" i="2"/>
  <c r="K866" i="2"/>
  <c r="K867" i="2"/>
  <c r="K842" i="2"/>
  <c r="K843" i="2"/>
  <c r="K844" i="2"/>
  <c r="K845" i="2"/>
  <c r="K819" i="2"/>
  <c r="K820" i="2"/>
  <c r="K821" i="2"/>
  <c r="K795" i="2"/>
  <c r="K796" i="2"/>
  <c r="K797" i="2"/>
  <c r="K798" i="2"/>
  <c r="K778" i="2"/>
  <c r="K779" i="2"/>
  <c r="K752" i="2"/>
  <c r="K753" i="2"/>
  <c r="K751" i="2"/>
  <c r="K730" i="2"/>
  <c r="K731" i="2"/>
  <c r="K698" i="2"/>
  <c r="K696" i="2"/>
  <c r="K697" i="2"/>
  <c r="K680" i="2"/>
  <c r="K679" i="2"/>
  <c r="K681" i="2"/>
  <c r="K678" i="2"/>
  <c r="K641" i="2"/>
  <c r="K642" i="2"/>
  <c r="K577" i="2"/>
  <c r="K578" i="2"/>
  <c r="K537" i="2"/>
  <c r="K539" i="2"/>
  <c r="K540" i="2"/>
  <c r="K538" i="2"/>
  <c r="K503" i="2"/>
  <c r="K500" i="2"/>
  <c r="K501" i="2"/>
  <c r="K502" i="2"/>
  <c r="K479" i="2"/>
  <c r="K480" i="2"/>
  <c r="K457" i="2"/>
  <c r="K459" i="2"/>
  <c r="K460" i="2"/>
  <c r="K458" i="2"/>
  <c r="K441" i="2"/>
  <c r="K443" i="2"/>
  <c r="K442" i="2"/>
  <c r="K401" i="2"/>
  <c r="K403" i="2"/>
  <c r="K402" i="2"/>
  <c r="K383" i="2"/>
  <c r="K382" i="2"/>
  <c r="K343" i="2"/>
  <c r="K344" i="2"/>
  <c r="K345" i="2"/>
  <c r="K281" i="2"/>
  <c r="K282" i="2"/>
  <c r="K257" i="2"/>
  <c r="K259" i="2"/>
  <c r="K258" i="2"/>
  <c r="K239" i="2"/>
  <c r="K240" i="2"/>
  <c r="K238" i="2"/>
  <c r="K175" i="2"/>
  <c r="K176" i="2"/>
  <c r="K177" i="2"/>
  <c r="K178" i="2"/>
  <c r="K151" i="2"/>
  <c r="K152" i="2"/>
  <c r="K153" i="2"/>
  <c r="K154" i="2"/>
  <c r="K127" i="2"/>
  <c r="K128" i="2"/>
  <c r="K126" i="2"/>
  <c r="K104" i="2"/>
  <c r="K105" i="2"/>
  <c r="K106" i="2"/>
  <c r="K87" i="2"/>
  <c r="K88" i="2"/>
  <c r="K85" i="2"/>
  <c r="K86" i="2"/>
  <c r="K41" i="2"/>
  <c r="K43" i="2"/>
  <c r="K42" i="2"/>
  <c r="K23" i="2"/>
  <c r="K20" i="2"/>
  <c r="K21" i="2"/>
  <c r="K22" i="2"/>
  <c r="K1751" i="2"/>
  <c r="K1752" i="2"/>
  <c r="K1753" i="2"/>
  <c r="K1754" i="2"/>
  <c r="K1628" i="2"/>
  <c r="K1625" i="2"/>
  <c r="K1626" i="2"/>
  <c r="K1627" i="2"/>
  <c r="K1512" i="2"/>
  <c r="K1513" i="2"/>
  <c r="K1510" i="2"/>
  <c r="K1511" i="2"/>
  <c r="K1376" i="2"/>
  <c r="K1377" i="2"/>
  <c r="K1378" i="2"/>
  <c r="K1002" i="2"/>
  <c r="K1001" i="2"/>
  <c r="K876" i="2"/>
  <c r="K877" i="2"/>
  <c r="K878" i="2"/>
  <c r="K765" i="2"/>
  <c r="K768" i="2"/>
  <c r="K766" i="2"/>
  <c r="K767" i="2"/>
  <c r="K652" i="2"/>
  <c r="K650" i="2"/>
  <c r="K651" i="2"/>
  <c r="K528" i="2"/>
  <c r="K529" i="2"/>
  <c r="K391" i="2"/>
  <c r="K392" i="2"/>
  <c r="K393" i="2"/>
  <c r="K394" i="2"/>
  <c r="K1809" i="2"/>
  <c r="K1810" i="2"/>
  <c r="K1811" i="2"/>
  <c r="K1693" i="2"/>
  <c r="K1694" i="2"/>
  <c r="K1695" i="2"/>
  <c r="K1696" i="2"/>
  <c r="K1566" i="2"/>
  <c r="K1567" i="2"/>
  <c r="K1568" i="2"/>
  <c r="K1286" i="2"/>
  <c r="K1287" i="2"/>
  <c r="K1181" i="2"/>
  <c r="K1182" i="2"/>
  <c r="K1183" i="2"/>
  <c r="K1180" i="2"/>
  <c r="K784" i="2"/>
  <c r="K785" i="2"/>
  <c r="K782" i="2"/>
  <c r="K783" i="2"/>
  <c r="K648" i="2"/>
  <c r="K649" i="2"/>
  <c r="K387" i="2"/>
  <c r="K388" i="2"/>
  <c r="K389" i="2"/>
  <c r="K390" i="2"/>
  <c r="K267" i="2"/>
  <c r="K268" i="2"/>
  <c r="K269" i="2"/>
  <c r="K161" i="2"/>
  <c r="K162" i="2"/>
  <c r="K31" i="2"/>
  <c r="K28" i="2"/>
  <c r="K29" i="2"/>
  <c r="K30" i="2"/>
  <c r="K1888" i="2"/>
  <c r="K1889" i="2"/>
  <c r="K1772" i="2"/>
  <c r="K1769" i="2"/>
  <c r="K1771" i="2"/>
  <c r="K1770" i="2"/>
  <c r="K1328" i="2"/>
  <c r="K1329" i="2"/>
  <c r="K1330" i="2"/>
  <c r="K1331" i="2"/>
  <c r="K1252" i="2"/>
  <c r="K1251" i="2"/>
  <c r="K1160" i="2"/>
  <c r="K1161" i="2"/>
  <c r="K1109" i="2"/>
  <c r="K1106" i="2"/>
  <c r="K1107" i="2"/>
  <c r="K1108" i="2"/>
  <c r="K1054" i="2"/>
  <c r="K1055" i="2"/>
  <c r="K930" i="2"/>
  <c r="K931" i="2"/>
  <c r="K932" i="2"/>
  <c r="K933" i="2"/>
  <c r="K872" i="2"/>
  <c r="K873" i="2"/>
  <c r="K802" i="2"/>
  <c r="K803" i="2"/>
  <c r="K800" i="2"/>
  <c r="K801" i="2"/>
  <c r="K733" i="2"/>
  <c r="K736" i="2"/>
  <c r="K734" i="2"/>
  <c r="K735" i="2"/>
  <c r="K684" i="2"/>
  <c r="K685" i="2"/>
  <c r="K686" i="2"/>
  <c r="K567" i="2"/>
  <c r="K568" i="2"/>
  <c r="K448" i="2"/>
  <c r="K449" i="2"/>
  <c r="K307" i="2"/>
  <c r="K308" i="2"/>
  <c r="K309" i="2"/>
  <c r="K243" i="2"/>
  <c r="K244" i="2"/>
  <c r="K242" i="2"/>
  <c r="K245" i="2"/>
  <c r="K183" i="2"/>
  <c r="K184" i="2"/>
  <c r="K185" i="2"/>
  <c r="K182" i="2"/>
  <c r="K111" i="2"/>
  <c r="K112" i="2"/>
  <c r="K109" i="2"/>
  <c r="K110" i="2"/>
  <c r="K1844" i="2"/>
  <c r="K1845" i="2"/>
  <c r="K1820" i="2"/>
  <c r="K1821" i="2"/>
  <c r="K1822" i="2"/>
  <c r="K1801" i="2"/>
  <c r="K1802" i="2"/>
  <c r="K1803" i="2"/>
  <c r="K1783" i="2"/>
  <c r="K1784" i="2"/>
  <c r="K1785" i="2"/>
  <c r="K1684" i="2"/>
  <c r="K1685" i="2"/>
  <c r="K1683" i="2"/>
  <c r="K1654" i="2"/>
  <c r="K1655" i="2"/>
  <c r="K1656" i="2"/>
  <c r="K1636" i="2"/>
  <c r="K1637" i="2"/>
  <c r="K1635" i="2"/>
  <c r="K1612" i="2"/>
  <c r="K1613" i="2"/>
  <c r="K1614" i="2"/>
  <c r="K1615" i="2"/>
  <c r="K1577" i="2"/>
  <c r="K1576" i="2"/>
  <c r="K1578" i="2"/>
  <c r="K1555" i="2"/>
  <c r="K1556" i="2"/>
  <c r="K1537" i="2"/>
  <c r="K1538" i="2"/>
  <c r="K1539" i="2"/>
  <c r="K1520" i="2"/>
  <c r="K1519" i="2"/>
  <c r="K1480" i="2"/>
  <c r="K1479" i="2"/>
  <c r="K1454" i="2"/>
  <c r="K1455" i="2"/>
  <c r="K1437" i="2"/>
  <c r="K1435" i="2"/>
  <c r="K1436" i="2"/>
  <c r="K1421" i="2"/>
  <c r="K1422" i="2"/>
  <c r="K1420" i="2"/>
  <c r="K1405" i="2"/>
  <c r="K1404" i="2"/>
  <c r="K1384" i="2"/>
  <c r="K1383" i="2"/>
  <c r="K1365" i="2"/>
  <c r="K1364" i="2"/>
  <c r="K1366" i="2"/>
  <c r="K1320" i="2"/>
  <c r="K1321" i="2"/>
  <c r="K1322" i="2"/>
  <c r="K1319" i="2"/>
  <c r="K1293" i="2"/>
  <c r="K1294" i="2"/>
  <c r="K1295" i="2"/>
  <c r="K1277" i="2"/>
  <c r="K1280" i="2"/>
  <c r="K1278" i="2"/>
  <c r="K1279" i="2"/>
  <c r="K1258" i="2"/>
  <c r="K1259" i="2"/>
  <c r="K1229" i="2"/>
  <c r="K1230" i="2"/>
  <c r="K1227" i="2"/>
  <c r="K1228" i="2"/>
  <c r="K1207" i="2"/>
  <c r="K1208" i="2"/>
  <c r="K1209" i="2"/>
  <c r="K1192" i="2"/>
  <c r="K1193" i="2"/>
  <c r="K1170" i="2"/>
  <c r="K1171" i="2"/>
  <c r="K1152" i="2"/>
  <c r="K1153" i="2"/>
  <c r="K1154" i="2"/>
  <c r="K1135" i="2"/>
  <c r="K1136" i="2"/>
  <c r="K1117" i="2"/>
  <c r="K1118" i="2"/>
  <c r="K1099" i="2"/>
  <c r="K1100" i="2"/>
  <c r="K1084" i="2"/>
  <c r="K1085" i="2"/>
  <c r="K1086" i="2"/>
  <c r="K1066" i="2"/>
  <c r="K1067" i="2"/>
  <c r="K1029" i="2"/>
  <c r="K1031" i="2"/>
  <c r="K1030" i="2"/>
  <c r="K1008" i="2"/>
  <c r="K1009" i="2"/>
  <c r="K1007" i="2"/>
  <c r="K990" i="2"/>
  <c r="K991" i="2"/>
  <c r="K976" i="2"/>
  <c r="K975" i="2"/>
  <c r="K977" i="2"/>
  <c r="K946" i="2"/>
  <c r="K945" i="2"/>
  <c r="K922" i="2"/>
  <c r="K923" i="2"/>
  <c r="K924" i="2"/>
  <c r="K921" i="2"/>
  <c r="K883" i="2"/>
  <c r="K884" i="2"/>
  <c r="K885" i="2"/>
  <c r="K886" i="2"/>
  <c r="K864" i="2"/>
  <c r="K865" i="2"/>
  <c r="K863" i="2"/>
  <c r="K818" i="2"/>
  <c r="K816" i="2"/>
  <c r="K817" i="2"/>
  <c r="K794" i="2"/>
  <c r="K793" i="2"/>
  <c r="K776" i="2"/>
  <c r="K777" i="2"/>
  <c r="K774" i="2"/>
  <c r="K775" i="2"/>
  <c r="K749" i="2"/>
  <c r="K750" i="2"/>
  <c r="K728" i="2"/>
  <c r="K729" i="2"/>
  <c r="K714" i="2"/>
  <c r="K713" i="2"/>
  <c r="K694" i="2"/>
  <c r="K695" i="2"/>
  <c r="K674" i="2"/>
  <c r="K675" i="2"/>
  <c r="K676" i="2"/>
  <c r="K677" i="2"/>
  <c r="K639" i="2"/>
  <c r="K640" i="2"/>
  <c r="K638" i="2"/>
  <c r="K637" i="2"/>
  <c r="K617" i="2"/>
  <c r="K619" i="2"/>
  <c r="K620" i="2"/>
  <c r="K618" i="2"/>
  <c r="K599" i="2"/>
  <c r="K600" i="2"/>
  <c r="K601" i="2"/>
  <c r="K602" i="2"/>
  <c r="K560" i="2"/>
  <c r="K561" i="2"/>
  <c r="K562" i="2"/>
  <c r="K535" i="2"/>
  <c r="K536" i="2"/>
  <c r="K534" i="2"/>
  <c r="K519" i="2"/>
  <c r="K518" i="2"/>
  <c r="K476" i="2"/>
  <c r="K477" i="2"/>
  <c r="K478" i="2"/>
  <c r="K423" i="2"/>
  <c r="K422" i="2"/>
  <c r="K379" i="2"/>
  <c r="K380" i="2"/>
  <c r="K378" i="2"/>
  <c r="K381" i="2"/>
  <c r="K339" i="2"/>
  <c r="K340" i="2"/>
  <c r="K341" i="2"/>
  <c r="K342" i="2"/>
  <c r="K323" i="2"/>
  <c r="K322" i="2"/>
  <c r="K279" i="2"/>
  <c r="K280" i="2"/>
  <c r="K255" i="2"/>
  <c r="K256" i="2"/>
  <c r="K254" i="2"/>
  <c r="K235" i="2"/>
  <c r="K236" i="2"/>
  <c r="K237" i="2"/>
  <c r="K217" i="2"/>
  <c r="K219" i="2"/>
  <c r="K218" i="2"/>
  <c r="K197" i="2"/>
  <c r="K198" i="2"/>
  <c r="K172" i="2"/>
  <c r="K173" i="2"/>
  <c r="K174" i="2"/>
  <c r="K149" i="2"/>
  <c r="K150" i="2"/>
  <c r="K123" i="2"/>
  <c r="K124" i="2"/>
  <c r="K125" i="2"/>
  <c r="K103" i="2"/>
  <c r="K101" i="2"/>
  <c r="K102" i="2"/>
  <c r="K81" i="2"/>
  <c r="K83" i="2"/>
  <c r="K84" i="2"/>
  <c r="K82" i="2"/>
  <c r="K63" i="2"/>
  <c r="K64" i="2"/>
  <c r="K65" i="2"/>
  <c r="K62" i="2"/>
  <c r="K17" i="2"/>
  <c r="K19" i="2"/>
  <c r="K18" i="2"/>
  <c r="K1735" i="2"/>
  <c r="K1736" i="2"/>
  <c r="K1606" i="2"/>
  <c r="K1607" i="2"/>
  <c r="K1608" i="2"/>
  <c r="K1493" i="2"/>
  <c r="K1491" i="2"/>
  <c r="K1492" i="2"/>
  <c r="K1494" i="2"/>
  <c r="K1336" i="2"/>
  <c r="K1337" i="2"/>
  <c r="K1334" i="2"/>
  <c r="K1335" i="2"/>
  <c r="K1128" i="2"/>
  <c r="K1129" i="2"/>
  <c r="K1021" i="2"/>
  <c r="K1022" i="2"/>
  <c r="K1023" i="2"/>
  <c r="K912" i="2"/>
  <c r="K913" i="2"/>
  <c r="K910" i="2"/>
  <c r="K911" i="2"/>
  <c r="K591" i="2"/>
  <c r="K588" i="2"/>
  <c r="K590" i="2"/>
  <c r="K589" i="2"/>
  <c r="K331" i="2"/>
  <c r="K332" i="2"/>
  <c r="K333" i="2"/>
  <c r="K209" i="2"/>
  <c r="K211" i="2"/>
  <c r="K210" i="2"/>
  <c r="K75" i="2"/>
  <c r="K76" i="2"/>
  <c r="K74" i="2"/>
  <c r="K1829" i="2"/>
  <c r="K1831" i="2"/>
  <c r="K1832" i="2"/>
  <c r="K1830" i="2"/>
  <c r="K1668" i="2"/>
  <c r="K1669" i="2"/>
  <c r="K1670" i="2"/>
  <c r="K1671" i="2"/>
  <c r="K1411" i="2"/>
  <c r="K1412" i="2"/>
  <c r="K1266" i="2"/>
  <c r="K1267" i="2"/>
  <c r="K1268" i="2"/>
  <c r="K1162" i="2"/>
  <c r="K1163" i="2"/>
  <c r="K1164" i="2"/>
  <c r="K1077" i="2"/>
  <c r="K1080" i="2"/>
  <c r="K1078" i="2"/>
  <c r="K1079" i="2"/>
  <c r="K828" i="2"/>
  <c r="K829" i="2"/>
  <c r="K830" i="2"/>
  <c r="K688" i="2"/>
  <c r="K687" i="2"/>
  <c r="K287" i="2"/>
  <c r="K288" i="2"/>
  <c r="K289" i="2"/>
  <c r="K290" i="2"/>
  <c r="K135" i="2"/>
  <c r="K136" i="2"/>
  <c r="K137" i="2"/>
  <c r="K11" i="2"/>
  <c r="K10" i="2"/>
  <c r="K1879" i="2"/>
  <c r="K1880" i="2"/>
  <c r="K1881" i="2"/>
  <c r="K1878" i="2"/>
  <c r="K1841" i="2"/>
  <c r="K1842" i="2"/>
  <c r="K1843" i="2"/>
  <c r="K1720" i="2"/>
  <c r="K1721" i="2"/>
  <c r="K1679" i="2"/>
  <c r="K1680" i="2"/>
  <c r="K1681" i="2"/>
  <c r="K1682" i="2"/>
  <c r="K1632" i="2"/>
  <c r="K1633" i="2"/>
  <c r="K1634" i="2"/>
  <c r="K1590" i="2"/>
  <c r="K1591" i="2"/>
  <c r="K1517" i="2"/>
  <c r="K1518" i="2"/>
  <c r="K1516" i="2"/>
  <c r="K1515" i="2"/>
  <c r="K1477" i="2"/>
  <c r="K1476" i="2"/>
  <c r="K1478" i="2"/>
  <c r="K1432" i="2"/>
  <c r="K1433" i="2"/>
  <c r="K1434" i="2"/>
  <c r="K1431" i="2"/>
  <c r="K1400" i="2"/>
  <c r="K1401" i="2"/>
  <c r="K1402" i="2"/>
  <c r="K1403" i="2"/>
  <c r="K1360" i="2"/>
  <c r="K1361" i="2"/>
  <c r="K1362" i="2"/>
  <c r="K1363" i="2"/>
  <c r="K1317" i="2"/>
  <c r="K1315" i="2"/>
  <c r="K1316" i="2"/>
  <c r="K1318" i="2"/>
  <c r="K1274" i="2"/>
  <c r="K1275" i="2"/>
  <c r="K1276" i="2"/>
  <c r="K1245" i="2"/>
  <c r="K1246" i="2"/>
  <c r="K1205" i="2"/>
  <c r="K1206" i="2"/>
  <c r="K1204" i="2"/>
  <c r="K1097" i="2"/>
  <c r="K1098" i="2"/>
  <c r="K1064" i="2"/>
  <c r="K1065" i="2"/>
  <c r="K1027" i="2"/>
  <c r="K1028" i="2"/>
  <c r="K917" i="2"/>
  <c r="K920" i="2"/>
  <c r="K918" i="2"/>
  <c r="K919" i="2"/>
  <c r="K882" i="2"/>
  <c r="K881" i="2"/>
  <c r="K840" i="2"/>
  <c r="K838" i="2"/>
  <c r="K839" i="2"/>
  <c r="K792" i="2"/>
  <c r="K791" i="2"/>
  <c r="K746" i="2"/>
  <c r="K747" i="2"/>
  <c r="K748" i="2"/>
  <c r="K745" i="2"/>
  <c r="K709" i="2"/>
  <c r="K712" i="2"/>
  <c r="K710" i="2"/>
  <c r="K711" i="2"/>
  <c r="K672" i="2"/>
  <c r="K673" i="2"/>
  <c r="K670" i="2"/>
  <c r="K671" i="2"/>
  <c r="K595" i="2"/>
  <c r="K596" i="2"/>
  <c r="K597" i="2"/>
  <c r="K598" i="2"/>
  <c r="K559" i="2"/>
  <c r="K558" i="2"/>
  <c r="K515" i="2"/>
  <c r="K516" i="2"/>
  <c r="K514" i="2"/>
  <c r="K517" i="2"/>
  <c r="K472" i="2"/>
  <c r="K473" i="2"/>
  <c r="K475" i="2"/>
  <c r="K474" i="2"/>
  <c r="K439" i="2"/>
  <c r="K437" i="2"/>
  <c r="K438" i="2"/>
  <c r="K399" i="2"/>
  <c r="K398" i="2"/>
  <c r="K360" i="2"/>
  <c r="K361" i="2"/>
  <c r="K362" i="2"/>
  <c r="K319" i="2"/>
  <c r="K320" i="2"/>
  <c r="K321" i="2"/>
  <c r="K276" i="2"/>
  <c r="K277" i="2"/>
  <c r="K278" i="2"/>
  <c r="K232" i="2"/>
  <c r="K233" i="2"/>
  <c r="K234" i="2"/>
  <c r="K195" i="2"/>
  <c r="K196" i="2"/>
  <c r="K171" i="2"/>
  <c r="K170" i="2"/>
  <c r="K120" i="2"/>
  <c r="K121" i="2"/>
  <c r="K122" i="2"/>
  <c r="K79" i="2"/>
  <c r="K80" i="2"/>
  <c r="K39" i="2"/>
  <c r="K37" i="2"/>
  <c r="K38" i="2"/>
  <c r="K1836" i="2"/>
  <c r="K1833" i="2"/>
  <c r="K1834" i="2"/>
  <c r="K1835" i="2"/>
  <c r="K1714" i="2"/>
  <c r="K1715" i="2"/>
  <c r="K1588" i="2"/>
  <c r="K1587" i="2"/>
  <c r="K1448" i="2"/>
  <c r="K1449" i="2"/>
  <c r="K1450" i="2"/>
  <c r="K1447" i="2"/>
  <c r="K1354" i="2"/>
  <c r="K1355" i="2"/>
  <c r="K1356" i="2"/>
  <c r="K1239" i="2"/>
  <c r="K1240" i="2"/>
  <c r="K1241" i="2"/>
  <c r="K856" i="2"/>
  <c r="K855" i="2"/>
  <c r="K738" i="2"/>
  <c r="K739" i="2"/>
  <c r="K740" i="2"/>
  <c r="K612" i="2"/>
  <c r="K613" i="2"/>
  <c r="K491" i="2"/>
  <c r="K492" i="2"/>
  <c r="K490" i="2"/>
  <c r="K227" i="2"/>
  <c r="K228" i="2"/>
  <c r="K229" i="2"/>
  <c r="K230" i="2"/>
  <c r="K1644" i="2"/>
  <c r="K1642" i="2"/>
  <c r="K1643" i="2"/>
  <c r="K1547" i="2"/>
  <c r="K1548" i="2"/>
  <c r="K1445" i="2"/>
  <c r="K1446" i="2"/>
  <c r="K1352" i="2"/>
  <c r="K1353" i="2"/>
  <c r="K1110" i="2"/>
  <c r="K1111" i="2"/>
  <c r="K970" i="2"/>
  <c r="K969" i="2"/>
  <c r="K722" i="2"/>
  <c r="K720" i="2"/>
  <c r="K721" i="2"/>
  <c r="K719" i="2"/>
  <c r="K311" i="2"/>
  <c r="K312" i="2"/>
  <c r="K313" i="2"/>
  <c r="K310" i="2"/>
  <c r="K207" i="2"/>
  <c r="K208" i="2"/>
  <c r="K206" i="2"/>
  <c r="K205" i="2"/>
  <c r="K72" i="2"/>
  <c r="K73" i="2"/>
  <c r="K1903" i="2"/>
  <c r="K1901" i="2"/>
  <c r="K1902" i="2"/>
  <c r="K1860" i="2"/>
  <c r="K1858" i="2"/>
  <c r="K1859" i="2"/>
  <c r="K1819" i="2"/>
  <c r="K1818" i="2"/>
  <c r="K1780" i="2"/>
  <c r="K1781" i="2"/>
  <c r="K1782" i="2"/>
  <c r="K1759" i="2"/>
  <c r="K1760" i="2"/>
  <c r="K1652" i="2"/>
  <c r="K1653" i="2"/>
  <c r="K1651" i="2"/>
  <c r="K1573" i="2"/>
  <c r="K1574" i="2"/>
  <c r="K1575" i="2"/>
  <c r="K1536" i="2"/>
  <c r="K1533" i="2"/>
  <c r="K1534" i="2"/>
  <c r="K1535" i="2"/>
  <c r="K1498" i="2"/>
  <c r="K1499" i="2"/>
  <c r="K1341" i="2"/>
  <c r="K1342" i="2"/>
  <c r="K1343" i="2"/>
  <c r="K1256" i="2"/>
  <c r="K1257" i="2"/>
  <c r="K1223" i="2"/>
  <c r="K1224" i="2"/>
  <c r="K1225" i="2"/>
  <c r="K1226" i="2"/>
  <c r="K1190" i="2"/>
  <c r="K1191" i="2"/>
  <c r="K1114" i="2"/>
  <c r="K1115" i="2"/>
  <c r="K1116" i="2"/>
  <c r="K1044" i="2"/>
  <c r="K1045" i="2"/>
  <c r="K1046" i="2"/>
  <c r="K1005" i="2"/>
  <c r="K1006" i="2"/>
  <c r="K944" i="2"/>
  <c r="K942" i="2"/>
  <c r="K943" i="2"/>
  <c r="K898" i="2"/>
  <c r="K897" i="2"/>
  <c r="K861" i="2"/>
  <c r="K862" i="2"/>
  <c r="K812" i="2"/>
  <c r="K813" i="2"/>
  <c r="K814" i="2"/>
  <c r="K815" i="2"/>
  <c r="K770" i="2"/>
  <c r="K771" i="2"/>
  <c r="K772" i="2"/>
  <c r="K773" i="2"/>
  <c r="K725" i="2"/>
  <c r="K726" i="2"/>
  <c r="K727" i="2"/>
  <c r="K615" i="2"/>
  <c r="K616" i="2"/>
  <c r="K531" i="2"/>
  <c r="K532" i="2"/>
  <c r="K533" i="2"/>
  <c r="K497" i="2"/>
  <c r="K498" i="2"/>
  <c r="K455" i="2"/>
  <c r="K454" i="2"/>
  <c r="K419" i="2"/>
  <c r="K420" i="2"/>
  <c r="K421" i="2"/>
  <c r="K418" i="2"/>
  <c r="K297" i="2"/>
  <c r="K299" i="2"/>
  <c r="K300" i="2"/>
  <c r="K298" i="2"/>
  <c r="K252" i="2"/>
  <c r="K253" i="2"/>
  <c r="K215" i="2"/>
  <c r="K216" i="2"/>
  <c r="K213" i="2"/>
  <c r="K214" i="2"/>
  <c r="K145" i="2"/>
  <c r="K147" i="2"/>
  <c r="K148" i="2"/>
  <c r="K146" i="2"/>
  <c r="K60" i="2"/>
  <c r="K61" i="2"/>
  <c r="K15" i="2"/>
  <c r="K16" i="2"/>
  <c r="K1900" i="2"/>
  <c r="K1897" i="2"/>
  <c r="K1898" i="2"/>
  <c r="K1899" i="2"/>
  <c r="K1876" i="2"/>
  <c r="K1877" i="2"/>
  <c r="K1856" i="2"/>
  <c r="K1857" i="2"/>
  <c r="K1837" i="2"/>
  <c r="K1839" i="2"/>
  <c r="K1840" i="2"/>
  <c r="K1838" i="2"/>
  <c r="K1815" i="2"/>
  <c r="K1816" i="2"/>
  <c r="K1817" i="2"/>
  <c r="K1797" i="2"/>
  <c r="K1799" i="2"/>
  <c r="K1798" i="2"/>
  <c r="K1756" i="2"/>
  <c r="K1757" i="2"/>
  <c r="K1755" i="2"/>
  <c r="K1758" i="2"/>
  <c r="K1740" i="2"/>
  <c r="K1737" i="2"/>
  <c r="K1738" i="2"/>
  <c r="K1739" i="2"/>
  <c r="K1716" i="2"/>
  <c r="K1717" i="2"/>
  <c r="K1718" i="2"/>
  <c r="K1719" i="2"/>
  <c r="K1699" i="2"/>
  <c r="K1698" i="2"/>
  <c r="K1676" i="2"/>
  <c r="K1677" i="2"/>
  <c r="K1678" i="2"/>
  <c r="K1675" i="2"/>
  <c r="K1648" i="2"/>
  <c r="K1649" i="2"/>
  <c r="K1650" i="2"/>
  <c r="K1629" i="2"/>
  <c r="K1630" i="2"/>
  <c r="K1631" i="2"/>
  <c r="K1609" i="2"/>
  <c r="K1610" i="2"/>
  <c r="K1553" i="2"/>
  <c r="K1552" i="2"/>
  <c r="K1532" i="2"/>
  <c r="K1531" i="2"/>
  <c r="K1496" i="2"/>
  <c r="K1497" i="2"/>
  <c r="K1495" i="2"/>
  <c r="K1473" i="2"/>
  <c r="K1474" i="2"/>
  <c r="K1475" i="2"/>
  <c r="K1451" i="2"/>
  <c r="K1452" i="2"/>
  <c r="K1416" i="2"/>
  <c r="K1417" i="2"/>
  <c r="K1418" i="2"/>
  <c r="K1415" i="2"/>
  <c r="K1381" i="2"/>
  <c r="K1379" i="2"/>
  <c r="K1380" i="2"/>
  <c r="K1357" i="2"/>
  <c r="K1358" i="2"/>
  <c r="K1359" i="2"/>
  <c r="K1338" i="2"/>
  <c r="K1340" i="2"/>
  <c r="K1339" i="2"/>
  <c r="K1312" i="2"/>
  <c r="K1313" i="2"/>
  <c r="K1314" i="2"/>
  <c r="K1272" i="2"/>
  <c r="K1273" i="2"/>
  <c r="K1242" i="2"/>
  <c r="K1243" i="2"/>
  <c r="K1244" i="2"/>
  <c r="K1221" i="2"/>
  <c r="K1222" i="2"/>
  <c r="K1200" i="2"/>
  <c r="K1201" i="2"/>
  <c r="K1202" i="2"/>
  <c r="K1203" i="2"/>
  <c r="K1189" i="2"/>
  <c r="K1188" i="2"/>
  <c r="K1167" i="2"/>
  <c r="K1168" i="2"/>
  <c r="K1133" i="2"/>
  <c r="K1130" i="2"/>
  <c r="K1131" i="2"/>
  <c r="K1132" i="2"/>
  <c r="K1062" i="2"/>
  <c r="K1063" i="2"/>
  <c r="K1026" i="2"/>
  <c r="K1024" i="2"/>
  <c r="K1025" i="2"/>
  <c r="K1003" i="2"/>
  <c r="K1004" i="2"/>
  <c r="K986" i="2"/>
  <c r="K987" i="2"/>
  <c r="K988" i="2"/>
  <c r="K939" i="2"/>
  <c r="K940" i="2"/>
  <c r="K941" i="2"/>
  <c r="K914" i="2"/>
  <c r="K915" i="2"/>
  <c r="K916" i="2"/>
  <c r="K896" i="2"/>
  <c r="K895" i="2"/>
  <c r="K880" i="2"/>
  <c r="K879" i="2"/>
  <c r="K858" i="2"/>
  <c r="K859" i="2"/>
  <c r="K860" i="2"/>
  <c r="K857" i="2"/>
  <c r="K835" i="2"/>
  <c r="K836" i="2"/>
  <c r="K837" i="2"/>
  <c r="K789" i="2"/>
  <c r="K790" i="2"/>
  <c r="K741" i="2"/>
  <c r="K744" i="2"/>
  <c r="K742" i="2"/>
  <c r="K743" i="2"/>
  <c r="K707" i="2"/>
  <c r="K708" i="2"/>
  <c r="K668" i="2"/>
  <c r="K669" i="2"/>
  <c r="K656" i="2"/>
  <c r="K654" i="2"/>
  <c r="K655" i="2"/>
  <c r="K653" i="2"/>
  <c r="K632" i="2"/>
  <c r="K633" i="2"/>
  <c r="K635" i="2"/>
  <c r="K634" i="2"/>
  <c r="K592" i="2"/>
  <c r="K593" i="2"/>
  <c r="K594" i="2"/>
  <c r="K574" i="2"/>
  <c r="K573" i="2"/>
  <c r="K555" i="2"/>
  <c r="K556" i="2"/>
  <c r="K557" i="2"/>
  <c r="K495" i="2"/>
  <c r="K496" i="2"/>
  <c r="K493" i="2"/>
  <c r="K494" i="2"/>
  <c r="K415" i="2"/>
  <c r="K416" i="2"/>
  <c r="K417" i="2"/>
  <c r="K414" i="2"/>
  <c r="K395" i="2"/>
  <c r="K396" i="2"/>
  <c r="K397" i="2"/>
  <c r="K375" i="2"/>
  <c r="K376" i="2"/>
  <c r="K374" i="2"/>
  <c r="K359" i="2"/>
  <c r="K358" i="2"/>
  <c r="K335" i="2"/>
  <c r="K336" i="2"/>
  <c r="K337" i="2"/>
  <c r="K334" i="2"/>
  <c r="K315" i="2"/>
  <c r="K316" i="2"/>
  <c r="K318" i="2"/>
  <c r="K317" i="2"/>
  <c r="K295" i="2"/>
  <c r="K296" i="2"/>
  <c r="K294" i="2"/>
  <c r="K275" i="2"/>
  <c r="K274" i="2"/>
  <c r="K249" i="2"/>
  <c r="K251" i="2"/>
  <c r="K250" i="2"/>
  <c r="K193" i="2"/>
  <c r="K194" i="2"/>
  <c r="K167" i="2"/>
  <c r="K168" i="2"/>
  <c r="K169" i="2"/>
  <c r="K143" i="2"/>
  <c r="K144" i="2"/>
  <c r="K142" i="2"/>
  <c r="K141" i="2"/>
  <c r="K119" i="2"/>
  <c r="K117" i="2"/>
  <c r="K118" i="2"/>
  <c r="K97" i="2"/>
  <c r="K99" i="2"/>
  <c r="K98" i="2"/>
  <c r="K78" i="2"/>
  <c r="K77" i="2"/>
  <c r="K56" i="2"/>
  <c r="K57" i="2"/>
  <c r="K59" i="2"/>
  <c r="K58" i="2"/>
  <c r="K33" i="2"/>
  <c r="K35" i="2"/>
  <c r="K36" i="2"/>
  <c r="K34" i="2"/>
  <c r="K1895" i="2"/>
  <c r="K1896" i="2"/>
  <c r="K1893" i="2"/>
  <c r="K1894" i="2"/>
  <c r="K1812" i="2"/>
  <c r="K1813" i="2"/>
  <c r="K1814" i="2"/>
  <c r="K1569" i="2"/>
  <c r="K1571" i="2"/>
  <c r="K1570" i="2"/>
  <c r="K1469" i="2"/>
  <c r="K1472" i="2"/>
  <c r="K1470" i="2"/>
  <c r="K1471" i="2"/>
  <c r="K1397" i="2"/>
  <c r="K1395" i="2"/>
  <c r="K1396" i="2"/>
  <c r="K1398" i="2"/>
  <c r="K1288" i="2"/>
  <c r="K1289" i="2"/>
  <c r="K1290" i="2"/>
  <c r="K1184" i="2"/>
  <c r="K1185" i="2"/>
  <c r="K1186" i="2"/>
  <c r="K1187" i="2"/>
  <c r="K1149" i="2"/>
  <c r="K1148" i="2"/>
  <c r="K834" i="2"/>
  <c r="K832" i="2"/>
  <c r="K833" i="2"/>
  <c r="K831" i="2"/>
  <c r="K666" i="2"/>
  <c r="K667" i="2"/>
  <c r="K553" i="2"/>
  <c r="K554" i="2"/>
  <c r="K435" i="2"/>
  <c r="K434" i="2"/>
  <c r="K355" i="2"/>
  <c r="K356" i="2"/>
  <c r="K357" i="2"/>
  <c r="K354" i="2"/>
  <c r="K271" i="2"/>
  <c r="K272" i="2"/>
  <c r="K273" i="2"/>
  <c r="K270" i="2"/>
  <c r="K139" i="2"/>
  <c r="K140" i="2"/>
  <c r="K138" i="2"/>
  <c r="R4" i="1"/>
  <c r="W4" i="1" s="1"/>
  <c r="K1873" i="2"/>
  <c r="K1874" i="2"/>
  <c r="K1773" i="2"/>
  <c r="K1775" i="2"/>
  <c r="K1774" i="2"/>
  <c r="K1710" i="2"/>
  <c r="K1711" i="2"/>
  <c r="K1712" i="2"/>
  <c r="K1713" i="2"/>
  <c r="K1604" i="2"/>
  <c r="K1605" i="2"/>
  <c r="K1374" i="2"/>
  <c r="K1375" i="2"/>
  <c r="K1309" i="2"/>
  <c r="K1307" i="2"/>
  <c r="K1308" i="2"/>
  <c r="K1237" i="2"/>
  <c r="K1238" i="2"/>
  <c r="K1125" i="2"/>
  <c r="K1126" i="2"/>
  <c r="K1127" i="2"/>
  <c r="K1058" i="2"/>
  <c r="K1059" i="2"/>
  <c r="K1056" i="2"/>
  <c r="K1057" i="2"/>
  <c r="K1000" i="2"/>
  <c r="K999" i="2"/>
  <c r="K890" i="2"/>
  <c r="K891" i="2"/>
  <c r="K762" i="2"/>
  <c r="K763" i="2"/>
  <c r="K764" i="2"/>
  <c r="K761" i="2"/>
  <c r="K704" i="2"/>
  <c r="K705" i="2"/>
  <c r="K627" i="2"/>
  <c r="K626" i="2"/>
  <c r="K507" i="2"/>
  <c r="K508" i="2"/>
  <c r="K510" i="2"/>
  <c r="K509" i="2"/>
  <c r="K431" i="2"/>
  <c r="K432" i="2"/>
  <c r="K433" i="2"/>
  <c r="K430" i="2"/>
  <c r="K351" i="2"/>
  <c r="K352" i="2"/>
  <c r="K353" i="2"/>
  <c r="K350" i="2"/>
  <c r="K247" i="2"/>
  <c r="K246" i="2"/>
  <c r="R130" i="1"/>
  <c r="W130" i="1" s="1"/>
  <c r="R95" i="1"/>
  <c r="W95" i="1" s="1"/>
  <c r="Y206" i="1" l="1"/>
  <c r="Z206" i="1" s="1"/>
  <c r="Y654" i="1"/>
  <c r="Z654" i="1" s="1"/>
  <c r="Y718" i="1"/>
  <c r="Z718" i="1"/>
  <c r="Y737" i="1"/>
  <c r="Z737" i="1" s="1"/>
  <c r="Z177" i="1"/>
  <c r="Y177" i="1"/>
  <c r="Y305" i="1"/>
  <c r="Z305" i="1" s="1"/>
  <c r="Y433" i="1"/>
  <c r="Z433" i="1" s="1"/>
  <c r="Y9" i="1"/>
  <c r="Z9" i="1" s="1"/>
  <c r="Y22" i="1"/>
  <c r="Z22" i="1" s="1"/>
  <c r="Y86" i="1"/>
  <c r="Z86" i="1" s="1"/>
  <c r="Y150" i="1"/>
  <c r="Z150" i="1" s="1"/>
  <c r="Y214" i="1"/>
  <c r="Z214" i="1" s="1"/>
  <c r="Y278" i="1"/>
  <c r="Z278" i="1" s="1"/>
  <c r="Y342" i="1"/>
  <c r="Z342" i="1" s="1"/>
  <c r="Y406" i="1"/>
  <c r="Z406" i="1" s="1"/>
  <c r="Y470" i="1"/>
  <c r="Z470" i="1" s="1"/>
  <c r="Y534" i="1"/>
  <c r="Z534" i="1" s="1"/>
  <c r="Y598" i="1"/>
  <c r="Z598" i="1" s="1"/>
  <c r="Y662" i="1"/>
  <c r="Z662" i="1" s="1"/>
  <c r="Y183" i="1"/>
  <c r="Z183" i="1" s="1"/>
  <c r="Y503" i="1"/>
  <c r="Z503" i="1" s="1"/>
  <c r="Y119" i="1"/>
  <c r="Z119" i="1" s="1"/>
  <c r="Y519" i="1"/>
  <c r="Z519" i="1" s="1"/>
  <c r="Y175" i="1"/>
  <c r="Z175" i="1" s="1"/>
  <c r="Y639" i="1"/>
  <c r="Z639" i="1" s="1"/>
  <c r="Y726" i="1"/>
  <c r="Z726" i="1" s="1"/>
  <c r="Y63" i="1"/>
  <c r="Z63" i="1" s="1"/>
  <c r="Y495" i="1"/>
  <c r="Z495" i="1" s="1"/>
  <c r="Y247" i="1"/>
  <c r="Z247" i="1" s="1"/>
  <c r="Y631" i="1"/>
  <c r="Z631" i="1" s="1"/>
  <c r="Y255" i="1"/>
  <c r="Z255" i="1" s="1"/>
  <c r="Y671" i="1"/>
  <c r="Z671" i="1" s="1"/>
  <c r="Y633" i="1"/>
  <c r="Z633" i="1" s="1"/>
  <c r="Y761" i="1"/>
  <c r="Z761" i="1" s="1"/>
  <c r="Y745" i="1"/>
  <c r="Z745" i="1" s="1"/>
  <c r="Y57" i="1"/>
  <c r="Z57" i="1" s="1"/>
  <c r="Y121" i="1"/>
  <c r="Z121" i="1" s="1"/>
  <c r="Y185" i="1"/>
  <c r="Z185" i="1" s="1"/>
  <c r="Y249" i="1"/>
  <c r="Z249" i="1" s="1"/>
  <c r="Y313" i="1"/>
  <c r="Z313" i="1" s="1"/>
  <c r="Y377" i="1"/>
  <c r="Z377" i="1" s="1"/>
  <c r="Y441" i="1"/>
  <c r="Z441" i="1" s="1"/>
  <c r="Y505" i="1"/>
  <c r="Z505" i="1" s="1"/>
  <c r="Y569" i="1"/>
  <c r="Z569" i="1" s="1"/>
  <c r="Y673" i="1"/>
  <c r="Z673" i="1" s="1"/>
  <c r="Y78" i="1"/>
  <c r="Z78" i="1" s="1"/>
  <c r="Y526" i="1"/>
  <c r="Z526" i="1" s="1"/>
  <c r="Y135" i="1"/>
  <c r="Z135" i="1" s="1"/>
  <c r="Y199" i="1"/>
  <c r="Z199" i="1" s="1"/>
  <c r="Y593" i="1"/>
  <c r="Z593" i="1" s="1"/>
  <c r="Y641" i="1"/>
  <c r="Z641" i="1" s="1"/>
  <c r="Y291" i="1"/>
  <c r="Z291" i="1" s="1"/>
  <c r="Y30" i="1"/>
  <c r="Z30" i="1" s="1"/>
  <c r="Y94" i="1"/>
  <c r="Z94" i="1" s="1"/>
  <c r="Y158" i="1"/>
  <c r="Z158" i="1" s="1"/>
  <c r="Y222" i="1"/>
  <c r="Z222" i="1" s="1"/>
  <c r="Y286" i="1"/>
  <c r="Z286" i="1" s="1"/>
  <c r="Y350" i="1"/>
  <c r="Z350" i="1" s="1"/>
  <c r="Y414" i="1"/>
  <c r="Z414" i="1" s="1"/>
  <c r="Y478" i="1"/>
  <c r="Z478" i="1" s="1"/>
  <c r="Y542" i="1"/>
  <c r="Z542" i="1" s="1"/>
  <c r="Y606" i="1"/>
  <c r="Z606" i="1" s="1"/>
  <c r="Y670" i="1"/>
  <c r="Z670" i="1" s="1"/>
  <c r="Y223" i="1"/>
  <c r="Z223" i="1" s="1"/>
  <c r="Y527" i="1"/>
  <c r="Z527" i="1" s="1"/>
  <c r="Y167" i="1"/>
  <c r="Z167" i="1" s="1"/>
  <c r="Y567" i="1"/>
  <c r="Z567" i="1" s="1"/>
  <c r="Y231" i="1"/>
  <c r="Z231" i="1" s="1"/>
  <c r="Y711" i="1"/>
  <c r="Z711" i="1" s="1"/>
  <c r="Y734" i="1"/>
  <c r="Z734" i="1" s="1"/>
  <c r="Y143" i="1"/>
  <c r="Z143" i="1" s="1"/>
  <c r="Y535" i="1"/>
  <c r="Z535" i="1" s="1"/>
  <c r="Y287" i="1"/>
  <c r="Z287" i="1" s="1"/>
  <c r="Y687" i="1"/>
  <c r="Z687" i="1" s="1"/>
  <c r="Y311" i="1"/>
  <c r="Z311" i="1" s="1"/>
  <c r="Y719" i="1"/>
  <c r="Z719" i="1" s="1"/>
  <c r="Y649" i="1"/>
  <c r="Z649" i="1" s="1"/>
  <c r="Y65" i="1"/>
  <c r="Z65" i="1" s="1"/>
  <c r="Y129" i="1"/>
  <c r="Z129" i="1" s="1"/>
  <c r="Y193" i="1"/>
  <c r="Z193" i="1" s="1"/>
  <c r="Y257" i="1"/>
  <c r="Z257" i="1" s="1"/>
  <c r="Y321" i="1"/>
  <c r="Z321" i="1" s="1"/>
  <c r="Y385" i="1"/>
  <c r="Z385" i="1" s="1"/>
  <c r="Y449" i="1"/>
  <c r="Z449" i="1" s="1"/>
  <c r="Z513" i="1"/>
  <c r="Y513" i="1"/>
  <c r="Y577" i="1"/>
  <c r="Z577" i="1" s="1"/>
  <c r="Y689" i="1"/>
  <c r="Z689" i="1" s="1"/>
  <c r="Y4" i="1"/>
  <c r="Z4" i="1" s="1"/>
  <c r="Y334" i="1"/>
  <c r="Z334" i="1" s="1"/>
  <c r="Y151" i="1"/>
  <c r="Z151" i="1" s="1"/>
  <c r="Z439" i="1"/>
  <c r="Y439" i="1"/>
  <c r="Y657" i="1"/>
  <c r="Z657" i="1" s="1"/>
  <c r="Y497" i="1"/>
  <c r="Z497" i="1" s="1"/>
  <c r="Y7" i="1"/>
  <c r="Z7" i="1" s="1"/>
  <c r="Y38" i="1"/>
  <c r="Z38" i="1" s="1"/>
  <c r="Y102" i="1"/>
  <c r="Z102" i="1" s="1"/>
  <c r="Z166" i="1"/>
  <c r="Y166" i="1"/>
  <c r="Y230" i="1"/>
  <c r="Z230" i="1" s="1"/>
  <c r="Y294" i="1"/>
  <c r="Z294" i="1" s="1"/>
  <c r="Y358" i="1"/>
  <c r="Z358" i="1" s="1"/>
  <c r="Y422" i="1"/>
  <c r="Z422" i="1" s="1"/>
  <c r="Z486" i="1"/>
  <c r="Y486" i="1"/>
  <c r="Y550" i="1"/>
  <c r="Z550" i="1" s="1"/>
  <c r="Y614" i="1"/>
  <c r="Z614" i="1" s="1"/>
  <c r="Y678" i="1"/>
  <c r="Z678" i="1" s="1"/>
  <c r="Y263" i="1"/>
  <c r="Z263" i="1" s="1"/>
  <c r="Y575" i="1"/>
  <c r="Z575" i="1" s="1"/>
  <c r="Y215" i="1"/>
  <c r="Z215" i="1" s="1"/>
  <c r="Z607" i="1"/>
  <c r="Y607" i="1"/>
  <c r="Z279" i="1"/>
  <c r="Y279" i="1"/>
  <c r="Y759" i="1"/>
  <c r="Z759" i="1" s="1"/>
  <c r="Y742" i="1"/>
  <c r="Z742" i="1" s="1"/>
  <c r="Y191" i="1"/>
  <c r="Z191" i="1" s="1"/>
  <c r="Y591" i="1"/>
  <c r="Z591" i="1" s="1"/>
  <c r="Y351" i="1"/>
  <c r="Z351" i="1" s="1"/>
  <c r="Y735" i="1"/>
  <c r="Z735" i="1" s="1"/>
  <c r="Y359" i="1"/>
  <c r="Z359" i="1" s="1"/>
  <c r="Y767" i="1"/>
  <c r="Z767" i="1" s="1"/>
  <c r="Y665" i="1"/>
  <c r="Z665" i="1" s="1"/>
  <c r="Y73" i="1"/>
  <c r="Z73" i="1" s="1"/>
  <c r="Y137" i="1"/>
  <c r="Z137" i="1" s="1"/>
  <c r="Y201" i="1"/>
  <c r="Z201" i="1" s="1"/>
  <c r="Y265" i="1"/>
  <c r="Z265" i="1" s="1"/>
  <c r="Y329" i="1"/>
  <c r="Z329" i="1" s="1"/>
  <c r="Z393" i="1"/>
  <c r="Y393" i="1"/>
  <c r="Y457" i="1"/>
  <c r="Z457" i="1" s="1"/>
  <c r="Y521" i="1"/>
  <c r="Z521" i="1" s="1"/>
  <c r="Y585" i="1"/>
  <c r="Z585" i="1" s="1"/>
  <c r="Y705" i="1"/>
  <c r="Z705" i="1" s="1"/>
  <c r="Y142" i="1"/>
  <c r="Z142" i="1" s="1"/>
  <c r="Y590" i="1"/>
  <c r="Z590" i="1" s="1"/>
  <c r="Y583" i="1"/>
  <c r="Z583" i="1" s="1"/>
  <c r="Y615" i="1"/>
  <c r="Z615" i="1" s="1"/>
  <c r="Y241" i="1"/>
  <c r="Z241" i="1" s="1"/>
  <c r="Y369" i="1"/>
  <c r="Z369" i="1" s="1"/>
  <c r="Y95" i="1"/>
  <c r="Z95" i="1" s="1"/>
  <c r="Y130" i="1"/>
  <c r="Z130" i="1" s="1"/>
  <c r="Y376" i="1"/>
  <c r="Z376" i="1" s="1"/>
  <c r="Y46" i="1"/>
  <c r="Z46" i="1" s="1"/>
  <c r="Y110" i="1"/>
  <c r="Z110" i="1" s="1"/>
  <c r="Y174" i="1"/>
  <c r="Z174" i="1" s="1"/>
  <c r="Y238" i="1"/>
  <c r="Z238" i="1" s="1"/>
  <c r="Y302" i="1"/>
  <c r="Z302" i="1" s="1"/>
  <c r="Y366" i="1"/>
  <c r="Z366" i="1" s="1"/>
  <c r="Y430" i="1"/>
  <c r="Z430" i="1" s="1"/>
  <c r="Y494" i="1"/>
  <c r="Z494" i="1" s="1"/>
  <c r="Y558" i="1"/>
  <c r="Z558" i="1" s="1"/>
  <c r="Y622" i="1"/>
  <c r="Z622" i="1" s="1"/>
  <c r="Z31" i="1"/>
  <c r="Y31" i="1"/>
  <c r="Z303" i="1"/>
  <c r="Y303" i="1"/>
  <c r="Y623" i="1"/>
  <c r="Z623" i="1" s="1"/>
  <c r="Y271" i="1"/>
  <c r="Z271" i="1" s="1"/>
  <c r="Y663" i="1"/>
  <c r="Z663" i="1" s="1"/>
  <c r="Y335" i="1"/>
  <c r="Z335" i="1" s="1"/>
  <c r="Y686" i="1"/>
  <c r="Z686" i="1" s="1"/>
  <c r="Y750" i="1"/>
  <c r="Z750" i="1" s="1"/>
  <c r="Y239" i="1"/>
  <c r="Z239" i="1" s="1"/>
  <c r="Y647" i="1"/>
  <c r="Z647" i="1" s="1"/>
  <c r="Y399" i="1"/>
  <c r="Z399" i="1" s="1"/>
  <c r="Y23" i="1"/>
  <c r="Z23" i="1" s="1"/>
  <c r="Y407" i="1"/>
  <c r="Z407" i="1" s="1"/>
  <c r="Y681" i="1"/>
  <c r="Z681" i="1" s="1"/>
  <c r="Y17" i="1"/>
  <c r="Z17" i="1" s="1"/>
  <c r="Y81" i="1"/>
  <c r="Z81" i="1" s="1"/>
  <c r="Y145" i="1"/>
  <c r="Z145" i="1" s="1"/>
  <c r="Y209" i="1"/>
  <c r="Z209" i="1" s="1"/>
  <c r="Y273" i="1"/>
  <c r="Z273" i="1" s="1"/>
  <c r="Y337" i="1"/>
  <c r="Z337" i="1" s="1"/>
  <c r="Y401" i="1"/>
  <c r="Z401" i="1" s="1"/>
  <c r="Y465" i="1"/>
  <c r="Z465" i="1" s="1"/>
  <c r="Y529" i="1"/>
  <c r="Z529" i="1" s="1"/>
  <c r="Y601" i="1"/>
  <c r="Z601" i="1" s="1"/>
  <c r="Y729" i="1"/>
  <c r="Z729" i="1" s="1"/>
  <c r="Y14" i="1"/>
  <c r="Z14" i="1" s="1"/>
  <c r="Z462" i="1"/>
  <c r="Y462" i="1"/>
  <c r="Y471" i="1"/>
  <c r="Z471" i="1" s="1"/>
  <c r="Y207" i="1"/>
  <c r="Z207" i="1" s="1"/>
  <c r="Y113" i="1"/>
  <c r="Z113" i="1" s="1"/>
  <c r="Y464" i="1"/>
  <c r="Z464" i="1" s="1"/>
  <c r="Y54" i="1"/>
  <c r="Z54" i="1" s="1"/>
  <c r="Y118" i="1"/>
  <c r="Z118" i="1" s="1"/>
  <c r="Y182" i="1"/>
  <c r="Z182" i="1" s="1"/>
  <c r="Y246" i="1"/>
  <c r="Z246" i="1" s="1"/>
  <c r="Y310" i="1"/>
  <c r="Z310" i="1" s="1"/>
  <c r="Y374" i="1"/>
  <c r="Z374" i="1" s="1"/>
  <c r="Y438" i="1"/>
  <c r="Z438" i="1" s="1"/>
  <c r="Z502" i="1"/>
  <c r="Y502" i="1"/>
  <c r="Y566" i="1"/>
  <c r="Z566" i="1" s="1"/>
  <c r="Y630" i="1"/>
  <c r="Z630" i="1" s="1"/>
  <c r="Y47" i="1"/>
  <c r="Z47" i="1" s="1"/>
  <c r="Y327" i="1"/>
  <c r="Z327" i="1" s="1"/>
  <c r="Y655" i="1"/>
  <c r="Z655" i="1" s="1"/>
  <c r="Y319" i="1"/>
  <c r="Z319" i="1" s="1"/>
  <c r="Y703" i="1"/>
  <c r="Z703" i="1" s="1"/>
  <c r="Y431" i="1"/>
  <c r="Z431" i="1" s="1"/>
  <c r="Y694" i="1"/>
  <c r="Z694" i="1" s="1"/>
  <c r="Y758" i="1"/>
  <c r="Z758" i="1" s="1"/>
  <c r="Y295" i="1"/>
  <c r="Z295" i="1" s="1"/>
  <c r="Y695" i="1"/>
  <c r="Z695" i="1" s="1"/>
  <c r="Y447" i="1"/>
  <c r="Z447" i="1" s="1"/>
  <c r="Y71" i="1"/>
  <c r="Z71" i="1" s="1"/>
  <c r="Y455" i="1"/>
  <c r="Z455" i="1" s="1"/>
  <c r="Y697" i="1"/>
  <c r="Z697" i="1" s="1"/>
  <c r="Y25" i="1"/>
  <c r="Z25" i="1" s="1"/>
  <c r="Y89" i="1"/>
  <c r="Z89" i="1" s="1"/>
  <c r="Y153" i="1"/>
  <c r="Z153" i="1" s="1"/>
  <c r="Y217" i="1"/>
  <c r="Z217" i="1" s="1"/>
  <c r="Y281" i="1"/>
  <c r="Z281" i="1" s="1"/>
  <c r="Z345" i="1"/>
  <c r="Y345" i="1"/>
  <c r="Y409" i="1"/>
  <c r="Z409" i="1" s="1"/>
  <c r="Y473" i="1"/>
  <c r="Z473" i="1" s="1"/>
  <c r="Y537" i="1"/>
  <c r="Z537" i="1" s="1"/>
  <c r="Y609" i="1"/>
  <c r="Z609" i="1" s="1"/>
  <c r="Y753" i="1"/>
  <c r="Z753" i="1" s="1"/>
  <c r="Y270" i="1"/>
  <c r="Z270" i="1" s="1"/>
  <c r="Y463" i="1"/>
  <c r="Z463" i="1" s="1"/>
  <c r="Y39" i="1"/>
  <c r="Z39" i="1" s="1"/>
  <c r="Y561" i="1"/>
  <c r="Z561" i="1" s="1"/>
  <c r="Y383" i="1"/>
  <c r="Z383" i="1" s="1"/>
  <c r="Y62" i="1"/>
  <c r="Z62" i="1" s="1"/>
  <c r="Y126" i="1"/>
  <c r="Z126" i="1" s="1"/>
  <c r="Y190" i="1"/>
  <c r="Z190" i="1" s="1"/>
  <c r="Y254" i="1"/>
  <c r="Z254" i="1" s="1"/>
  <c r="Y318" i="1"/>
  <c r="Z318" i="1" s="1"/>
  <c r="Y382" i="1"/>
  <c r="Z382" i="1" s="1"/>
  <c r="Y446" i="1"/>
  <c r="Z446" i="1" s="1"/>
  <c r="Y510" i="1"/>
  <c r="Z510" i="1" s="1"/>
  <c r="Y574" i="1"/>
  <c r="Z574" i="1" s="1"/>
  <c r="Y638" i="1"/>
  <c r="Z638" i="1" s="1"/>
  <c r="Y79" i="1"/>
  <c r="Z79" i="1" s="1"/>
  <c r="Y375" i="1"/>
  <c r="Z375" i="1" s="1"/>
  <c r="Y679" i="1"/>
  <c r="Z679" i="1" s="1"/>
  <c r="Y367" i="1"/>
  <c r="Z367" i="1" s="1"/>
  <c r="Y751" i="1"/>
  <c r="Z751" i="1" s="1"/>
  <c r="Y479" i="1"/>
  <c r="Z479" i="1" s="1"/>
  <c r="Y702" i="1"/>
  <c r="Z702" i="1" s="1"/>
  <c r="Y766" i="1"/>
  <c r="Z766" i="1" s="1"/>
  <c r="Y343" i="1"/>
  <c r="Z343" i="1" s="1"/>
  <c r="Y743" i="1"/>
  <c r="Z743" i="1" s="1"/>
  <c r="Y487" i="1"/>
  <c r="Z487" i="1" s="1"/>
  <c r="Y103" i="1"/>
  <c r="Z103" i="1" s="1"/>
  <c r="Y511" i="1"/>
  <c r="Z511" i="1" s="1"/>
  <c r="Y713" i="1"/>
  <c r="Z713" i="1" s="1"/>
  <c r="Y33" i="1"/>
  <c r="Z33" i="1" s="1"/>
  <c r="Y97" i="1"/>
  <c r="Z97" i="1" s="1"/>
  <c r="Y161" i="1"/>
  <c r="Z161" i="1" s="1"/>
  <c r="Y225" i="1"/>
  <c r="Z225" i="1" s="1"/>
  <c r="Y289" i="1"/>
  <c r="Z289" i="1" s="1"/>
  <c r="Y353" i="1"/>
  <c r="Z353" i="1" s="1"/>
  <c r="Z417" i="1"/>
  <c r="Y417" i="1"/>
  <c r="Y481" i="1"/>
  <c r="Z481" i="1" s="1"/>
  <c r="Y545" i="1"/>
  <c r="Z545" i="1" s="1"/>
  <c r="Y617" i="1"/>
  <c r="Z617" i="1" s="1"/>
  <c r="Y398" i="1"/>
  <c r="Z398" i="1" s="1"/>
  <c r="Y55" i="1"/>
  <c r="Z55" i="1" s="1"/>
  <c r="Y599" i="1"/>
  <c r="Z599" i="1" s="1"/>
  <c r="Y49" i="1"/>
  <c r="Z49" i="1" s="1"/>
  <c r="Y6" i="1"/>
  <c r="Z6" i="1" s="1"/>
  <c r="Y70" i="1"/>
  <c r="Z70" i="1" s="1"/>
  <c r="Y134" i="1"/>
  <c r="Z134" i="1" s="1"/>
  <c r="Z198" i="1"/>
  <c r="Y198" i="1"/>
  <c r="Y262" i="1"/>
  <c r="Z262" i="1" s="1"/>
  <c r="Y326" i="1"/>
  <c r="Z326" i="1" s="1"/>
  <c r="Y390" i="1"/>
  <c r="Z390" i="1" s="1"/>
  <c r="Y454" i="1"/>
  <c r="Z454" i="1" s="1"/>
  <c r="Y518" i="1"/>
  <c r="Z518" i="1" s="1"/>
  <c r="Y582" i="1"/>
  <c r="Z582" i="1" s="1"/>
  <c r="Y646" i="1"/>
  <c r="Z646" i="1"/>
  <c r="Y111" i="1"/>
  <c r="Z111" i="1" s="1"/>
  <c r="Y423" i="1"/>
  <c r="Z423" i="1" s="1"/>
  <c r="Y727" i="1"/>
  <c r="Z727" i="1" s="1"/>
  <c r="Y415" i="1"/>
  <c r="Z415" i="1" s="1"/>
  <c r="Y87" i="1"/>
  <c r="Z87" i="1" s="1"/>
  <c r="Y543" i="1"/>
  <c r="Z543" i="1" s="1"/>
  <c r="Y710" i="1"/>
  <c r="Z710" i="1" s="1"/>
  <c r="Y15" i="1"/>
  <c r="Z15" i="1" s="1"/>
  <c r="Y391" i="1"/>
  <c r="Z391" i="1" s="1"/>
  <c r="Y127" i="1"/>
  <c r="Z127" i="1" s="1"/>
  <c r="Y551" i="1"/>
  <c r="Z551" i="1" s="1"/>
  <c r="Y159" i="1"/>
  <c r="Z159" i="1" s="1"/>
  <c r="Y559" i="1"/>
  <c r="Z559" i="1" s="1"/>
  <c r="Y721" i="1"/>
  <c r="Z721" i="1" s="1"/>
  <c r="Y41" i="1"/>
  <c r="Z41" i="1" s="1"/>
  <c r="Y105" i="1"/>
  <c r="Z105" i="1" s="1"/>
  <c r="Y169" i="1"/>
  <c r="Z169" i="1" s="1"/>
  <c r="Y233" i="1"/>
  <c r="Z233" i="1" s="1"/>
  <c r="Y297" i="1"/>
  <c r="Z297" i="1" s="1"/>
  <c r="Y361" i="1"/>
  <c r="Z361" i="1" s="1"/>
  <c r="Y425" i="1"/>
  <c r="Z425" i="1" s="1"/>
  <c r="Y489" i="1"/>
  <c r="Z489" i="1" s="1"/>
  <c r="Y553" i="1"/>
  <c r="Z553" i="1" s="1"/>
  <c r="Y625" i="1"/>
  <c r="Z62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B1C1C4-884D-4D01-99F1-C8A93C3514B2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A424F41-AC33-42BF-800F-70FA038463AA}" name="WorksheetConnection_Intento2.xlsx!Sala" type="102" refreshedVersion="8" minRefreshableVersion="5">
    <extLst>
      <ext xmlns:x15="http://schemas.microsoft.com/office/spreadsheetml/2010/11/main" uri="{DE250136-89BD-433C-8126-D09CA5730AF9}">
        <x15:connection id="Sala" autoDelete="1">
          <x15:rangePr sourceName="_xlcn.WorksheetConnection_Intento2.xlsxSala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Sala].[Cobrada].&amp;[No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<sst xmlns="http://schemas.openxmlformats.org/spreadsheetml/2006/main" count="10508" uniqueCount="699">
  <si>
    <t>Nombre del Cliente</t>
  </si>
  <si>
    <t>Hora de Salida</t>
  </si>
  <si>
    <t>Mesero Asignado</t>
  </si>
  <si>
    <t>Tipo de Servicio</t>
  </si>
  <si>
    <t>Propina</t>
  </si>
  <si>
    <t>Estado de la Mesa</t>
  </si>
  <si>
    <t>Cliente_724</t>
  </si>
  <si>
    <t>Mesero_3</t>
  </si>
  <si>
    <t>Almuerzo</t>
  </si>
  <si>
    <t>Reservada</t>
  </si>
  <si>
    <t>Cliente_538</t>
  </si>
  <si>
    <t>Mesero_1</t>
  </si>
  <si>
    <t>Desayuno</t>
  </si>
  <si>
    <t>Efectivo</t>
  </si>
  <si>
    <t>Colombia</t>
  </si>
  <si>
    <t>Cliente_911</t>
  </si>
  <si>
    <t>Mesero_2</t>
  </si>
  <si>
    <t>Libre</t>
  </si>
  <si>
    <t>Brasil</t>
  </si>
  <si>
    <t>Cliente_129</t>
  </si>
  <si>
    <t>Mesero_5</t>
  </si>
  <si>
    <t>Paraguay</t>
  </si>
  <si>
    <t>Cliente_938</t>
  </si>
  <si>
    <t>Mesero_4</t>
  </si>
  <si>
    <t>Cliente_965</t>
  </si>
  <si>
    <t>Cena</t>
  </si>
  <si>
    <t>Plato_8</t>
  </si>
  <si>
    <t>Cliente_306</t>
  </si>
  <si>
    <t>Ocupada</t>
  </si>
  <si>
    <t>Venezuela</t>
  </si>
  <si>
    <t>Cliente_974</t>
  </si>
  <si>
    <t>Cliente_740</t>
  </si>
  <si>
    <t>Bolivia</t>
  </si>
  <si>
    <t>Cliente_33</t>
  </si>
  <si>
    <t>Uruguay</t>
  </si>
  <si>
    <t>Cliente_881</t>
  </si>
  <si>
    <t>Cliente_890</t>
  </si>
  <si>
    <t>Cliente_873</t>
  </si>
  <si>
    <t>Plato_9</t>
  </si>
  <si>
    <t>Cliente_780</t>
  </si>
  <si>
    <t>Cliente_728</t>
  </si>
  <si>
    <t>Cliente_175</t>
  </si>
  <si>
    <t>Plato_16</t>
  </si>
  <si>
    <t>Cliente_200</t>
  </si>
  <si>
    <t>Ecuador</t>
  </si>
  <si>
    <t>Cliente_190</t>
  </si>
  <si>
    <t>Cliente_290</t>
  </si>
  <si>
    <t>Chile</t>
  </si>
  <si>
    <t>Plato_20</t>
  </si>
  <si>
    <t>Cliente_972</t>
  </si>
  <si>
    <t>Cliente_210</t>
  </si>
  <si>
    <t>Cliente_88</t>
  </si>
  <si>
    <t>Cliente_427</t>
  </si>
  <si>
    <t>Cliente_424</t>
  </si>
  <si>
    <t>Cliente_824</t>
  </si>
  <si>
    <t>Plato_18</t>
  </si>
  <si>
    <t>Cliente_107</t>
  </si>
  <si>
    <t>Cliente_775</t>
  </si>
  <si>
    <t>Cliente_358</t>
  </si>
  <si>
    <t>Argentina</t>
  </si>
  <si>
    <t>Cliente_377</t>
  </si>
  <si>
    <t>Cliente_361</t>
  </si>
  <si>
    <t>Cliente_229</t>
  </si>
  <si>
    <t>Cliente_27</t>
  </si>
  <si>
    <t>Cliente_103</t>
  </si>
  <si>
    <t>Cliente_1</t>
  </si>
  <si>
    <t>Cliente_828</t>
  </si>
  <si>
    <t>Cliente_874</t>
  </si>
  <si>
    <t>Plato_2</t>
  </si>
  <si>
    <t>Cliente_999</t>
  </si>
  <si>
    <t>Plato_13</t>
  </si>
  <si>
    <t>Cliente_167</t>
  </si>
  <si>
    <t>Cliente_606</t>
  </si>
  <si>
    <t>Plato_19</t>
  </si>
  <si>
    <t>Cliente_710</t>
  </si>
  <si>
    <t>Cliente_870</t>
  </si>
  <si>
    <t>Cliente_230</t>
  </si>
  <si>
    <t>Cliente_814</t>
  </si>
  <si>
    <t>Cliente_640</t>
  </si>
  <si>
    <t>Plato_4</t>
  </si>
  <si>
    <t>Cliente_623</t>
  </si>
  <si>
    <t>Cliente_72</t>
  </si>
  <si>
    <t>Cliente_963</t>
  </si>
  <si>
    <t>Cliente_929</t>
  </si>
  <si>
    <t>Cliente_708</t>
  </si>
  <si>
    <t>Cliente_631</t>
  </si>
  <si>
    <t>Cliente_894</t>
  </si>
  <si>
    <t>Cliente_63</t>
  </si>
  <si>
    <t>Cliente_144</t>
  </si>
  <si>
    <t>Cliente_390</t>
  </si>
  <si>
    <t>Cliente_886</t>
  </si>
  <si>
    <t>Cliente_510</t>
  </si>
  <si>
    <t>Cliente_878</t>
  </si>
  <si>
    <t>Cliente_977</t>
  </si>
  <si>
    <t>Cliente_553</t>
  </si>
  <si>
    <t>Cliente_792</t>
  </si>
  <si>
    <t>Cliente_265</t>
  </si>
  <si>
    <t>Cliente_946</t>
  </si>
  <si>
    <t>Cliente_614</t>
  </si>
  <si>
    <t>Cliente_352</t>
  </si>
  <si>
    <t>Cliente_784</t>
  </si>
  <si>
    <t>Cliente_118</t>
  </si>
  <si>
    <t>Cliente_61</t>
  </si>
  <si>
    <t>Cliente_440</t>
  </si>
  <si>
    <t>Cliente_258</t>
  </si>
  <si>
    <t>Cliente_742</t>
  </si>
  <si>
    <t>Plato_6</t>
  </si>
  <si>
    <t>Cliente_865</t>
  </si>
  <si>
    <t>Cliente_79</t>
  </si>
  <si>
    <t>Cliente_42</t>
  </si>
  <si>
    <t>Cliente_374</t>
  </si>
  <si>
    <t>Cliente_636</t>
  </si>
  <si>
    <t>Plato_12</t>
  </si>
  <si>
    <t>Cliente_753</t>
  </si>
  <si>
    <t>Cliente_632</t>
  </si>
  <si>
    <t>Cliente_969</t>
  </si>
  <si>
    <t>Plato_17</t>
  </si>
  <si>
    <t>Cliente_574</t>
  </si>
  <si>
    <t>Cliente_292</t>
  </si>
  <si>
    <t>Cliente_148</t>
  </si>
  <si>
    <t>Cliente_747</t>
  </si>
  <si>
    <t>Cliente_501</t>
  </si>
  <si>
    <t>Plato_1</t>
  </si>
  <si>
    <t>Cliente_733</t>
  </si>
  <si>
    <t>Cliente_36</t>
  </si>
  <si>
    <t>Cliente_1000</t>
  </si>
  <si>
    <t>Cliente_607</t>
  </si>
  <si>
    <t>Cliente_378</t>
  </si>
  <si>
    <t>Cliente_612</t>
  </si>
  <si>
    <t>Cliente_452</t>
  </si>
  <si>
    <t>Cliente_244</t>
  </si>
  <si>
    <t>Cliente_840</t>
  </si>
  <si>
    <t>Cliente_993</t>
  </si>
  <si>
    <t>Cliente_29</t>
  </si>
  <si>
    <t>Cliente_313</t>
  </si>
  <si>
    <t>Cliente_520</t>
  </si>
  <si>
    <t>Cliente_388</t>
  </si>
  <si>
    <t>Cliente_384</t>
  </si>
  <si>
    <t>Cliente_517</t>
  </si>
  <si>
    <t>Cliente_711</t>
  </si>
  <si>
    <t>Cliente_651</t>
  </si>
  <si>
    <t>Cliente_545</t>
  </si>
  <si>
    <t>Cliente_116</t>
  </si>
  <si>
    <t>Cliente_170</t>
  </si>
  <si>
    <t>Cliente_92</t>
  </si>
  <si>
    <t>Cliente_552</t>
  </si>
  <si>
    <t>Plato_3</t>
  </si>
  <si>
    <t>Cliente_627</t>
  </si>
  <si>
    <t>Cliente_588</t>
  </si>
  <si>
    <t>Cliente_949</t>
  </si>
  <si>
    <t>Cliente_863</t>
  </si>
  <si>
    <t>Cliente_140</t>
  </si>
  <si>
    <t>Cliente_523</t>
  </si>
  <si>
    <t>Cliente_916</t>
  </si>
  <si>
    <t>Cliente_416</t>
  </si>
  <si>
    <t>Plato_10</t>
  </si>
  <si>
    <t>Cliente_346</t>
  </si>
  <si>
    <t>Cliente_381</t>
  </si>
  <si>
    <t>Plato_7</t>
  </si>
  <si>
    <t>Cliente_791</t>
  </si>
  <si>
    <t>Cliente_697</t>
  </si>
  <si>
    <t>Cliente_516</t>
  </si>
  <si>
    <t>Cliente_541</t>
  </si>
  <si>
    <t>Cliente_830</t>
  </si>
  <si>
    <t>Cliente_656</t>
  </si>
  <si>
    <t>Cliente_486</t>
  </si>
  <si>
    <t>Cliente_774</t>
  </si>
  <si>
    <t>Cliente_26</t>
  </si>
  <si>
    <t>Cliente_273</t>
  </si>
  <si>
    <t>Cliente_798</t>
  </si>
  <si>
    <t>Cliente_8</t>
  </si>
  <si>
    <t>Cliente_31</t>
  </si>
  <si>
    <t>Cliente_658</t>
  </si>
  <si>
    <t>Cliente_773</t>
  </si>
  <si>
    <t>Cliente_158</t>
  </si>
  <si>
    <t>Cliente_569</t>
  </si>
  <si>
    <t>Cliente_286</t>
  </si>
  <si>
    <t>Cliente_199</t>
  </si>
  <si>
    <t>Cliente_712</t>
  </si>
  <si>
    <t>Cliente_56</t>
  </si>
  <si>
    <t>Cliente_670</t>
  </si>
  <si>
    <t>Cliente_909</t>
  </si>
  <si>
    <t>Cliente_402</t>
  </si>
  <si>
    <t>Cliente_709</t>
  </si>
  <si>
    <t>Cliente_533</t>
  </si>
  <si>
    <t>Cliente_953</t>
  </si>
  <si>
    <t>Cliente_380</t>
  </si>
  <si>
    <t>Cliente_964</t>
  </si>
  <si>
    <t>Cliente_939</t>
  </si>
  <si>
    <t>Cliente_536</t>
  </si>
  <si>
    <t>Cliente_5</t>
  </si>
  <si>
    <t>Cliente_115</t>
  </si>
  <si>
    <t>Cliente_580</t>
  </si>
  <si>
    <t>Cliente_788</t>
  </si>
  <si>
    <t>Cliente_892</t>
  </si>
  <si>
    <t>Cliente_406</t>
  </si>
  <si>
    <t>Cliente_295</t>
  </si>
  <si>
    <t>Cliente_547</t>
  </si>
  <si>
    <t>Cliente_156</t>
  </si>
  <si>
    <t>Cliente_768</t>
  </si>
  <si>
    <t>Plato_14</t>
  </si>
  <si>
    <t>Cliente_359</t>
  </si>
  <si>
    <t>Cliente_131</t>
  </si>
  <si>
    <t>Plato_5</t>
  </si>
  <si>
    <t>Cliente_485</t>
  </si>
  <si>
    <t>Cliente_493</t>
  </si>
  <si>
    <t>Cliente_282</t>
  </si>
  <si>
    <t>Cliente_850</t>
  </si>
  <si>
    <t>Cliente_301</t>
  </si>
  <si>
    <t>Cliente_124</t>
  </si>
  <si>
    <t>Cliente_741</t>
  </si>
  <si>
    <t>Cliente_610</t>
  </si>
  <si>
    <t>Cliente_681</t>
  </si>
  <si>
    <t>Cliente_173</t>
  </si>
  <si>
    <t>Cliente_55</t>
  </si>
  <si>
    <t>Cliente_653</t>
  </si>
  <si>
    <t>Cliente_628</t>
  </si>
  <si>
    <t>Cliente_715</t>
  </si>
  <si>
    <t>Cliente_321</t>
  </si>
  <si>
    <t>Cliente_442</t>
  </si>
  <si>
    <t>Cliente_752</t>
  </si>
  <si>
    <t>Cliente_727</t>
  </si>
  <si>
    <t>Cliente_548</t>
  </si>
  <si>
    <t>Cliente_30</t>
  </si>
  <si>
    <t>Cliente_412</t>
  </si>
  <si>
    <t>Cliente_646</t>
  </si>
  <si>
    <t>Cliente_151</t>
  </si>
  <si>
    <t>Cliente_318</t>
  </si>
  <si>
    <t>Cliente_336</t>
  </si>
  <si>
    <t>Cliente_560</t>
  </si>
  <si>
    <t>Cliente_367</t>
  </si>
  <si>
    <t>Cliente_765</t>
  </si>
  <si>
    <t>Cliente_679</t>
  </si>
  <si>
    <t>Cliente_512</t>
  </si>
  <si>
    <t>Cliente_701</t>
  </si>
  <si>
    <t>Cliente_331</t>
  </si>
  <si>
    <t>Cliente_83</t>
  </si>
  <si>
    <t>Cliente_339</t>
  </si>
  <si>
    <t>Cliente_323</t>
  </si>
  <si>
    <t>Cliente_678</t>
  </si>
  <si>
    <t>Cliente_74</t>
  </si>
  <si>
    <t>Cliente_146</t>
  </si>
  <si>
    <t>Cliente_212</t>
  </si>
  <si>
    <t>Cliente_3</t>
  </si>
  <si>
    <t>Cliente_176</t>
  </si>
  <si>
    <t>Cliente_551</t>
  </si>
  <si>
    <t>Cliente_240</t>
  </si>
  <si>
    <t>Plato_15</t>
  </si>
  <si>
    <t>Cliente_759</t>
  </si>
  <si>
    <t>Cliente_959</t>
  </si>
  <si>
    <t>Cliente_744</t>
  </si>
  <si>
    <t>Cliente_189</t>
  </si>
  <si>
    <t>Cliente_576</t>
  </si>
  <si>
    <t>Cliente_474</t>
  </si>
  <si>
    <t>Cliente_990</t>
  </si>
  <si>
    <t>Cliente_67</t>
  </si>
  <si>
    <t>Cliente_445</t>
  </si>
  <si>
    <t>Cliente_984</t>
  </si>
  <si>
    <t>Cliente_877</t>
  </si>
  <si>
    <t>Cliente_494</t>
  </si>
  <si>
    <t>Cliente_264</t>
  </si>
  <si>
    <t>Plato_11</t>
  </si>
  <si>
    <t>Cliente_142</t>
  </si>
  <si>
    <t>Cliente_599</t>
  </si>
  <si>
    <t>Cliente_856</t>
  </si>
  <si>
    <t>Cliente_722</t>
  </si>
  <si>
    <t>Cliente_935</t>
  </si>
  <si>
    <t>Cliente_961</t>
  </si>
  <si>
    <t>Cliente_924</t>
  </si>
  <si>
    <t>Cliente_579</t>
  </si>
  <si>
    <t>Cliente_567</t>
  </si>
  <si>
    <t>Cliente_927</t>
  </si>
  <si>
    <t>Cliente_539</t>
  </si>
  <si>
    <t>Cliente_872</t>
  </si>
  <si>
    <t>Cliente_425</t>
  </si>
  <si>
    <t>Cliente_700</t>
  </si>
  <si>
    <t>Cliente_665</t>
  </si>
  <si>
    <t>Cliente_978</t>
  </si>
  <si>
    <t>Cliente_577</t>
  </si>
  <si>
    <t>Cliente_429</t>
  </si>
  <si>
    <t>Cliente_811</t>
  </si>
  <si>
    <t>Cliente_228</t>
  </si>
  <si>
    <t>Cliente_249</t>
  </si>
  <si>
    <t>Cliente_326</t>
  </si>
  <si>
    <t>Cliente_281</t>
  </si>
  <si>
    <t>Cliente_686</t>
  </si>
  <si>
    <t>Cliente_418</t>
  </si>
  <si>
    <t>Cliente_397</t>
  </si>
  <si>
    <t>Cliente_477</t>
  </si>
  <si>
    <t>Cliente_300</t>
  </si>
  <si>
    <t>Cliente_928</t>
  </si>
  <si>
    <t>Cliente_132</t>
  </si>
  <si>
    <t>Cliente_53</t>
  </si>
  <si>
    <t>Cliente_673</t>
  </si>
  <si>
    <t>Cliente_243</t>
  </si>
  <si>
    <t>Cliente_730</t>
  </si>
  <si>
    <t>Cliente_617</t>
  </si>
  <si>
    <t>Cliente_827</t>
  </si>
  <si>
    <t>Cliente_184</t>
  </si>
  <si>
    <t>Cliente_345</t>
  </si>
  <si>
    <t>Cliente_277</t>
  </si>
  <si>
    <t>Cliente_981</t>
  </si>
  <si>
    <t>Cliente_24</t>
  </si>
  <si>
    <t>Cliente_463</t>
  </si>
  <si>
    <t>Cliente_746</t>
  </si>
  <si>
    <t>Cliente_409</t>
  </si>
  <si>
    <t>Cliente_729</t>
  </si>
  <si>
    <t>Cliente_565</t>
  </si>
  <si>
    <t>Cliente_195</t>
  </si>
  <si>
    <t>Cliente_211</t>
  </si>
  <si>
    <t>Cliente_385</t>
  </si>
  <si>
    <t>Cliente_986</t>
  </si>
  <si>
    <t>Cliente_994</t>
  </si>
  <si>
    <t>Cliente_648</t>
  </si>
  <si>
    <t>Cliente_702</t>
  </si>
  <si>
    <t>Cliente_846</t>
  </si>
  <si>
    <t>Cliente_620</t>
  </si>
  <si>
    <t>Cliente_672</t>
  </si>
  <si>
    <t>Cliente_735</t>
  </si>
  <si>
    <t>Cliente_268</t>
  </si>
  <si>
    <t>Cliente_161</t>
  </si>
  <si>
    <t>Cliente_600</t>
  </si>
  <si>
    <t>Cliente_654</t>
  </si>
  <si>
    <t>Cliente_269</t>
  </si>
  <si>
    <t>Cliente_12</t>
  </si>
  <si>
    <t>Cliente_294</t>
  </si>
  <si>
    <t>Cliente_659</t>
  </si>
  <si>
    <t>Cliente_47</t>
  </si>
  <si>
    <t>Cliente_544</t>
  </si>
  <si>
    <t>Cliente_633</t>
  </si>
  <si>
    <t>Cliente_154</t>
  </si>
  <si>
    <t>Cliente_489</t>
  </si>
  <si>
    <t>Cliente_350</t>
  </si>
  <si>
    <t>Cliente_797</t>
  </si>
  <si>
    <t>Cliente_436</t>
  </si>
  <si>
    <t>Cliente_597</t>
  </si>
  <si>
    <t>Cliente_823</t>
  </si>
  <si>
    <t>Cliente_690</t>
  </si>
  <si>
    <t>Cliente_216</t>
  </si>
  <si>
    <t>Cliente_546</t>
  </si>
  <si>
    <t>Cliente_524</t>
  </si>
  <si>
    <t>Cliente_193</t>
  </si>
  <si>
    <t>Cliente_794</t>
  </si>
  <si>
    <t>Cliente_602</t>
  </si>
  <si>
    <t>Cliente_296</t>
  </si>
  <si>
    <t>Cliente_568</t>
  </si>
  <si>
    <t>Cliente_897</t>
  </si>
  <si>
    <t>Cliente_816</t>
  </si>
  <si>
    <t>Cliente_221</t>
  </si>
  <si>
    <t>Cliente_755</t>
  </si>
  <si>
    <t>Cliente_289</t>
  </si>
  <si>
    <t>Cliente_476</t>
  </si>
  <si>
    <t>Cliente_940</t>
  </si>
  <si>
    <t>Cliente_707</t>
  </si>
  <si>
    <t>Cliente_644</t>
  </si>
  <si>
    <t>Cliente_619</t>
  </si>
  <si>
    <t>Cliente_833</t>
  </si>
  <si>
    <t>Cliente_899</t>
  </si>
  <si>
    <t>Cliente_498</t>
  </si>
  <si>
    <t>Cliente_470</t>
  </si>
  <si>
    <t>Cliente_191</t>
  </si>
  <si>
    <t>Cliente_183</t>
  </si>
  <si>
    <t>Cliente_499</t>
  </si>
  <si>
    <t>Cliente_495</t>
  </si>
  <si>
    <t>Cliente_54</t>
  </si>
  <si>
    <t>Cliente_923</t>
  </si>
  <si>
    <t>Cliente_453</t>
  </si>
  <si>
    <t>Cliente_14</t>
  </si>
  <si>
    <t>Cliente_611</t>
  </si>
  <si>
    <t>Cliente_666</t>
  </si>
  <si>
    <t>Cliente_505</t>
  </si>
  <si>
    <t>Cliente_858</t>
  </si>
  <si>
    <t>Cliente_882</t>
  </si>
  <si>
    <t>Cliente_275</t>
  </si>
  <si>
    <t>Cliente_871</t>
  </si>
  <si>
    <t>Cliente_841</t>
  </si>
  <si>
    <t>Cliente_789</t>
  </si>
  <si>
    <t>Cliente_141</t>
  </si>
  <si>
    <t>Cliente_992</t>
  </si>
  <si>
    <t>Cliente_622</t>
  </si>
  <si>
    <t>Cliente_508</t>
  </si>
  <si>
    <t>Cliente_676</t>
  </si>
  <si>
    <t>Cliente_667</t>
  </si>
  <si>
    <t>Cliente_609</t>
  </si>
  <si>
    <t>Cliente_471</t>
  </si>
  <si>
    <t>Cliente_196</t>
  </si>
  <si>
    <t>Cliente_563</t>
  </si>
  <si>
    <t>Cliente_991</t>
  </si>
  <si>
    <t>Cliente_330</t>
  </si>
  <si>
    <t>Cliente_943</t>
  </si>
  <si>
    <t>Cliente_285</t>
  </si>
  <si>
    <t>Cliente_905</t>
  </si>
  <si>
    <t>Cliente_543</t>
  </si>
  <si>
    <t>Cliente_239</t>
  </si>
  <si>
    <t>Cliente_315</t>
  </si>
  <si>
    <t>Cliente_166</t>
  </si>
  <si>
    <t>Cliente_157</t>
  </si>
  <si>
    <t>Cliente_912</t>
  </si>
  <si>
    <t>Cliente_736</t>
  </si>
  <si>
    <t>Cliente_328</t>
  </si>
  <si>
    <t>Cliente_919</t>
  </si>
  <si>
    <t>Cliente_958</t>
  </si>
  <si>
    <t>Cliente_395</t>
  </si>
  <si>
    <t>Cliente_287</t>
  </si>
  <si>
    <t>Cliente_479</t>
  </si>
  <si>
    <t>Cliente_160</t>
  </si>
  <si>
    <t>Cliente_109</t>
  </si>
  <si>
    <t>Cliente_342</t>
  </si>
  <si>
    <t>Cliente_332</t>
  </si>
  <si>
    <t>Cliente_689</t>
  </si>
  <si>
    <t>Cliente_518</t>
  </si>
  <si>
    <t>Cliente_348</t>
  </si>
  <si>
    <t>Cliente_259</t>
  </si>
  <si>
    <t>Cliente_869</t>
  </si>
  <si>
    <t>Cliente_842</t>
  </si>
  <si>
    <t>Cliente_349</t>
  </si>
  <si>
    <t>Cliente_316</t>
  </si>
  <si>
    <t>Cliente_732</t>
  </si>
  <si>
    <t>Cliente_807</t>
  </si>
  <si>
    <t>Cliente_900</t>
  </si>
  <si>
    <t>Cliente_143</t>
  </si>
  <si>
    <t>Cliente_405</t>
  </si>
  <si>
    <t>Cliente_473</t>
  </si>
  <si>
    <t>Cliente_404</t>
  </si>
  <si>
    <t>Cliente_717</t>
  </si>
  <si>
    <t>Cliente_783</t>
  </si>
  <si>
    <t>Cliente_589</t>
  </si>
  <si>
    <t>Cliente_284</t>
  </si>
  <si>
    <t>Cliente_207</t>
  </si>
  <si>
    <t>Cliente_531</t>
  </si>
  <si>
    <t>Cliente_420</t>
  </si>
  <si>
    <t>Cliente_989</t>
  </si>
  <si>
    <t>Cliente_421</t>
  </si>
  <si>
    <t>Cliente_194</t>
  </si>
  <si>
    <t>Cliente_876</t>
  </si>
  <si>
    <t>Cliente_365</t>
  </si>
  <si>
    <t>Cliente_185</t>
  </si>
  <si>
    <t>Cliente_558</t>
  </si>
  <si>
    <t>Cliente_535</t>
  </si>
  <si>
    <t>Cliente_18</t>
  </si>
  <si>
    <t>Cliente_696</t>
  </si>
  <si>
    <t>Cliente_704</t>
  </si>
  <si>
    <t>Cliente_720</t>
  </si>
  <si>
    <t>Cliente_624</t>
  </si>
  <si>
    <t>Cliente_434</t>
  </si>
  <si>
    <t>Cliente_149</t>
  </si>
  <si>
    <t>Cliente_125</t>
  </si>
  <si>
    <t>Cliente_618</t>
  </si>
  <si>
    <t>Cliente_527</t>
  </si>
  <si>
    <t>Cliente_71</t>
  </si>
  <si>
    <t>Cliente_437</t>
  </si>
  <si>
    <t>Cliente_719</t>
  </si>
  <si>
    <t>Cliente_354</t>
  </si>
  <si>
    <t>Cliente_363</t>
  </si>
  <si>
    <t>Cliente_778</t>
  </si>
  <si>
    <t>Cliente_637</t>
  </si>
  <si>
    <t>Cliente_948</t>
  </si>
  <si>
    <t>Cliente_172</t>
  </si>
  <si>
    <t>Cliente_70</t>
  </si>
  <si>
    <t>Cliente_835</t>
  </si>
  <si>
    <t>Cliente_821</t>
  </si>
  <si>
    <t>Cliente_509</t>
  </si>
  <si>
    <t>Cliente_951</t>
  </si>
  <si>
    <t>Cliente_819</t>
  </si>
  <si>
    <t>Cliente_334</t>
  </si>
  <si>
    <t>Cliente_787</t>
  </si>
  <si>
    <t>Cliente_616</t>
  </si>
  <si>
    <t>Cliente_422</t>
  </si>
  <si>
    <t>Cliente_930</t>
  </si>
  <si>
    <t>Cliente_218</t>
  </si>
  <si>
    <t>Cliente_257</t>
  </si>
  <si>
    <t>Cliente_112</t>
  </si>
  <si>
    <t>Cliente_95</t>
  </si>
  <si>
    <t>Cliente_866</t>
  </si>
  <si>
    <t>Cliente_232</t>
  </si>
  <si>
    <t>Cliente_113</t>
  </si>
  <si>
    <t>Cliente_785</t>
  </si>
  <si>
    <t>Cliente_554</t>
  </si>
  <si>
    <t>Cliente_320</t>
  </si>
  <si>
    <t>Cliente_996</t>
  </si>
  <si>
    <t>Cliente_392</t>
  </si>
  <si>
    <t>Cliente_615</t>
  </si>
  <si>
    <t>Cliente_968</t>
  </si>
  <si>
    <t>Cliente_206</t>
  </si>
  <si>
    <t>Cliente_669</t>
  </si>
  <si>
    <t>Cliente_705</t>
  </si>
  <si>
    <t>Cliente_462</t>
  </si>
  <si>
    <t>Cliente_809</t>
  </si>
  <si>
    <t>Cliente_21</t>
  </si>
  <si>
    <t>Cliente_110</t>
  </si>
  <si>
    <t>Cliente_454</t>
  </si>
  <si>
    <t>Cliente_825</t>
  </si>
  <si>
    <t>Cliente_134</t>
  </si>
  <si>
    <t>Cliente_555</t>
  </si>
  <si>
    <t>Cliente_887</t>
  </si>
  <si>
    <t>Cliente_913</t>
  </si>
  <si>
    <t>Cliente_41</t>
  </si>
  <si>
    <t>Cliente_738</t>
  </si>
  <si>
    <t>Cliente_280</t>
  </si>
  <si>
    <t>Cliente_117</t>
  </si>
  <si>
    <t>Cliente_988</t>
  </si>
  <si>
    <t>Cliente_372</t>
  </si>
  <si>
    <t>Cliente_283</t>
  </si>
  <si>
    <t>Cliente_857</t>
  </si>
  <si>
    <t>Cliente_208</t>
  </si>
  <si>
    <t>Cliente_443</t>
  </si>
  <si>
    <t>Cliente_138</t>
  </si>
  <si>
    <t>Cliente_177</t>
  </si>
  <si>
    <t>Cliente_832</t>
  </si>
  <si>
    <t>Cliente_480</t>
  </si>
  <si>
    <t>Cliente_351</t>
  </si>
  <si>
    <t>Cliente_344</t>
  </si>
  <si>
    <t>Cliente_564</t>
  </si>
  <si>
    <t>Cliente_782</t>
  </si>
  <si>
    <t>Cliente_165</t>
  </si>
  <si>
    <t>Cliente_608</t>
  </si>
  <si>
    <t>Cliente_657</t>
  </si>
  <si>
    <t>Cliente_224</t>
  </si>
  <si>
    <t>Cliente_680</t>
  </si>
  <si>
    <t>Cliente_513</t>
  </si>
  <si>
    <t>Cliente_973</t>
  </si>
  <si>
    <t>Cliente_592</t>
  </si>
  <si>
    <t>Cliente_575</t>
  </si>
  <si>
    <t>Cliente_511</t>
  </si>
  <si>
    <t>Cliente_772</t>
  </si>
  <si>
    <t>Cliente_605</t>
  </si>
  <si>
    <t>Cliente_197</t>
  </si>
  <si>
    <t>Cliente_19</t>
  </si>
  <si>
    <t>Cliente_586</t>
  </si>
  <si>
    <t>Cliente_687</t>
  </si>
  <si>
    <t>Cliente_415</t>
  </si>
  <si>
    <t>Cliente_456</t>
  </si>
  <si>
    <t>Cliente_820</t>
  </si>
  <si>
    <t>Cliente_698</t>
  </si>
  <si>
    <t>Cliente_59</t>
  </si>
  <si>
    <t>Cliente_799</t>
  </si>
  <si>
    <t>Cliente_52</t>
  </si>
  <si>
    <t>Cliente_278</t>
  </si>
  <si>
    <t>Cliente_595</t>
  </si>
  <si>
    <t>Cliente_2</t>
  </si>
  <si>
    <t>Cliente_880</t>
  </si>
  <si>
    <t>Cliente_626</t>
  </si>
  <si>
    <t>Cliente_411</t>
  </si>
  <si>
    <t>Cliente_123</t>
  </si>
  <si>
    <t>Cliente_910</t>
  </si>
  <si>
    <t>Cliente_483</t>
  </si>
  <si>
    <t>Cliente_642</t>
  </si>
  <si>
    <t>Cliente_962</t>
  </si>
  <si>
    <t>Cliente_883</t>
  </si>
  <si>
    <t>Cliente_593</t>
  </si>
  <si>
    <t>Cliente_368</t>
  </si>
  <si>
    <t>Cliente_693</t>
  </si>
  <si>
    <t>Cliente_226</t>
  </si>
  <si>
    <t>Cliente_834</t>
  </si>
  <si>
    <t>Cliente_104</t>
  </si>
  <si>
    <t>Cliente_35</t>
  </si>
  <si>
    <t>Cliente_837</t>
  </si>
  <si>
    <t>Cliente_514</t>
  </si>
  <si>
    <t>Cliente_725</t>
  </si>
  <si>
    <t>Cliente_114</t>
  </si>
  <si>
    <t>Cliente_90</t>
  </si>
  <si>
    <t>Cliente_496</t>
  </si>
  <si>
    <t>Cliente_58</t>
  </si>
  <si>
    <t>Cliente_468</t>
  </si>
  <si>
    <t>Cliente_714</t>
  </si>
  <si>
    <t>Cliente_950</t>
  </si>
  <si>
    <t>Cliente_663</t>
  </si>
  <si>
    <t>Cliente_801</t>
  </si>
  <si>
    <t>Cliente_804</t>
  </si>
  <si>
    <t>Cliente_716</t>
  </si>
  <si>
    <t>Cliente_786</t>
  </si>
  <si>
    <t>Cliente_594</t>
  </si>
  <si>
    <t>Cliente_396</t>
  </si>
  <si>
    <t>Cliente_954</t>
  </si>
  <si>
    <t>Cliente_263</t>
  </si>
  <si>
    <t>Cliente_438</t>
  </si>
  <si>
    <t>Cliente_353</t>
  </si>
  <si>
    <t>Cliente_770</t>
  </si>
  <si>
    <t>Cliente_888</t>
  </si>
  <si>
    <t>Cliente_635</t>
  </si>
  <si>
    <t>Cliente_484</t>
  </si>
  <si>
    <t>Cliente_297</t>
  </si>
  <si>
    <t>Cliente_446</t>
  </si>
  <si>
    <t>Cliente_298</t>
  </si>
  <si>
    <t>Cliente_304</t>
  </si>
  <si>
    <t>Cliente_743</t>
  </si>
  <si>
    <t>Cliente_428</t>
  </si>
  <si>
    <t>Cliente_750</t>
  </si>
  <si>
    <t>Cliente_808</t>
  </si>
  <si>
    <t>Cliente_376</t>
  </si>
  <si>
    <t>Cliente_721</t>
  </si>
  <si>
    <t>Cliente_227</t>
  </si>
  <si>
    <t>Cliente_757</t>
  </si>
  <si>
    <t>Perú</t>
  </si>
  <si>
    <t>España</t>
  </si>
  <si>
    <t>Número de Mesa</t>
  </si>
  <si>
    <t>Número de Comensales</t>
  </si>
  <si>
    <t>Número de Orden</t>
  </si>
  <si>
    <t>Método de Pago</t>
  </si>
  <si>
    <t>País de Origen</t>
  </si>
  <si>
    <t>Tarjeta de débito</t>
  </si>
  <si>
    <t>Tarjeta de crédito</t>
  </si>
  <si>
    <t>Nombre del Plato</t>
  </si>
  <si>
    <t>Costo Unitario</t>
  </si>
  <si>
    <t>Precio Unitario</t>
  </si>
  <si>
    <t>Cantidad Ordenada</t>
  </si>
  <si>
    <t>Observaciones</t>
  </si>
  <si>
    <t>Ninguna</t>
  </si>
  <si>
    <t>Sin cebolla</t>
  </si>
  <si>
    <t>Tiempo de Preparación</t>
  </si>
  <si>
    <t>Fecha de Llegada</t>
  </si>
  <si>
    <t>Hora de llegada</t>
  </si>
  <si>
    <t>Fecha de Salida</t>
  </si>
  <si>
    <t>Ganancia bruta</t>
  </si>
  <si>
    <t>Ganancia neta</t>
  </si>
  <si>
    <t>Porcentaje de ganancia</t>
  </si>
  <si>
    <t>Monto total</t>
  </si>
  <si>
    <t>DescripcióndelPlato_7</t>
  </si>
  <si>
    <t>DescripcióndelPlato</t>
  </si>
  <si>
    <t>DescripcióndelPlato_2</t>
  </si>
  <si>
    <t>DescripcióndelPlato_17</t>
  </si>
  <si>
    <t>DescripcióndelPlato_6</t>
  </si>
  <si>
    <t>DescripcióndelPlato_20</t>
  </si>
  <si>
    <t>DescripcióndelPlato_19</t>
  </si>
  <si>
    <t>DescripcióndelPlato_9</t>
  </si>
  <si>
    <t>DescripcióndelPlato_11</t>
  </si>
  <si>
    <t>DescripcióndelPlato_16</t>
  </si>
  <si>
    <t>DescripcióndelPlato_12</t>
  </si>
  <si>
    <t>DescripcióndelPlato_8</t>
  </si>
  <si>
    <t>DescripcióndelPlato_15</t>
  </si>
  <si>
    <t>DescripcióndelPlato_5</t>
  </si>
  <si>
    <t>DescripcióndelPlato_18</t>
  </si>
  <si>
    <t>DescripcióndelPlato_3</t>
  </si>
  <si>
    <t>DescripcióndelPlato_14</t>
  </si>
  <si>
    <t>DescripcióndelPlato_13</t>
  </si>
  <si>
    <t>DescripcióndelPlato_4</t>
  </si>
  <si>
    <t>DescripcióndelPlato_10</t>
  </si>
  <si>
    <t>DescripcióndelPlato_1</t>
  </si>
  <si>
    <t>Tiempo de permanencia</t>
  </si>
  <si>
    <t>Tiempo de degustación</t>
  </si>
  <si>
    <t>Fecha factura</t>
  </si>
  <si>
    <t>Cobrada</t>
  </si>
  <si>
    <t>Etiquetas de fila</t>
  </si>
  <si>
    <t>Total general</t>
  </si>
  <si>
    <t>No</t>
  </si>
  <si>
    <t>Etiquetas de columna</t>
  </si>
  <si>
    <t>Análisis de Ingresos por Tipo de Servicio</t>
  </si>
  <si>
    <t>Análisis de número de transacciones por Método de Pago</t>
  </si>
  <si>
    <t>Transacciones</t>
  </si>
  <si>
    <t>Desglose de Ingresos tipo de Servicio y día de la Semana</t>
  </si>
  <si>
    <t>Desglose de Ingresos por País de Origen</t>
  </si>
  <si>
    <t>Desglose de Propinas</t>
  </si>
  <si>
    <t>Recuento de Mesero Asignado</t>
  </si>
  <si>
    <t>Desglose de Órdenes Atendidas por meseros</t>
  </si>
  <si>
    <t>Ingresos</t>
  </si>
  <si>
    <t>Día semana</t>
  </si>
  <si>
    <t>domingo</t>
  </si>
  <si>
    <t>jueves</t>
  </si>
  <si>
    <t>lunes</t>
  </si>
  <si>
    <t>martes</t>
  </si>
  <si>
    <t>miércoles</t>
  </si>
  <si>
    <t>sábado</t>
  </si>
  <si>
    <t>viernes</t>
  </si>
  <si>
    <t>Órdenes asignadas</t>
  </si>
  <si>
    <t>Cuenta de Cobrada</t>
  </si>
  <si>
    <t>Suma de Ingresos</t>
  </si>
  <si>
    <t>Coste total</t>
  </si>
  <si>
    <t>Margen</t>
  </si>
  <si>
    <t>Propina real</t>
  </si>
  <si>
    <t>Órdenes</t>
  </si>
  <si>
    <t>Ticket medio</t>
  </si>
  <si>
    <t>Recuento de Tipo de Servicio</t>
  </si>
  <si>
    <t>Análisis de  Tipo de Servicio</t>
  </si>
  <si>
    <t>Promedio de Monto total</t>
  </si>
  <si>
    <t>Promedio de Número de Comensales</t>
  </si>
  <si>
    <t>Número medio de Comensales</t>
  </si>
  <si>
    <t>Suma de Propina real</t>
  </si>
  <si>
    <t>Propinas</t>
  </si>
  <si>
    <t>Impagos</t>
  </si>
  <si>
    <t>Servicio</t>
  </si>
  <si>
    <t>Coste</t>
  </si>
  <si>
    <t>Suma de Coste total</t>
  </si>
  <si>
    <t>Tiempo de preparación (min)</t>
  </si>
  <si>
    <t>Tiempo de preparación (h)</t>
  </si>
  <si>
    <t>Promedio de Tiempo de preparación (min)</t>
  </si>
  <si>
    <t>Tiempo medio de preparación (min)</t>
  </si>
  <si>
    <t>Método pago real</t>
  </si>
  <si>
    <t>Impago</t>
  </si>
  <si>
    <t>Día de la semana</t>
  </si>
  <si>
    <t>Lunes</t>
  </si>
  <si>
    <t>Martes</t>
  </si>
  <si>
    <t>Miércoles</t>
  </si>
  <si>
    <t>Jueves</t>
  </si>
  <si>
    <t>Viernes</t>
  </si>
  <si>
    <t>Sábado</t>
  </si>
  <si>
    <t>Domingo</t>
  </si>
  <si>
    <t>Total</t>
  </si>
  <si>
    <t>El tiempo de preparación medio en el caso de los impagos es muy superior al tiempo medio total.</t>
  </si>
  <si>
    <t>La mayor cantidad de impagos se produce los jueves y los domingos en el servicio de almuerzo. Sería necesario reforzar el personal de cocina en esos momentos.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</si>
</sst>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164" formatCode="h:mm;@"/>
    <numFmt numFmtId="165" formatCode="dddd"/>
    <numFmt numFmtId="166" formatCode="#,##0.00\ &quot;€&quot;"/>
    <numFmt numFmtId="167" formatCode="_-* #,##0\ [$€-C0A]_-;\-* #,##0\ [$€-C0A]_-;_-* &quot;-&quot;??\ [$€-C0A]_-;_-@_-"/>
    <numFmt numFmtId="168" formatCode="_-* #,##0\ &quot;€&quot;_-;\-* #,##0\ &quot;€&quot;_-;_-* &quot;-&quot;??\ &quot;€&quot;_-;_-@_-"/>
  </numFmts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mediumDashed">
        <color rgb="FF00B050"/>
      </bottom>
      <diagonal/>
    </border>
    <border>
      <left/>
      <right/>
      <top style="mediumDashed">
        <color rgb="FF00B050"/>
      </top>
      <bottom style="mediumDashed">
        <color rgb="FF00B050"/>
      </bottom>
      <diagonal/>
    </border>
    <border>
      <left/>
      <right/>
      <top style="mediumDashed">
        <color rgb="FF00B050"/>
      </top>
      <bottom/>
      <diagonal/>
    </border>
    <border>
      <left style="hair">
        <color indexed="64"/>
      </left>
      <right/>
      <top style="mediumDashed">
        <color rgb="FF00B050"/>
      </top>
      <bottom/>
      <diagonal/>
    </border>
    <border>
      <left/>
      <right/>
      <top/>
      <bottom style="double">
        <color rgb="FF00B050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8">
    <xf numFmtId="0" fontId="0" fillId="0" borderId="0" xfId="0"/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10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left"/>
    </xf>
    <xf numFmtId="165" fontId="0" fillId="0" borderId="0" xfId="0" applyNumberFormat="1"/>
    <xf numFmtId="166" fontId="0" fillId="0" borderId="0" xfId="0" applyNumberFormat="1"/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Alignment="1">
      <alignment horizontal="left" indent="1"/>
    </xf>
    <xf numFmtId="168" fontId="0" fillId="0" borderId="0" xfId="1" applyNumberFormat="1" applyFont="1"/>
    <xf numFmtId="0" fontId="0" fillId="2" borderId="0" xfId="0" applyFill="1"/>
    <xf numFmtId="2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/>
    <xf numFmtId="44" fontId="0" fillId="0" borderId="0" xfId="1" applyFont="1" applyBorder="1"/>
    <xf numFmtId="2" fontId="0" fillId="0" borderId="0" xfId="0" applyNumberFormat="1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2" xfId="0" applyBorder="1"/>
    <xf numFmtId="44" fontId="0" fillId="0" borderId="2" xfId="1" applyFont="1" applyBorder="1"/>
    <xf numFmtId="2" fontId="0" fillId="0" borderId="2" xfId="0" applyNumberFormat="1" applyBorder="1"/>
    <xf numFmtId="0" fontId="0" fillId="0" borderId="3" xfId="0" applyBorder="1"/>
    <xf numFmtId="44" fontId="0" fillId="0" borderId="3" xfId="1" applyFont="1" applyBorder="1"/>
    <xf numFmtId="2" fontId="0" fillId="0" borderId="3" xfId="0" applyNumberFormat="1" applyBorder="1"/>
    <xf numFmtId="44" fontId="0" fillId="0" borderId="1" xfId="1" applyFont="1" applyBorder="1"/>
    <xf numFmtId="0" fontId="0" fillId="0" borderId="4" xfId="0" applyBorder="1"/>
    <xf numFmtId="1" fontId="4" fillId="0" borderId="4" xfId="0" applyNumberFormat="1" applyFont="1" applyBorder="1"/>
    <xf numFmtId="44" fontId="4" fillId="0" borderId="5" xfId="1" applyFont="1" applyBorder="1"/>
    <xf numFmtId="2" fontId="4" fillId="0" borderId="4" xfId="0" applyNumberFormat="1" applyFont="1" applyBorder="1"/>
    <xf numFmtId="44" fontId="4" fillId="0" borderId="4" xfId="1" applyFont="1" applyBorder="1"/>
    <xf numFmtId="0" fontId="4" fillId="0" borderId="4" xfId="0" applyFont="1" applyBorder="1"/>
    <xf numFmtId="0" fontId="0" fillId="0" borderId="0" xfId="0" applyNumberFormat="1"/>
    <xf numFmtId="0" fontId="0" fillId="2" borderId="0" xfId="0" applyFill="1" applyBorder="1"/>
    <xf numFmtId="0" fontId="3" fillId="2" borderId="0" xfId="0" applyFont="1" applyFill="1" applyBorder="1"/>
    <xf numFmtId="1" fontId="0" fillId="2" borderId="0" xfId="0" applyNumberFormat="1" applyFill="1" applyBorder="1"/>
    <xf numFmtId="44" fontId="0" fillId="2" borderId="0" xfId="1" applyFont="1" applyFill="1" applyBorder="1"/>
    <xf numFmtId="166" fontId="0" fillId="2" borderId="0" xfId="0" applyNumberFormat="1" applyFill="1" applyBorder="1"/>
    <xf numFmtId="44" fontId="0" fillId="2" borderId="0" xfId="0" applyNumberFormat="1" applyFill="1" applyBorder="1"/>
    <xf numFmtId="0" fontId="0" fillId="0" borderId="0" xfId="0" applyNumberFormat="1" applyAlignment="1">
      <alignment horizontal="left"/>
    </xf>
    <xf numFmtId="9" fontId="0" fillId="0" borderId="0" xfId="0" applyNumberFormat="1"/>
    <xf numFmtId="0" fontId="6" fillId="0" borderId="6" xfId="0" applyFont="1" applyBorder="1"/>
    <xf numFmtId="0" fontId="0" fillId="0" borderId="6" xfId="0" applyBorder="1"/>
    <xf numFmtId="44" fontId="0" fillId="0" borderId="6" xfId="0" applyNumberFormat="1" applyBorder="1"/>
    <xf numFmtId="0" fontId="0" fillId="3" borderId="0" xfId="0" applyFill="1" applyAlignment="1">
      <alignment horizontal="center" vertical="center" wrapText="1"/>
    </xf>
    <xf numFmtId="0" fontId="5" fillId="0" borderId="0" xfId="0" applyFont="1"/>
    <xf numFmtId="0" fontId="0" fillId="3" borderId="0" xfId="0" applyFill="1"/>
  </cellXfs>
  <cellStyles count="2">
    <cellStyle name="Moneda" xfId="1" builtinId="4"/>
    <cellStyle name="Normal" xfId="0" builtinId="0"/>
  </cellStyles>
  <dxfs count="49">
    <dxf>
      <numFmt numFmtId="168" formatCode="_-* #,##0\ &quot;€&quot;_-;\-* #,##0\ &quot;€&quot;_-;_-* &quot;-&quot;??\ &quot;€&quot;_-;_-@_-"/>
    </dxf>
    <dxf>
      <numFmt numFmtId="168" formatCode="_-* #,##0\ &quot;€&quot;_-;\-* #,##0\ &quot;€&quot;_-;_-* &quot;-&quot;??\ &quot;€&quot;_-;_-@_-"/>
    </dxf>
    <dxf>
      <numFmt numFmtId="168" formatCode="_-* #,##0\ &quot;€&quot;_-;\-* #,##0\ &quot;€&quot;_-;_-* &quot;-&quot;??\ &quot;€&quot;_-;_-@_-"/>
    </dxf>
    <dxf>
      <numFmt numFmtId="168" formatCode="_-* #,##0\ &quot;€&quot;_-;\-* #,##0\ &quot;€&quot;_-;_-* &quot;-&quot;??\ &quot;€&quot;_-;_-@_-"/>
    </dxf>
    <dxf>
      <numFmt numFmtId="168" formatCode="_-* #,##0\ &quot;€&quot;_-;\-* #,##0\ &quot;€&quot;_-;_-* &quot;-&quot;??\ &quot;€&quot;_-;_-@_-"/>
    </dxf>
    <dxf>
      <numFmt numFmtId="168" formatCode="_-* #,##0\ &quot;€&quot;_-;\-* #,##0\ &quot;€&quot;_-;_-* &quot;-&quot;??\ &quot;€&quot;_-;_-@_-"/>
    </dxf>
    <dxf>
      <numFmt numFmtId="168" formatCode="_-* #,##0\ &quot;€&quot;_-;\-* #,##0\ &quot;€&quot;_-;_-* &quot;-&quot;??\ &quot;€&quot;_-;_-@_-"/>
    </dxf>
    <dxf>
      <numFmt numFmtId="168" formatCode="_-* #,##0\ &quot;€&quot;_-;\-* #,##0\ &quot;€&quot;_-;_-* &quot;-&quot;??\ &quot;€&quot;_-;_-@_-"/>
    </dxf>
    <dxf>
      <numFmt numFmtId="168" formatCode="_-* #,##0\ &quot;€&quot;_-;\-* #,##0\ &quot;€&quot;_-;_-* &quot;-&quot;??\ &quot;€&quot;_-;_-@_-"/>
    </dxf>
    <dxf>
      <numFmt numFmtId="0" formatCode="General"/>
    </dxf>
    <dxf>
      <numFmt numFmtId="167" formatCode="_-* #,##0\ [$€-C0A]_-;\-* #,##0\ [$€-C0A]_-;_-* &quot;-&quot;??\ [$€-C0A]_-;_-@_-"/>
    </dxf>
    <dxf>
      <numFmt numFmtId="167" formatCode="_-* #,##0\ [$€-C0A]_-;\-* #,##0\ [$€-C0A]_-;_-* &quot;-&quot;??\ [$€-C0A]_-;_-@_-"/>
    </dxf>
    <dxf>
      <numFmt numFmtId="0" formatCode="General"/>
    </dxf>
    <dxf>
      <numFmt numFmtId="34" formatCode="_-* #,##0.00\ &quot;€&quot;_-;\-* #,##0.00\ &quot;€&quot;_-;_-* &quot;-&quot;??\ &quot;€&quot;_-;_-@_-"/>
    </dxf>
    <dxf>
      <numFmt numFmtId="2" formatCode="0.00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" formatCode="0"/>
    </dxf>
    <dxf>
      <numFmt numFmtId="170" formatCode="_-* #,##0.00\ [$€-C0A]_-;\-* #,##0.00\ [$€-C0A]_-;_-* &quot;-&quot;??\ [$€-C0A]_-;_-@_-"/>
    </dxf>
    <dxf>
      <numFmt numFmtId="167" formatCode="_-* #,##0\ [$€-C0A]_-;\-* #,##0\ [$€-C0A]_-;_-* &quot;-&quot;??\ [$€-C0A]_-;_-@_-"/>
    </dxf>
    <dxf>
      <numFmt numFmtId="167" formatCode="_-* #,##0\ [$€-C0A]_-;\-* #,##0\ [$€-C0A]_-;_-* &quot;-&quot;??\ [$€-C0A]_-;_-@_-"/>
    </dxf>
    <dxf>
      <alignment vertical="center"/>
    </dxf>
    <dxf>
      <alignment horizontal="center"/>
    </dxf>
    <dxf>
      <numFmt numFmtId="13" formatCode="0%"/>
    </dxf>
    <dxf>
      <numFmt numFmtId="1" formatCode="0"/>
    </dxf>
    <dxf>
      <numFmt numFmtId="1" formatCode="0"/>
    </dxf>
    <dxf>
      <numFmt numFmtId="34" formatCode="_-* #,##0.00\ &quot;€&quot;_-;\-* #,##0.00\ &quot;€&quot;_-;_-* &quot;-&quot;??\ &quot;€&quot;_-;_-@_-"/>
    </dxf>
    <dxf>
      <numFmt numFmtId="0" formatCode="General"/>
    </dxf>
    <dxf>
      <numFmt numFmtId="0" formatCode="General"/>
    </dxf>
    <dxf>
      <numFmt numFmtId="0" formatCode="General"/>
    </dxf>
    <dxf>
      <numFmt numFmtId="164" formatCode="h:mm;@"/>
      <alignment horizontal="right" vertical="bottom" textRotation="0" wrapText="0" indent="0" justifyLastLine="0" shrinkToFit="0" readingOrder="0"/>
    </dxf>
    <dxf>
      <numFmt numFmtId="164" formatCode="h:mm;@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ddd"/>
    </dxf>
    <dxf>
      <numFmt numFmtId="19" formatCode="dd/mm/yyyy"/>
    </dxf>
    <dxf>
      <numFmt numFmtId="166" formatCode="#,##0.00\ &quot;€&quot;"/>
    </dxf>
    <dxf>
      <numFmt numFmtId="166" formatCode="#,##0.00\ &quot;€&quot;"/>
    </dxf>
    <dxf>
      <numFmt numFmtId="164" formatCode="h:mm;@"/>
    </dxf>
    <dxf>
      <numFmt numFmtId="27" formatCode="dd/mm/yyyy\ h:mm"/>
    </dxf>
    <dxf>
      <numFmt numFmtId="164" formatCode="h:mm;@"/>
    </dxf>
    <dxf>
      <numFmt numFmtId="19" formatCode="dd/mm/yyyy"/>
    </dxf>
    <dxf>
      <numFmt numFmtId="164" formatCode="h:mm;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pivotCacheDefinition" Target="pivotCache/pivotCacheDefinition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pivotCacheDefinition" Target="pivotCache/pivotCacheDefinition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5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pivotCacheDefinition" Target="pivotCache/pivotCacheDefinition9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excel2.xlsx]Tablas!TablaDinámica1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Ingresos por tipo de servicio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Tablas!$A$4:$A$7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Tablas!$B$4:$B$7</c:f>
              <c:numCache>
                <c:formatCode>_-* #,##0\ [$€-C0A]_-;\-* #,##0\ [$€-C0A]_-;_-* "-"??\ [$€-C0A]_-;_-@_-</c:formatCode>
                <c:ptCount val="3"/>
                <c:pt idx="0">
                  <c:v>61749.129999999954</c:v>
                </c:pt>
                <c:pt idx="1">
                  <c:v>22901.380000000008</c:v>
                </c:pt>
                <c:pt idx="2">
                  <c:v>21605.260000000006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A0-42B0-8247-5347CD7BA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9218128"/>
        <c:axId val="1479218608"/>
      </c:barChart>
      <c:catAx>
        <c:axId val="1479218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Típo</a:t>
                </a:r>
                <a:r>
                  <a:rPr lang="es-ES" baseline="0"/>
                  <a:t> de servicio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9218608"/>
        <c:crosses val="autoZero"/>
        <c:auto val="1"/>
        <c:lblAlgn val="ctr"/>
        <c:lblOffset val="100"/>
        <c:noMultiLvlLbl val="0"/>
      </c:catAx>
      <c:valAx>
        <c:axId val="14792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Ingresos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_-* #,##0\ [$€-C0A]_-;\-* #,##0\ [$€-C0A]_-;_-* &quot;-&quot;??\ [$€-C0A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9218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excel2.xlsx]Tablas!TablaDinámica3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Transacciones</a:t>
            </a:r>
            <a:r>
              <a:rPr lang="es-ES" baseline="0"/>
              <a:t> por método de pago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Tablas!$B$10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Tablas!$A$11:$A$15</c:f>
              <c:strCache>
                <c:ptCount val="4"/>
                <c:pt idx="0">
                  <c:v>Efectivo</c:v>
                </c:pt>
                <c:pt idx="1">
                  <c:v>Impago</c:v>
                </c:pt>
                <c:pt idx="2">
                  <c:v>Tarjeta de crédito</c:v>
                </c:pt>
                <c:pt idx="3">
                  <c:v>Tarjeta de débito</c:v>
                </c:pt>
              </c:strCache>
            </c:strRef>
          </c:cat>
          <c:val>
            <c:numRef>
              <c:f>Tablas!$B$11:$B$15</c:f>
              <c:numCache>
                <c:formatCode>0%</c:formatCode>
                <c:ptCount val="4"/>
                <c:pt idx="0">
                  <c:v>0.10691003911342895</c:v>
                </c:pt>
                <c:pt idx="1">
                  <c:v>0.1303780964797914</c:v>
                </c:pt>
                <c:pt idx="2">
                  <c:v>0.60104302477183835</c:v>
                </c:pt>
                <c:pt idx="3">
                  <c:v>0.16166883963494133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245-43C0-A4D7-574ED65D5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56224800"/>
        <c:axId val="156218560"/>
      </c:barChart>
      <c:valAx>
        <c:axId val="15621856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56224800"/>
        <c:crossBetween val="between"/>
      </c:valAx>
      <c:catAx>
        <c:axId val="1562248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621856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excel2.xlsx]Tablas!TablaDinámica4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Tablas!$B$18:$B$19</c:f>
              <c:strCache>
                <c:ptCount val="1"/>
                <c:pt idx="0">
                  <c:v>Almuerzo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Tablas!$A$20:$A$27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Tablas!$B$20:$B$27</c:f>
              <c:numCache>
                <c:formatCode>_-* #,##0\ "€"_-;\-* #,##0\ "€"_-;_-* "-"??\ "€"_-;_-@_-</c:formatCode>
                <c:ptCount val="7"/>
                <c:pt idx="0">
                  <c:v>3792.76</c:v>
                </c:pt>
                <c:pt idx="1">
                  <c:v>4062.0700000000006</c:v>
                </c:pt>
                <c:pt idx="2">
                  <c:v>7598.97</c:v>
                </c:pt>
                <c:pt idx="3">
                  <c:v>13702.74</c:v>
                </c:pt>
                <c:pt idx="4">
                  <c:v>10389.159999999996</c:v>
                </c:pt>
                <c:pt idx="5">
                  <c:v>10415.809999999998</c:v>
                </c:pt>
                <c:pt idx="6">
                  <c:v>11787.619999999994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97-475B-A27E-39753803C1B0}"/>
            </c:ext>
          </c:extLst>
        </c:ser>
        <c:ser>
          <c:idx val="1"/>
          <c:order val="1"/>
          <c:tx>
            <c:strRef>
              <c:f>Tablas!$C$18:$C$19</c:f>
              <c:strCache>
                <c:ptCount val="1"/>
                <c:pt idx="0">
                  <c:v>Cena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Tablas!$A$20:$A$27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Tablas!$C$20:$C$27</c:f>
              <c:numCache>
                <c:formatCode>_-* #,##0\ "€"_-;\-* #,##0\ "€"_-;_-* "-"??\ "€"_-;_-@_-</c:formatCode>
                <c:ptCount val="7"/>
                <c:pt idx="0">
                  <c:v>883.06</c:v>
                </c:pt>
                <c:pt idx="1">
                  <c:v>2003.5999999999997</c:v>
                </c:pt>
                <c:pt idx="2">
                  <c:v>2439.63</c:v>
                </c:pt>
                <c:pt idx="3">
                  <c:v>5968.4699999999993</c:v>
                </c:pt>
                <c:pt idx="4">
                  <c:v>3976.1100000000006</c:v>
                </c:pt>
                <c:pt idx="5">
                  <c:v>3752.7000000000003</c:v>
                </c:pt>
                <c:pt idx="6">
                  <c:v>3877.81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97-475B-A27E-39753803C1B0}"/>
            </c:ext>
          </c:extLst>
        </c:ser>
        <c:ser>
          <c:idx val="2"/>
          <c:order val="2"/>
          <c:tx>
            <c:strRef>
              <c:f>Tablas!$D$18:$D$19</c:f>
              <c:strCache>
                <c:ptCount val="1"/>
                <c:pt idx="0">
                  <c:v>Desayuno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Tablas!$A$20:$A$27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Tablas!$D$20:$D$27</c:f>
              <c:numCache>
                <c:formatCode>_-* #,##0\ "€"_-;\-* #,##0\ "€"_-;_-* "-"??\ "€"_-;_-@_-</c:formatCode>
                <c:ptCount val="7"/>
                <c:pt idx="0">
                  <c:v>2436.2500000000005</c:v>
                </c:pt>
                <c:pt idx="1">
                  <c:v>3028.34</c:v>
                </c:pt>
                <c:pt idx="2">
                  <c:v>1007.79</c:v>
                </c:pt>
                <c:pt idx="3">
                  <c:v>5144.8</c:v>
                </c:pt>
                <c:pt idx="4">
                  <c:v>3350.9399999999996</c:v>
                </c:pt>
                <c:pt idx="5">
                  <c:v>3297.7799999999997</c:v>
                </c:pt>
                <c:pt idx="6">
                  <c:v>3339.36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97-475B-A27E-39753803C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0867680"/>
        <c:axId val="960861920"/>
      </c:barChart>
      <c:catAx>
        <c:axId val="96086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0861920"/>
        <c:crosses val="autoZero"/>
        <c:auto val="1"/>
        <c:lblAlgn val="ctr"/>
        <c:lblOffset val="100"/>
        <c:noMultiLvlLbl val="0"/>
      </c:catAx>
      <c:valAx>
        <c:axId val="96086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&quot;€&quot;_-;\-* #,##0\ &quot;€&quot;_-;_-* &quot;-&quot;??\ &quot;€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086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excel2.xlsx]Tablas!TablaDinámica5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Ingresos por país de origen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Tablas!$D$4:$D$15</c:f>
              <c:strCache>
                <c:ptCount val="11"/>
                <c:pt idx="0">
                  <c:v>Argentina</c:v>
                </c:pt>
                <c:pt idx="1">
                  <c:v>Bolivia</c:v>
                </c:pt>
                <c:pt idx="2">
                  <c:v>Brasil</c:v>
                </c:pt>
                <c:pt idx="3">
                  <c:v>Chile</c:v>
                </c:pt>
                <c:pt idx="4">
                  <c:v>Colombia</c:v>
                </c:pt>
                <c:pt idx="5">
                  <c:v>Ecuador</c:v>
                </c:pt>
                <c:pt idx="6">
                  <c:v>España</c:v>
                </c:pt>
                <c:pt idx="7">
                  <c:v>Paraguay</c:v>
                </c:pt>
                <c:pt idx="8">
                  <c:v>Perú</c:v>
                </c:pt>
                <c:pt idx="9">
                  <c:v>Uruguay</c:v>
                </c:pt>
                <c:pt idx="10">
                  <c:v>Venezuela</c:v>
                </c:pt>
              </c:strCache>
            </c:strRef>
          </c:cat>
          <c:val>
            <c:numRef>
              <c:f>Tablas!$E$4:$E$15</c:f>
              <c:numCache>
                <c:formatCode>_-* #,##0\ "€"_-;\-* #,##0\ "€"_-;_-* "-"??\ "€"_-;_-@_-</c:formatCode>
                <c:ptCount val="11"/>
                <c:pt idx="0">
                  <c:v>10393.080000000002</c:v>
                </c:pt>
                <c:pt idx="1">
                  <c:v>9136.4100000000017</c:v>
                </c:pt>
                <c:pt idx="2">
                  <c:v>9209.6700000000019</c:v>
                </c:pt>
                <c:pt idx="3">
                  <c:v>11942.350000000002</c:v>
                </c:pt>
                <c:pt idx="4">
                  <c:v>9784.409999999998</c:v>
                </c:pt>
                <c:pt idx="5">
                  <c:v>7676.91</c:v>
                </c:pt>
                <c:pt idx="6">
                  <c:v>9607.7500000000018</c:v>
                </c:pt>
                <c:pt idx="7">
                  <c:v>10380.040000000001</c:v>
                </c:pt>
                <c:pt idx="8">
                  <c:v>9994.7100000000064</c:v>
                </c:pt>
                <c:pt idx="9">
                  <c:v>9462.4</c:v>
                </c:pt>
                <c:pt idx="10">
                  <c:v>8668.0399999999991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CB-4CCF-8BD4-F2DBD0030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8396112"/>
        <c:axId val="1283665248"/>
      </c:barChart>
      <c:catAx>
        <c:axId val="99839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83665248"/>
        <c:crosses val="autoZero"/>
        <c:auto val="1"/>
        <c:lblAlgn val="ctr"/>
        <c:lblOffset val="100"/>
        <c:noMultiLvlLbl val="0"/>
      </c:catAx>
      <c:valAx>
        <c:axId val="128366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&quot;€&quot;_-;\-* #,##0\ &quot;€&quot;_-;_-* &quot;-&quot;??\ &quot;€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839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excel2.xlsx]Tablas!TablaDinámica6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Desglose de Propinas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Tablas!$H$9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Tablas!$G$10:$G$15</c:f>
              <c:strCache>
                <c:ptCount val="5"/>
                <c:pt idx="0">
                  <c:v>Mesero_1</c:v>
                </c:pt>
                <c:pt idx="1">
                  <c:v>Mesero_2</c:v>
                </c:pt>
                <c:pt idx="2">
                  <c:v>Mesero_3</c:v>
                </c:pt>
                <c:pt idx="3">
                  <c:v>Mesero_4</c:v>
                </c:pt>
                <c:pt idx="4">
                  <c:v>Mesero_5</c:v>
                </c:pt>
              </c:strCache>
            </c:strRef>
          </c:cat>
          <c:val>
            <c:numRef>
              <c:f>Tablas!$H$10:$H$15</c:f>
              <c:numCache>
                <c:formatCode>_("€"* #,##0.00_);_("€"* \(#,##0.00\);_("€"* "-"??_);_(@_)</c:formatCode>
                <c:ptCount val="5"/>
                <c:pt idx="0">
                  <c:v>3856.86</c:v>
                </c:pt>
                <c:pt idx="1">
                  <c:v>4739.79</c:v>
                </c:pt>
                <c:pt idx="2">
                  <c:v>3828.02</c:v>
                </c:pt>
                <c:pt idx="3">
                  <c:v>4100.17</c:v>
                </c:pt>
                <c:pt idx="4">
                  <c:v>3241.93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DD-4EF6-A4AF-F960DB1C3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882240"/>
        <c:axId val="1288949232"/>
      </c:barChart>
      <c:catAx>
        <c:axId val="20288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88949232"/>
        <c:crosses val="autoZero"/>
        <c:auto val="1"/>
        <c:lblAlgn val="ctr"/>
        <c:lblOffset val="100"/>
        <c:noMultiLvlLbl val="0"/>
      </c:catAx>
      <c:valAx>
        <c:axId val="128894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288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excel2.xlsx]Tablas!TablaDinámica7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Órdenes Atendidas por meseros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Tablas!$H$18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Tablas!$G$19:$G$39</c:f>
              <c:multiLvlStrCache>
                <c:ptCount val="15"/>
                <c:lvl>
                  <c:pt idx="0">
                    <c:v>Almuerzo</c:v>
                  </c:pt>
                  <c:pt idx="1">
                    <c:v>Cena</c:v>
                  </c:pt>
                  <c:pt idx="2">
                    <c:v>Desayuno</c:v>
                  </c:pt>
                  <c:pt idx="3">
                    <c:v>Almuerzo</c:v>
                  </c:pt>
                  <c:pt idx="4">
                    <c:v>Cena</c:v>
                  </c:pt>
                  <c:pt idx="5">
                    <c:v>Desayuno</c:v>
                  </c:pt>
                  <c:pt idx="6">
                    <c:v>Almuerzo</c:v>
                  </c:pt>
                  <c:pt idx="7">
                    <c:v>Cena</c:v>
                  </c:pt>
                  <c:pt idx="8">
                    <c:v>Desayuno</c:v>
                  </c:pt>
                  <c:pt idx="9">
                    <c:v>Almuerzo</c:v>
                  </c:pt>
                  <c:pt idx="10">
                    <c:v>Cena</c:v>
                  </c:pt>
                  <c:pt idx="11">
                    <c:v>Desayuno</c:v>
                  </c:pt>
                  <c:pt idx="12">
                    <c:v>Almuerzo</c:v>
                  </c:pt>
                  <c:pt idx="13">
                    <c:v>Cena</c:v>
                  </c:pt>
                  <c:pt idx="14">
                    <c:v>Desayuno</c:v>
                  </c:pt>
                </c:lvl>
                <c:lvl>
                  <c:pt idx="0">
                    <c:v>Mesero_1</c:v>
                  </c:pt>
                  <c:pt idx="3">
                    <c:v>Mesero_2</c:v>
                  </c:pt>
                  <c:pt idx="6">
                    <c:v>Mesero_3</c:v>
                  </c:pt>
                  <c:pt idx="9">
                    <c:v>Mesero_4</c:v>
                  </c:pt>
                  <c:pt idx="12">
                    <c:v>Mesero_5</c:v>
                  </c:pt>
                </c:lvl>
              </c:multiLvlStrCache>
            </c:multiLvlStrRef>
          </c:cat>
          <c:val>
            <c:numRef>
              <c:f>Tablas!$H$19:$H$39</c:f>
              <c:numCache>
                <c:formatCode>0</c:formatCode>
                <c:ptCount val="15"/>
                <c:pt idx="0">
                  <c:v>90</c:v>
                </c:pt>
                <c:pt idx="1">
                  <c:v>22</c:v>
                </c:pt>
                <c:pt idx="2">
                  <c:v>26</c:v>
                </c:pt>
                <c:pt idx="3">
                  <c:v>116</c:v>
                </c:pt>
                <c:pt idx="4">
                  <c:v>38</c:v>
                </c:pt>
                <c:pt idx="5">
                  <c:v>38</c:v>
                </c:pt>
                <c:pt idx="6">
                  <c:v>96</c:v>
                </c:pt>
                <c:pt idx="7">
                  <c:v>25</c:v>
                </c:pt>
                <c:pt idx="8">
                  <c:v>37</c:v>
                </c:pt>
                <c:pt idx="9">
                  <c:v>91</c:v>
                </c:pt>
                <c:pt idx="10">
                  <c:v>36</c:v>
                </c:pt>
                <c:pt idx="11">
                  <c:v>22</c:v>
                </c:pt>
                <c:pt idx="12">
                  <c:v>66</c:v>
                </c:pt>
                <c:pt idx="13">
                  <c:v>38</c:v>
                </c:pt>
                <c:pt idx="14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F-4869-A3E0-5438EDA02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7109776"/>
        <c:axId val="1317110736"/>
      </c:barChart>
      <c:catAx>
        <c:axId val="131710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17110736"/>
        <c:crosses val="autoZero"/>
        <c:auto val="1"/>
        <c:lblAlgn val="ctr"/>
        <c:lblOffset val="100"/>
        <c:noMultiLvlLbl val="0"/>
      </c:catAx>
      <c:valAx>
        <c:axId val="131711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17109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excel2.xlsx]Tablas!TablaDinámica9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Tablas!$U$3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Tablas!$T$4:$T$7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Tablas!$U$4:$U$7</c:f>
              <c:numCache>
                <c:formatCode>0</c:formatCode>
                <c:ptCount val="3"/>
                <c:pt idx="0">
                  <c:v>63</c:v>
                </c:pt>
                <c:pt idx="1">
                  <c:v>20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27-4CB8-BA28-E4339A21F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18374080"/>
        <c:axId val="1318373600"/>
      </c:barChart>
      <c:catAx>
        <c:axId val="131837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18373600"/>
        <c:crosses val="autoZero"/>
        <c:auto val="1"/>
        <c:lblAlgn val="ctr"/>
        <c:lblOffset val="100"/>
        <c:noMultiLvlLbl val="0"/>
      </c:catAx>
      <c:valAx>
        <c:axId val="131837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1837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[Proyecto excel2.xlsx]Tablas!TablaDinámica1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Ingresos por tipo de servicio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Tablas!$A$4:$A$7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Tablas!$B$4:$B$7</c:f>
              <c:numCache>
                <c:formatCode>_-* #,##0\ [$€-C0A]_-;\-* #,##0\ [$€-C0A]_-;_-* "-"??\ [$€-C0A]_-;_-@_-</c:formatCode>
                <c:ptCount val="3"/>
                <c:pt idx="0">
                  <c:v>61749.129999999954</c:v>
                </c:pt>
                <c:pt idx="1">
                  <c:v>22901.380000000008</c:v>
                </c:pt>
                <c:pt idx="2">
                  <c:v>21605.260000000006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A5-42DA-8F85-BF0D68F84D9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479218128"/>
        <c:axId val="1479218608"/>
      </c:barChart>
      <c:catAx>
        <c:axId val="1479218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Típo de servicio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9218608"/>
        <c:crosses val="autoZero"/>
        <c:auto val="1"/>
        <c:lblAlgn val="ctr"/>
        <c:lblOffset val="100"/>
        <c:tickLblSkip val="1"/>
        <c:noMultiLvlLbl val="0"/>
      </c:catAx>
      <c:valAx>
        <c:axId val="1479218608"/>
        <c:scaling>
          <c:orientation val="minMax"/>
          <c:max val="55000"/>
          <c:min val="10000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Ingresos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_-* #,##0\ [$€-C0A]_-;\-* #,##0\ [$€-C0A]_-;_-* &quot;-&quot;??\ [$€-C0A]_-;_-@_-" sourceLinked="1"/>
        <c:majorTickMark val="none"/>
        <c:minorTickMark val="none"/>
        <c:tickLblPos val="nextTo"/>
        <c:crossAx val="1479218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excel2.xlsx]Tablas!TablaDinámica4</c:name>
    <c:fmtId val="2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Tablas!$B$18:$B$19</c:f>
              <c:strCache>
                <c:ptCount val="1"/>
                <c:pt idx="0">
                  <c:v>Almuerzo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Tablas!$A$20:$A$27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Tablas!$B$20:$B$27</c:f>
              <c:numCache>
                <c:formatCode>_-* #,##0\ "€"_-;\-* #,##0\ "€"_-;_-* "-"??\ "€"_-;_-@_-</c:formatCode>
                <c:ptCount val="7"/>
                <c:pt idx="0">
                  <c:v>3792.76</c:v>
                </c:pt>
                <c:pt idx="1">
                  <c:v>4062.0700000000006</c:v>
                </c:pt>
                <c:pt idx="2">
                  <c:v>7598.97</c:v>
                </c:pt>
                <c:pt idx="3">
                  <c:v>13702.74</c:v>
                </c:pt>
                <c:pt idx="4">
                  <c:v>10389.159999999996</c:v>
                </c:pt>
                <c:pt idx="5">
                  <c:v>10415.809999999998</c:v>
                </c:pt>
                <c:pt idx="6">
                  <c:v>11787.619999999994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8E-49A2-AD5D-1DE9CB43CC10}"/>
            </c:ext>
          </c:extLst>
        </c:ser>
        <c:ser>
          <c:idx val="1"/>
          <c:order val="1"/>
          <c:tx>
            <c:strRef>
              <c:f>Tablas!$C$18:$C$19</c:f>
              <c:strCache>
                <c:ptCount val="1"/>
                <c:pt idx="0">
                  <c:v>Cena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Tablas!$A$20:$A$27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Tablas!$C$20:$C$27</c:f>
              <c:numCache>
                <c:formatCode>_-* #,##0\ "€"_-;\-* #,##0\ "€"_-;_-* "-"??\ "€"_-;_-@_-</c:formatCode>
                <c:ptCount val="7"/>
                <c:pt idx="0">
                  <c:v>883.06</c:v>
                </c:pt>
                <c:pt idx="1">
                  <c:v>2003.5999999999997</c:v>
                </c:pt>
                <c:pt idx="2">
                  <c:v>2439.63</c:v>
                </c:pt>
                <c:pt idx="3">
                  <c:v>5968.4699999999993</c:v>
                </c:pt>
                <c:pt idx="4">
                  <c:v>3976.1100000000006</c:v>
                </c:pt>
                <c:pt idx="5">
                  <c:v>3752.7000000000003</c:v>
                </c:pt>
                <c:pt idx="6">
                  <c:v>3877.81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8E-49A2-AD5D-1DE9CB43CC10}"/>
            </c:ext>
          </c:extLst>
        </c:ser>
        <c:ser>
          <c:idx val="2"/>
          <c:order val="2"/>
          <c:tx>
            <c:strRef>
              <c:f>Tablas!$D$18:$D$19</c:f>
              <c:strCache>
                <c:ptCount val="1"/>
                <c:pt idx="0">
                  <c:v>Desayuno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Tablas!$A$20:$A$27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Tablas!$D$20:$D$27</c:f>
              <c:numCache>
                <c:formatCode>_-* #,##0\ "€"_-;\-* #,##0\ "€"_-;_-* "-"??\ "€"_-;_-@_-</c:formatCode>
                <c:ptCount val="7"/>
                <c:pt idx="0">
                  <c:v>2436.2500000000005</c:v>
                </c:pt>
                <c:pt idx="1">
                  <c:v>3028.34</c:v>
                </c:pt>
                <c:pt idx="2">
                  <c:v>1007.79</c:v>
                </c:pt>
                <c:pt idx="3">
                  <c:v>5144.8</c:v>
                </c:pt>
                <c:pt idx="4">
                  <c:v>3350.9399999999996</c:v>
                </c:pt>
                <c:pt idx="5">
                  <c:v>3297.7799999999997</c:v>
                </c:pt>
                <c:pt idx="6">
                  <c:v>3339.36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8E-49A2-AD5D-1DE9CB43C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960867680"/>
        <c:axId val="960861920"/>
      </c:barChart>
      <c:catAx>
        <c:axId val="960867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0861920"/>
        <c:crosses val="autoZero"/>
        <c:auto val="1"/>
        <c:lblAlgn val="ctr"/>
        <c:lblOffset val="100"/>
        <c:noMultiLvlLbl val="0"/>
      </c:catAx>
      <c:valAx>
        <c:axId val="9608619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&quot;€&quot;_-;\-* #,##0\ &quot;€&quot;_-;_-* &quot;-&quot;??\ &quot;€&quot;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086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[Proyecto excel2.xlsx]Tablas!TablaDinámica5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Ingresos por país de origen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Tablas!$D$4:$D$15</c:f>
              <c:strCache>
                <c:ptCount val="11"/>
                <c:pt idx="0">
                  <c:v>Argentina</c:v>
                </c:pt>
                <c:pt idx="1">
                  <c:v>Bolivia</c:v>
                </c:pt>
                <c:pt idx="2">
                  <c:v>Brasil</c:v>
                </c:pt>
                <c:pt idx="3">
                  <c:v>Chile</c:v>
                </c:pt>
                <c:pt idx="4">
                  <c:v>Colombia</c:v>
                </c:pt>
                <c:pt idx="5">
                  <c:v>Ecuador</c:v>
                </c:pt>
                <c:pt idx="6">
                  <c:v>España</c:v>
                </c:pt>
                <c:pt idx="7">
                  <c:v>Paraguay</c:v>
                </c:pt>
                <c:pt idx="8">
                  <c:v>Perú</c:v>
                </c:pt>
                <c:pt idx="9">
                  <c:v>Uruguay</c:v>
                </c:pt>
                <c:pt idx="10">
                  <c:v>Venezuela</c:v>
                </c:pt>
              </c:strCache>
            </c:strRef>
          </c:cat>
          <c:val>
            <c:numRef>
              <c:f>Tablas!$E$4:$E$15</c:f>
              <c:numCache>
                <c:formatCode>_-* #,##0\ "€"_-;\-* #,##0\ "€"_-;_-* "-"??\ "€"_-;_-@_-</c:formatCode>
                <c:ptCount val="11"/>
                <c:pt idx="0">
                  <c:v>10393.080000000002</c:v>
                </c:pt>
                <c:pt idx="1">
                  <c:v>9136.4100000000017</c:v>
                </c:pt>
                <c:pt idx="2">
                  <c:v>9209.6700000000019</c:v>
                </c:pt>
                <c:pt idx="3">
                  <c:v>11942.350000000002</c:v>
                </c:pt>
                <c:pt idx="4">
                  <c:v>9784.409999999998</c:v>
                </c:pt>
                <c:pt idx="5">
                  <c:v>7676.91</c:v>
                </c:pt>
                <c:pt idx="6">
                  <c:v>9607.7500000000018</c:v>
                </c:pt>
                <c:pt idx="7">
                  <c:v>10380.040000000001</c:v>
                </c:pt>
                <c:pt idx="8">
                  <c:v>9994.7100000000064</c:v>
                </c:pt>
                <c:pt idx="9">
                  <c:v>9462.4</c:v>
                </c:pt>
                <c:pt idx="10">
                  <c:v>8668.0399999999991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6F-4695-86C6-769E49CBF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998396112"/>
        <c:axId val="1283665248"/>
      </c:barChart>
      <c:catAx>
        <c:axId val="998396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83665248"/>
        <c:crosses val="autoZero"/>
        <c:auto val="1"/>
        <c:lblAlgn val="ctr"/>
        <c:lblOffset val="100"/>
        <c:noMultiLvlLbl val="0"/>
      </c:catAx>
      <c:valAx>
        <c:axId val="1283665248"/>
        <c:scaling>
          <c:orientation val="minMax"/>
        </c:scaling>
        <c:delete val="0"/>
        <c:axPos val="l"/>
        <c:numFmt formatCode="_-* #,##0\ &quot;€&quot;_-;\-* #,##0\ &quot;€&quot;_-;_-* &quot;-&quot;??\ &quot;€&quot;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839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[Proyecto excel2.xlsx]Tablas!TablaDinámica6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Desglose de Propinas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Tablas!$H$9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Tablas!$G$10:$G$15</c:f>
              <c:strCache>
                <c:ptCount val="5"/>
                <c:pt idx="0">
                  <c:v>Mesero_1</c:v>
                </c:pt>
                <c:pt idx="1">
                  <c:v>Mesero_2</c:v>
                </c:pt>
                <c:pt idx="2">
                  <c:v>Mesero_3</c:v>
                </c:pt>
                <c:pt idx="3">
                  <c:v>Mesero_4</c:v>
                </c:pt>
                <c:pt idx="4">
                  <c:v>Mesero_5</c:v>
                </c:pt>
              </c:strCache>
            </c:strRef>
          </c:cat>
          <c:val>
            <c:numRef>
              <c:f>Tablas!$H$10:$H$15</c:f>
              <c:numCache>
                <c:formatCode>_("€"* #,##0.00_);_("€"* \(#,##0.00\);_("€"* "-"??_);_(@_)</c:formatCode>
                <c:ptCount val="5"/>
                <c:pt idx="0">
                  <c:v>3856.86</c:v>
                </c:pt>
                <c:pt idx="1">
                  <c:v>4739.79</c:v>
                </c:pt>
                <c:pt idx="2">
                  <c:v>3828.02</c:v>
                </c:pt>
                <c:pt idx="3">
                  <c:v>4100.17</c:v>
                </c:pt>
                <c:pt idx="4">
                  <c:v>3241.93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9C-428C-8A17-5A90F7433D9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2882240"/>
        <c:axId val="1288949232"/>
      </c:barChart>
      <c:catAx>
        <c:axId val="20288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88949232"/>
        <c:crosses val="autoZero"/>
        <c:auto val="1"/>
        <c:lblAlgn val="ctr"/>
        <c:lblOffset val="100"/>
        <c:noMultiLvlLbl val="0"/>
      </c:catAx>
      <c:valAx>
        <c:axId val="128894923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crossAx val="20288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[Proyecto excel2.xlsx]Tablas!TablaDinámica7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Órdenes Atendidas por meseros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Tablas!$H$18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Tablas!$G$19:$G$39</c:f>
              <c:multiLvlStrCache>
                <c:ptCount val="15"/>
                <c:lvl>
                  <c:pt idx="0">
                    <c:v>Almuerzo</c:v>
                  </c:pt>
                  <c:pt idx="1">
                    <c:v>Cena</c:v>
                  </c:pt>
                  <c:pt idx="2">
                    <c:v>Desayuno</c:v>
                  </c:pt>
                  <c:pt idx="3">
                    <c:v>Almuerzo</c:v>
                  </c:pt>
                  <c:pt idx="4">
                    <c:v>Cena</c:v>
                  </c:pt>
                  <c:pt idx="5">
                    <c:v>Desayuno</c:v>
                  </c:pt>
                  <c:pt idx="6">
                    <c:v>Almuerzo</c:v>
                  </c:pt>
                  <c:pt idx="7">
                    <c:v>Cena</c:v>
                  </c:pt>
                  <c:pt idx="8">
                    <c:v>Desayuno</c:v>
                  </c:pt>
                  <c:pt idx="9">
                    <c:v>Almuerzo</c:v>
                  </c:pt>
                  <c:pt idx="10">
                    <c:v>Cena</c:v>
                  </c:pt>
                  <c:pt idx="11">
                    <c:v>Desayuno</c:v>
                  </c:pt>
                  <c:pt idx="12">
                    <c:v>Almuerzo</c:v>
                  </c:pt>
                  <c:pt idx="13">
                    <c:v>Cena</c:v>
                  </c:pt>
                  <c:pt idx="14">
                    <c:v>Desayuno</c:v>
                  </c:pt>
                </c:lvl>
                <c:lvl>
                  <c:pt idx="0">
                    <c:v>Mesero_1</c:v>
                  </c:pt>
                  <c:pt idx="3">
                    <c:v>Mesero_2</c:v>
                  </c:pt>
                  <c:pt idx="6">
                    <c:v>Mesero_3</c:v>
                  </c:pt>
                  <c:pt idx="9">
                    <c:v>Mesero_4</c:v>
                  </c:pt>
                  <c:pt idx="12">
                    <c:v>Mesero_5</c:v>
                  </c:pt>
                </c:lvl>
              </c:multiLvlStrCache>
            </c:multiLvlStrRef>
          </c:cat>
          <c:val>
            <c:numRef>
              <c:f>Tablas!$H$19:$H$39</c:f>
              <c:numCache>
                <c:formatCode>0</c:formatCode>
                <c:ptCount val="15"/>
                <c:pt idx="0">
                  <c:v>90</c:v>
                </c:pt>
                <c:pt idx="1">
                  <c:v>22</c:v>
                </c:pt>
                <c:pt idx="2">
                  <c:v>26</c:v>
                </c:pt>
                <c:pt idx="3">
                  <c:v>116</c:v>
                </c:pt>
                <c:pt idx="4">
                  <c:v>38</c:v>
                </c:pt>
                <c:pt idx="5">
                  <c:v>38</c:v>
                </c:pt>
                <c:pt idx="6">
                  <c:v>96</c:v>
                </c:pt>
                <c:pt idx="7">
                  <c:v>25</c:v>
                </c:pt>
                <c:pt idx="8">
                  <c:v>37</c:v>
                </c:pt>
                <c:pt idx="9">
                  <c:v>91</c:v>
                </c:pt>
                <c:pt idx="10">
                  <c:v>36</c:v>
                </c:pt>
                <c:pt idx="11">
                  <c:v>22</c:v>
                </c:pt>
                <c:pt idx="12">
                  <c:v>66</c:v>
                </c:pt>
                <c:pt idx="13">
                  <c:v>38</c:v>
                </c:pt>
                <c:pt idx="14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03-4447-8D85-55B372795A9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317109776"/>
        <c:axId val="1317110736"/>
      </c:barChart>
      <c:catAx>
        <c:axId val="131710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17110736"/>
        <c:crosses val="autoZero"/>
        <c:auto val="1"/>
        <c:lblAlgn val="ctr"/>
        <c:lblOffset val="100"/>
        <c:noMultiLvlLbl val="0"/>
      </c:catAx>
      <c:valAx>
        <c:axId val="1317110736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317109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[Proyecto excel2.xlsx]Tablas!TablaDinámica9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Facturas no cobradas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3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Tablas!$U$3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Tablas!$T$4:$T$7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Tablas!$U$4:$U$7</c:f>
              <c:numCache>
                <c:formatCode>0</c:formatCode>
                <c:ptCount val="3"/>
                <c:pt idx="0">
                  <c:v>63</c:v>
                </c:pt>
                <c:pt idx="1">
                  <c:v>20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83-49C0-99B2-221A158B8EB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318374080"/>
        <c:axId val="1318373600"/>
      </c:barChart>
      <c:catAx>
        <c:axId val="13183740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18373600"/>
        <c:crosses val="autoZero"/>
        <c:auto val="1"/>
        <c:lblAlgn val="ctr"/>
        <c:lblOffset val="100"/>
        <c:noMultiLvlLbl val="0"/>
      </c:catAx>
      <c:valAx>
        <c:axId val="1318373600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318374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[Proyecto excel2.xlsx]Tablas!TablaDinámica3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Transacciones por método de pago</a:t>
            </a:r>
          </a:p>
        </c:rich>
      </c:tx>
      <c:layout>
        <c:manualLayout>
          <c:xMode val="edge"/>
          <c:yMode val="edge"/>
          <c:x val="0.12018911391534573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3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3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Tablas!$B$10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Tablas!$A$11:$A$15</c:f>
              <c:strCache>
                <c:ptCount val="4"/>
                <c:pt idx="0">
                  <c:v>Efectivo</c:v>
                </c:pt>
                <c:pt idx="1">
                  <c:v>Impago</c:v>
                </c:pt>
                <c:pt idx="2">
                  <c:v>Tarjeta de crédito</c:v>
                </c:pt>
                <c:pt idx="3">
                  <c:v>Tarjeta de débito</c:v>
                </c:pt>
              </c:strCache>
            </c:strRef>
          </c:cat>
          <c:val>
            <c:numRef>
              <c:f>Tablas!$B$11:$B$15</c:f>
              <c:numCache>
                <c:formatCode>0%</c:formatCode>
                <c:ptCount val="4"/>
                <c:pt idx="0">
                  <c:v>0.10691003911342895</c:v>
                </c:pt>
                <c:pt idx="1">
                  <c:v>0.1303780964797914</c:v>
                </c:pt>
                <c:pt idx="2">
                  <c:v>0.60104302477183835</c:v>
                </c:pt>
                <c:pt idx="3">
                  <c:v>0.16166883963494133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76-41F4-9884-E4F6AE5762B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56224800"/>
        <c:axId val="156218560"/>
      </c:barChart>
      <c:valAx>
        <c:axId val="15621856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6224800"/>
        <c:crosses val="autoZero"/>
        <c:crossBetween val="between"/>
      </c:valAx>
      <c:catAx>
        <c:axId val="156224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62185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[Proyecto excel2.xlsx]Tablas!TablaDinámica3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Transacciones por método de pago</a:t>
            </a:r>
          </a:p>
        </c:rich>
      </c:tx>
      <c:layout>
        <c:manualLayout>
          <c:xMode val="edge"/>
          <c:yMode val="edge"/>
          <c:x val="0.12018911391534573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3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3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3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Tablas!$B$10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Tablas!$A$11:$A$15</c:f>
              <c:strCache>
                <c:ptCount val="4"/>
                <c:pt idx="0">
                  <c:v>Efectivo</c:v>
                </c:pt>
                <c:pt idx="1">
                  <c:v>Impago</c:v>
                </c:pt>
                <c:pt idx="2">
                  <c:v>Tarjeta de crédito</c:v>
                </c:pt>
                <c:pt idx="3">
                  <c:v>Tarjeta de débito</c:v>
                </c:pt>
              </c:strCache>
            </c:strRef>
          </c:cat>
          <c:val>
            <c:numRef>
              <c:f>Tablas!$B$11:$B$15</c:f>
              <c:numCache>
                <c:formatCode>0%</c:formatCode>
                <c:ptCount val="4"/>
                <c:pt idx="0">
                  <c:v>0.10691003911342895</c:v>
                </c:pt>
                <c:pt idx="1">
                  <c:v>0.1303780964797914</c:v>
                </c:pt>
                <c:pt idx="2">
                  <c:v>0.60104302477183835</c:v>
                </c:pt>
                <c:pt idx="3">
                  <c:v>0.16166883963494133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E8-4C7B-9A48-DFD7550B54E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56224800"/>
        <c:axId val="156218560"/>
      </c:barChart>
      <c:valAx>
        <c:axId val="15621856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6224800"/>
        <c:crosses val="autoZero"/>
        <c:crossBetween val="between"/>
      </c:valAx>
      <c:catAx>
        <c:axId val="156224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62185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11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12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13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1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361951</xdr:colOff>
      <xdr:row>28</xdr:row>
      <xdr:rowOff>14287</xdr:rowOff>
    </xdr:from>
    <xdr:to>
      <xdr:col>3</xdr:col>
      <xdr:colOff>409576</xdr:colOff>
      <xdr:row>42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DD6C44E-CE41-1172-25F3-5EA6A7E4E4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828675</xdr:colOff>
      <xdr:row>20</xdr:row>
      <xdr:rowOff>90487</xdr:rowOff>
    </xdr:from>
    <xdr:to>
      <xdr:col>15</xdr:col>
      <xdr:colOff>123825</xdr:colOff>
      <xdr:row>34</xdr:row>
      <xdr:rowOff>166687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3713DD1-78CD-A29D-9FF6-070A67A2B0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533400</xdr:colOff>
      <xdr:row>44</xdr:row>
      <xdr:rowOff>4762</xdr:rowOff>
    </xdr:from>
    <xdr:to>
      <xdr:col>5</xdr:col>
      <xdr:colOff>114300</xdr:colOff>
      <xdr:row>58</xdr:row>
      <xdr:rowOff>80962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750EC3F-E463-5CE8-1CBD-17BE5EDDEB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9525</xdr:colOff>
      <xdr:row>4</xdr:row>
      <xdr:rowOff>23812</xdr:rowOff>
    </xdr:from>
    <xdr:to>
      <xdr:col>18</xdr:col>
      <xdr:colOff>466725</xdr:colOff>
      <xdr:row>18</xdr:row>
      <xdr:rowOff>100012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CDCC1CB-C602-96DC-6150-EC765F6D76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9525</xdr:colOff>
      <xdr:row>47</xdr:row>
      <xdr:rowOff>14287</xdr:rowOff>
    </xdr:from>
    <xdr:to>
      <xdr:col>13</xdr:col>
      <xdr:colOff>295275</xdr:colOff>
      <xdr:row>61</xdr:row>
      <xdr:rowOff>90487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DE23B12-4112-7F48-AB9A-5EC2AD884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361950</xdr:colOff>
      <xdr:row>47</xdr:row>
      <xdr:rowOff>14287</xdr:rowOff>
    </xdr:from>
    <xdr:to>
      <xdr:col>22</xdr:col>
      <xdr:colOff>152400</xdr:colOff>
      <xdr:row>61</xdr:row>
      <xdr:rowOff>90487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BF9076BE-69C2-A773-2DB6-51AA0DD2A9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114300</xdr:colOff>
      <xdr:row>10</xdr:row>
      <xdr:rowOff>14287</xdr:rowOff>
    </xdr:from>
    <xdr:to>
      <xdr:col>22</xdr:col>
      <xdr:colOff>514350</xdr:colOff>
      <xdr:row>24</xdr:row>
      <xdr:rowOff>90487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F50FCA1E-19CB-14CE-5FAB-5E2DAC3986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3</xdr:row>
      <xdr:rowOff>0</xdr:rowOff>
    </xdr:from>
    <xdr:to>
      <xdr:col>2</xdr:col>
      <xdr:colOff>9526</xdr:colOff>
      <xdr:row>17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1CAFC4A-04DE-4C35-B303-F7356C9ECB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4</xdr:col>
      <xdr:colOff>180975</xdr:colOff>
      <xdr:row>35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9A767D1-5E4A-45FE-85AF-ED81FAD854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47625</xdr:colOff>
      <xdr:row>20</xdr:row>
      <xdr:rowOff>180975</xdr:rowOff>
    </xdr:from>
    <xdr:to>
      <xdr:col>11</xdr:col>
      <xdr:colOff>47625</xdr:colOff>
      <xdr:row>35</xdr:row>
      <xdr:rowOff>66675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AAB842D-7A51-44EA-A79E-0A12646CD1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21</xdr:row>
      <xdr:rowOff>0</xdr:rowOff>
    </xdr:from>
    <xdr:to>
      <xdr:col>18</xdr:col>
      <xdr:colOff>0</xdr:colOff>
      <xdr:row>35</xdr:row>
      <xdr:rowOff>76200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7F66897-5149-41DC-A5FB-1C2125EAE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752475</xdr:colOff>
      <xdr:row>21</xdr:row>
      <xdr:rowOff>0</xdr:rowOff>
    </xdr:from>
    <xdr:to>
      <xdr:col>24</xdr:col>
      <xdr:colOff>752475</xdr:colOff>
      <xdr:row>35</xdr:row>
      <xdr:rowOff>76200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691470DF-2351-4284-9674-6AE9B7A22B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752475</xdr:colOff>
      <xdr:row>2</xdr:row>
      <xdr:rowOff>104775</xdr:rowOff>
    </xdr:from>
    <xdr:to>
      <xdr:col>15</xdr:col>
      <xdr:colOff>85725</xdr:colOff>
      <xdr:row>17</xdr:row>
      <xdr:rowOff>77550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AEFD9461-40E3-4E7F-8FCF-0E9E09F7C2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447675</xdr:colOff>
      <xdr:row>2</xdr:row>
      <xdr:rowOff>152400</xdr:rowOff>
    </xdr:from>
    <xdr:to>
      <xdr:col>8</xdr:col>
      <xdr:colOff>238125</xdr:colOff>
      <xdr:row>16</xdr:row>
      <xdr:rowOff>161925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85E80D40-5E7E-46E6-B14F-F114981F41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11</xdr:col>
      <xdr:colOff>438150</xdr:colOff>
      <xdr:row>4</xdr:row>
      <xdr:rowOff>71966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A1D38AD3-C1BC-46DB-A231-2C923DB4751F}"/>
            </a:ext>
          </a:extLst>
        </xdr:cNvPr>
        <xdr:cNvSpPr/>
      </xdr:nvSpPr>
      <xdr:spPr>
        <a:xfrm>
          <a:off x="0" y="381000"/>
          <a:ext cx="9944100" cy="452966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_tradnl" sz="4000"/>
            <a:t>Facturación Restaurante</a:t>
          </a:r>
        </a:p>
      </xdr:txBody>
    </xdr:sp>
    <xdr:clientData/>
  </xdr:twoCellAnchor>
  <xdr:twoCellAnchor>
    <xdr:from>
      <xdr:col>0</xdr:col>
      <xdr:colOff>476250</xdr:colOff>
      <xdr:row>20</xdr:row>
      <xdr:rowOff>0</xdr:rowOff>
    </xdr:from>
    <xdr:to>
      <xdr:col>5</xdr:col>
      <xdr:colOff>561975</xdr:colOff>
      <xdr:row>34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D6092F7-02A1-4C8F-8F57-A8DA746F73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ta María Llordén Alonso" refreshedDate="45565.577939351853" backgroundQuery="1" createdVersion="8" refreshedVersion="8" minRefreshableVersion="3" recordCount="0" supportSubquery="1" supportAdvancedDrill="1" xr:uid="{5EFAA4C6-B1B7-4FBE-84B7-75101591DB98}">
  <cacheSource type="external" connectionId="1"/>
  <cacheFields count="8">
    <cacheField name="[Sala].[Tipo de Servicio].[Tipo de Servicio]" caption="Tipo de Servicio" numFmtId="0" hierarchy="8" level="1">
      <sharedItems count="3">
        <s v="Almuerzo"/>
        <s v="Cena"/>
        <s v="Desayuno"/>
      </sharedItems>
    </cacheField>
    <cacheField name="[Measures].[Recuento de Tipo de Servicio]" caption="Recuento de Tipo de Servicio" numFmtId="0" hierarchy="34" level="32767"/>
    <cacheField name="[Measures].[Promedio de Monto total]" caption="Promedio de Monto total" numFmtId="0" hierarchy="35" level="32767"/>
    <cacheField name="[Measures].[Promedio de Número de Comensales]" caption="Promedio de Número de Comensales" numFmtId="0" hierarchy="37" level="32767"/>
    <cacheField name="[Measures].[Suma de Propina real]" caption="Suma de Propina real" numFmtId="0" hierarchy="38" level="32767"/>
    <cacheField name="[Measures].[Suma de Coste total]" caption="Suma de Coste total" numFmtId="0" hierarchy="39" level="32767"/>
    <cacheField name="[Measures].[Suma de Ingresos]" caption="Suma de Ingresos" numFmtId="0" hierarchy="33" level="32767"/>
    <cacheField name="[Measures].[Promedio de Tiempo de preparación (min)]" caption="Promedio de Tiempo de preparación (min)" numFmtId="0" hierarchy="41" level="32767"/>
  </cacheFields>
  <cacheHierarchies count="42">
    <cacheHierarchy uniqueName="[Sala].[Número de Mesa]" caption="Número de Mesa" attribute="1" defaultMemberUniqueName="[Sala].[Número de Mesa].[All]" allUniqueName="[Sala].[Número de Mesa].[All]" dimensionUniqueName="[Sala]" displayFolder="" count="0" memberValueDatatype="20" unbalanced="0"/>
    <cacheHierarchy uniqueName="[Sala].[Nombre del Cliente]" caption="Nombre del Cliente" attribute="1" defaultMemberUniqueName="[Sala].[Nombre del Cliente].[All]" allUniqueName="[Sala].[Nombre del Cliente].[All]" dimensionUniqueName="[Sala]" displayFolder="" count="0" memberValueDatatype="130" unbalanced="0"/>
    <cacheHierarchy uniqueName="[Sala].[Número de Comensales]" caption="Número de Comensales" attribute="1" defaultMemberUniqueName="[Sala].[Número de Comensales].[All]" allUniqueName="[Sala].[Número de Comensales].[All]" dimensionUniqueName="[Sala]" displayFolder="" count="0" memberValueDatatype="20" unbalanced="0"/>
    <cacheHierarchy uniqueName="[Sala].[Fecha de Llegada]" caption="Fecha de Llegada" attribute="1" time="1" defaultMemberUniqueName="[Sala].[Fecha de Llegada].[All]" allUniqueName="[Sala].[Fecha de Llegada].[All]" dimensionUniqueName="[Sala]" displayFolder="" count="0" memberValueDatatype="7" unbalanced="0"/>
    <cacheHierarchy uniqueName="[Sala].[Hora de llegada]" caption="Hora de llegada" attribute="1" time="1" defaultMemberUniqueName="[Sala].[Hora de llegada].[All]" allUniqueName="[Sala].[Hora de llegada].[All]" dimensionUniqueName="[Sala]" displayFolder="" count="0" memberValueDatatype="7" unbalanced="0"/>
    <cacheHierarchy uniqueName="[Sala].[Fecha de Salida]" caption="Fecha de Salida" attribute="1" time="1" defaultMemberUniqueName="[Sala].[Fecha de Salida].[All]" allUniqueName="[Sala].[Fecha de Salida].[All]" dimensionUniqueName="[Sala]" displayFolder="" count="0" memberValueDatatype="7" unbalanced="0"/>
    <cacheHierarchy uniqueName="[Sala].[Hora de Salida]" caption="Hora de Salida" attribute="1" time="1" defaultMemberUniqueName="[Sala].[Hora de Salida].[All]" allUniqueName="[Sala].[Hora de Salida].[All]" dimensionUniqueName="[Sala]" displayFolder="" count="0" memberValueDatatype="7" unbalanced="0"/>
    <cacheHierarchy uniqueName="[Sala].[Mesero Asignado]" caption="Mesero Asignado" attribute="1" defaultMemberUniqueName="[Sala].[Mesero Asignado].[All]" allUniqueName="[Sala].[Mesero Asignado].[All]" dimensionUniqueName="[Sala]" displayFolder="" count="0" memberValueDatatype="130" unbalanced="0"/>
    <cacheHierarchy uniqueName="[Sala].[Tipo de Servicio]" caption="Tipo de Servicio" attribute="1" defaultMemberUniqueName="[Sala].[Tipo de Servicio].[All]" allUniqueName="[Sala].[Tipo de Servicio].[All]" dimensionUniqueName="[Sala]" displayFolder="" count="2" memberValueDatatype="130" unbalanced="0">
      <fieldsUsage count="2">
        <fieldUsage x="-1"/>
        <fieldUsage x="0"/>
      </fieldsUsage>
    </cacheHierarchy>
    <cacheHierarchy uniqueName="[Sala].[Método de Pago]" caption="Método de Pago" attribute="1" defaultMemberUniqueName="[Sala].[Método de Pago].[All]" allUniqueName="[Sala].[Método de Pago].[All]" dimensionUniqueName="[Sala]" displayFolder="" count="0" memberValueDatatype="130" unbalanced="0"/>
    <cacheHierarchy uniqueName="[Sala].[Propina]" caption="Propina" attribute="1" defaultMemberUniqueName="[Sala].[Propina].[All]" allUniqueName="[Sala].[Propina].[All]" dimensionUniqueName="[Sala]" displayFolder="" count="0" memberValueDatatype="5" unbalanced="0"/>
    <cacheHierarchy uniqueName="[Sala].[Estado de la Mesa]" caption="Estado de la Mesa" attribute="1" defaultMemberUniqueName="[Sala].[Estado de la Mesa].[All]" allUniqueName="[Sala].[Estado de la Mesa].[All]" dimensionUniqueName="[Sala]" displayFolder="" count="0" memberValueDatatype="130" unbalanced="0"/>
    <cacheHierarchy uniqueName="[Sala].[Número de Orden]" caption="Número de Orden" attribute="1" defaultMemberUniqueName="[Sala].[Número de Orden].[All]" allUniqueName="[Sala].[Número de Orden].[All]" dimensionUniqueName="[Sala]" displayFolder="" count="0" memberValueDatatype="20" unbalanced="0"/>
    <cacheHierarchy uniqueName="[Sala].[País de Origen]" caption="País de Origen" attribute="1" defaultMemberUniqueName="[Sala].[País de Origen].[All]" allUniqueName="[Sala].[País de Origen].[All]" dimensionUniqueName="[Sala]" displayFolder="" count="0" memberValueDatatype="130" unbalanced="0"/>
    <cacheHierarchy uniqueName="[Sala].[Tiempo de permanencia]" caption="Tiempo de permanencia" attribute="1" time="1" defaultMemberUniqueName="[Sala].[Tiempo de permanencia].[All]" allUniqueName="[Sala].[Tiempo de permanencia].[All]" dimensionUniqueName="[Sala]" displayFolder="" count="0" memberValueDatatype="7" unbalanced="0"/>
    <cacheHierarchy uniqueName="[Sala].[Tiempo de preparación (min)]" caption="Tiempo de preparación (min)" attribute="1" defaultMemberUniqueName="[Sala].[Tiempo de preparación (min)].[All]" allUniqueName="[Sala].[Tiempo de preparación (min)].[All]" dimensionUniqueName="[Sala]" displayFolder="" count="0" memberValueDatatype="20" unbalanced="0"/>
    <cacheHierarchy uniqueName="[Sala].[Tiempo de preparación (h)]" caption="Tiempo de preparación (h)" attribute="1" defaultMemberUniqueName="[Sala].[Tiempo de preparación (h)].[All]" allUniqueName="[Sala].[Tiempo de preparación (h)].[All]" dimensionUniqueName="[Sala]" displayFolder="" count="0" memberValueDatatype="130" unbalanced="0"/>
    <cacheHierarchy uniqueName="[Sala].[Tiempo de degustación]" caption="Tiempo de degustación" attribute="1" time="1" defaultMemberUniqueName="[Sala].[Tiempo de degustación].[All]" allUniqueName="[Sala].[Tiempo de degustación].[All]" dimensionUniqueName="[Sala]" displayFolder="" count="0" memberValueDatatype="7" unbalanced="0"/>
    <cacheHierarchy uniqueName="[Sala].[Monto total]" caption="Monto total" attribute="1" defaultMemberUniqueName="[Sala].[Monto total].[All]" allUniqueName="[Sala].[Monto total].[All]" dimensionUniqueName="[Sala]" displayFolder="" count="0" memberValueDatatype="20" unbalanced="0"/>
    <cacheHierarchy uniqueName="[Sala].[Coste total]" caption="Coste total" attribute="1" defaultMemberUniqueName="[Sala].[Coste total].[All]" allUniqueName="[Sala].[Coste total].[All]" dimensionUniqueName="[Sala]" displayFolder="" count="0" memberValueDatatype="20" unbalanced="0"/>
    <cacheHierarchy uniqueName="[Sala].[Fecha factura]" caption="Fecha factura" attribute="1" time="1" defaultMemberUniqueName="[Sala].[Fecha factura].[All]" allUniqueName="[Sala].[Fecha factura].[All]" dimensionUniqueName="[Sala]" displayFolder="" count="0" memberValueDatatype="7" unbalanced="0"/>
    <cacheHierarchy uniqueName="[Sala].[Día semana]" caption="Día semana" attribute="1" defaultMemberUniqueName="[Sala].[Día semana].[All]" allUniqueName="[Sala].[Día semana].[All]" dimensionUniqueName="[Sala]" displayFolder="" count="0" memberValueDatatype="130" unbalanced="0"/>
    <cacheHierarchy uniqueName="[Sala].[Cobrada]" caption="Cobrada" attribute="1" defaultMemberUniqueName="[Sala].[Cobrada].[All]" allUniqueName="[Sala].[Cobrada].[All]" dimensionUniqueName="[Sala]" displayFolder="" count="0" memberValueDatatype="130" unbalanced="0"/>
    <cacheHierarchy uniqueName="[Sala].[Método pago real]" caption="Método pago real" attribute="1" defaultMemberUniqueName="[Sala].[Método pago real].[All]" allUniqueName="[Sala].[Método pago real].[All]" dimensionUniqueName="[Sala]" displayFolder="" count="0" memberValueDatatype="130" unbalanced="0"/>
    <cacheHierarchy uniqueName="[Sala].[Propina real]" caption="Propina real" attribute="1" defaultMemberUniqueName="[Sala].[Propina real].[All]" allUniqueName="[Sala].[Propina real].[All]" dimensionUniqueName="[Sala]" displayFolder="" count="0" memberValueDatatype="5" unbalanced="0"/>
    <cacheHierarchy uniqueName="[Sala].[Ingresos]" caption="Ingresos" attribute="1" defaultMemberUniqueName="[Sala].[Ingresos].[All]" allUniqueName="[Sala].[Ingresos].[All]" dimensionUniqueName="[Sala]" displayFolder="" count="0" memberValueDatatype="5" unbalanced="0"/>
    <cacheHierarchy uniqueName="[Measures].[__XL_Count Sala]" caption="__XL_Count Sala" measure="1" displayFolder="" measureGroup="Sala" count="0" hidden="1"/>
    <cacheHierarchy uniqueName="[Measures].[__No measures defined]" caption="__No measures defined" measure="1" displayFolder="" count="0" hidden="1"/>
    <cacheHierarchy uniqueName="[Measures].[Recuento de Cobrada]" caption="Recuento de Cobrada" measure="1" displayFolder="" measureGroup="Sala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a de Monto total]" caption="Suma de Monto total" measure="1" displayFolder="" measureGroup="Sala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Recuento de Método de Pago]" caption="Recuento de Método de Pago" measure="1" displayFolder="" measureGroup="Sal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a de Propina]" caption="Suma de Propina" measure="1" displayFolder="" measureGroup="Sal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Recuento de Mesero Asignado]" caption="Recuento de Mesero Asignado" measure="1" displayFolder="" measureGroup="Sal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a de Ingresos]" caption="Suma de Ingresos" measure="1" displayFolder="" measureGroup="Sala" count="0" oneField="1" hidden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Recuento de Tipo de Servicio]" caption="Recuento de Tipo de Servicio" measure="1" displayFolder="" measureGroup="Sal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Promedio de Monto total]" caption="Promedio de Monto total" measure="1" displayFolder="" measureGroup="Sala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a de Número de Comensales]" caption="Suma de Número de Comensales" measure="1" displayFolder="" measureGroup="Sal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Promedio de Número de Comensales]" caption="Promedio de Número de Comensales" measure="1" displayFolder="" measureGroup="Sala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a de Propina real]" caption="Suma de Propina real" measure="1" displayFolder="" measureGroup="Sala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a de Coste total]" caption="Suma de Coste total" measure="1" displayFolder="" measureGroup="Sala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a de Tiempo de preparación (min)]" caption="Suma de Tiempo de preparación (min)" measure="1" displayFolder="" measureGroup="Sal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Promedio de Tiempo de preparación (min)]" caption="Promedio de Tiempo de preparación (min)" measure="1" displayFolder="" measureGroup="Sala" count="0" oneField="1" hidden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</cacheHierarchies>
  <kpis count="0"/>
  <dimensions count="2">
    <dimension measure="1" name="Measures" uniqueName="[Measures]" caption="Measures"/>
    <dimension name="Sala" uniqueName="[Sala]" caption="Sala"/>
  </dimensions>
  <measureGroups count="1">
    <measureGroup name="Sala" caption="Sala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ta María Llordén Alonso" refreshedDate="45565.577940277777" backgroundQuery="1" createdVersion="8" refreshedVersion="8" minRefreshableVersion="3" recordCount="0" supportSubquery="1" supportAdvancedDrill="1" xr:uid="{5D845A3E-58C4-4CE8-B786-B1BC09693F4E}">
  <cacheSource type="external" connectionId="1"/>
  <cacheFields count="2">
    <cacheField name="[Sala].[Tipo de Servicio].[Tipo de Servicio]" caption="Tipo de Servicio" numFmtId="0" hierarchy="8" level="1">
      <sharedItems count="3">
        <s v="Almuerzo"/>
        <s v="Cena"/>
        <s v="Desayuno"/>
      </sharedItems>
    </cacheField>
    <cacheField name="[Measures].[Suma de Ingresos]" caption="Suma de Ingresos" numFmtId="0" hierarchy="33" level="32767"/>
  </cacheFields>
  <cacheHierarchies count="42">
    <cacheHierarchy uniqueName="[Sala].[Número de Mesa]" caption="Número de Mesa" attribute="1" defaultMemberUniqueName="[Sala].[Número de Mesa].[All]" allUniqueName="[Sala].[Número de Mesa].[All]" dimensionUniqueName="[Sala]" displayFolder="" count="0" memberValueDatatype="20" unbalanced="0"/>
    <cacheHierarchy uniqueName="[Sala].[Nombre del Cliente]" caption="Nombre del Cliente" attribute="1" defaultMemberUniqueName="[Sala].[Nombre del Cliente].[All]" allUniqueName="[Sala].[Nombre del Cliente].[All]" dimensionUniqueName="[Sala]" displayFolder="" count="0" memberValueDatatype="130" unbalanced="0"/>
    <cacheHierarchy uniqueName="[Sala].[Número de Comensales]" caption="Número de Comensales" attribute="1" defaultMemberUniqueName="[Sala].[Número de Comensales].[All]" allUniqueName="[Sala].[Número de Comensales].[All]" dimensionUniqueName="[Sala]" displayFolder="" count="0" memberValueDatatype="20" unbalanced="0"/>
    <cacheHierarchy uniqueName="[Sala].[Fecha de Llegada]" caption="Fecha de Llegada" attribute="1" time="1" defaultMemberUniqueName="[Sala].[Fecha de Llegada].[All]" allUniqueName="[Sala].[Fecha de Llegada].[All]" dimensionUniqueName="[Sala]" displayFolder="" count="0" memberValueDatatype="7" unbalanced="0"/>
    <cacheHierarchy uniqueName="[Sala].[Hora de llegada]" caption="Hora de llegada" attribute="1" time="1" defaultMemberUniqueName="[Sala].[Hora de llegada].[All]" allUniqueName="[Sala].[Hora de llegada].[All]" dimensionUniqueName="[Sala]" displayFolder="" count="0" memberValueDatatype="7" unbalanced="0"/>
    <cacheHierarchy uniqueName="[Sala].[Fecha de Salida]" caption="Fecha de Salida" attribute="1" time="1" defaultMemberUniqueName="[Sala].[Fecha de Salida].[All]" allUniqueName="[Sala].[Fecha de Salida].[All]" dimensionUniqueName="[Sala]" displayFolder="" count="0" memberValueDatatype="7" unbalanced="0"/>
    <cacheHierarchy uniqueName="[Sala].[Hora de Salida]" caption="Hora de Salida" attribute="1" time="1" defaultMemberUniqueName="[Sala].[Hora de Salida].[All]" allUniqueName="[Sala].[Hora de Salida].[All]" dimensionUniqueName="[Sala]" displayFolder="" count="0" memberValueDatatype="7" unbalanced="0"/>
    <cacheHierarchy uniqueName="[Sala].[Mesero Asignado]" caption="Mesero Asignado" attribute="1" defaultMemberUniqueName="[Sala].[Mesero Asignado].[All]" allUniqueName="[Sala].[Mesero Asignado].[All]" dimensionUniqueName="[Sala]" displayFolder="" count="0" memberValueDatatype="130" unbalanced="0"/>
    <cacheHierarchy uniqueName="[Sala].[Tipo de Servicio]" caption="Tipo de Servicio" attribute="1" defaultMemberUniqueName="[Sala].[Tipo de Servicio].[All]" allUniqueName="[Sala].[Tipo de Servicio].[All]" dimensionUniqueName="[Sala]" displayFolder="" count="2" memberValueDatatype="130" unbalanced="0">
      <fieldsUsage count="2">
        <fieldUsage x="-1"/>
        <fieldUsage x="0"/>
      </fieldsUsage>
    </cacheHierarchy>
    <cacheHierarchy uniqueName="[Sala].[Método de Pago]" caption="Método de Pago" attribute="1" defaultMemberUniqueName="[Sala].[Método de Pago].[All]" allUniqueName="[Sala].[Método de Pago].[All]" dimensionUniqueName="[Sala]" displayFolder="" count="0" memberValueDatatype="130" unbalanced="0"/>
    <cacheHierarchy uniqueName="[Sala].[Propina]" caption="Propina" attribute="1" defaultMemberUniqueName="[Sala].[Propina].[All]" allUniqueName="[Sala].[Propina].[All]" dimensionUniqueName="[Sala]" displayFolder="" count="0" memberValueDatatype="5" unbalanced="0"/>
    <cacheHierarchy uniqueName="[Sala].[Estado de la Mesa]" caption="Estado de la Mesa" attribute="1" defaultMemberUniqueName="[Sala].[Estado de la Mesa].[All]" allUniqueName="[Sala].[Estado de la Mesa].[All]" dimensionUniqueName="[Sala]" displayFolder="" count="0" memberValueDatatype="130" unbalanced="0"/>
    <cacheHierarchy uniqueName="[Sala].[Número de Orden]" caption="Número de Orden" attribute="1" defaultMemberUniqueName="[Sala].[Número de Orden].[All]" allUniqueName="[Sala].[Número de Orden].[All]" dimensionUniqueName="[Sala]" displayFolder="" count="0" memberValueDatatype="20" unbalanced="0"/>
    <cacheHierarchy uniqueName="[Sala].[País de Origen]" caption="País de Origen" attribute="1" defaultMemberUniqueName="[Sala].[País de Origen].[All]" allUniqueName="[Sala].[País de Origen].[All]" dimensionUniqueName="[Sala]" displayFolder="" count="0" memberValueDatatype="130" unbalanced="0"/>
    <cacheHierarchy uniqueName="[Sala].[Tiempo de permanencia]" caption="Tiempo de permanencia" attribute="1" time="1" defaultMemberUniqueName="[Sala].[Tiempo de permanencia].[All]" allUniqueName="[Sala].[Tiempo de permanencia].[All]" dimensionUniqueName="[Sala]" displayFolder="" count="0" memberValueDatatype="7" unbalanced="0"/>
    <cacheHierarchy uniqueName="[Sala].[Tiempo de preparación (min)]" caption="Tiempo de preparación (min)" attribute="1" defaultMemberUniqueName="[Sala].[Tiempo de preparación (min)].[All]" allUniqueName="[Sala].[Tiempo de preparación (min)].[All]" dimensionUniqueName="[Sala]" displayFolder="" count="0" memberValueDatatype="20" unbalanced="0"/>
    <cacheHierarchy uniqueName="[Sala].[Tiempo de preparación (h)]" caption="Tiempo de preparación (h)" attribute="1" defaultMemberUniqueName="[Sala].[Tiempo de preparación (h)].[All]" allUniqueName="[Sala].[Tiempo de preparación (h)].[All]" dimensionUniqueName="[Sala]" displayFolder="" count="0" memberValueDatatype="130" unbalanced="0"/>
    <cacheHierarchy uniqueName="[Sala].[Tiempo de degustación]" caption="Tiempo de degustación" attribute="1" time="1" defaultMemberUniqueName="[Sala].[Tiempo de degustación].[All]" allUniqueName="[Sala].[Tiempo de degustación].[All]" dimensionUniqueName="[Sala]" displayFolder="" count="0" memberValueDatatype="7" unbalanced="0"/>
    <cacheHierarchy uniqueName="[Sala].[Monto total]" caption="Monto total" attribute="1" defaultMemberUniqueName="[Sala].[Monto total].[All]" allUniqueName="[Sala].[Monto total].[All]" dimensionUniqueName="[Sala]" displayFolder="" count="0" memberValueDatatype="20" unbalanced="0"/>
    <cacheHierarchy uniqueName="[Sala].[Coste total]" caption="Coste total" attribute="1" defaultMemberUniqueName="[Sala].[Coste total].[All]" allUniqueName="[Sala].[Coste total].[All]" dimensionUniqueName="[Sala]" displayFolder="" count="0" memberValueDatatype="20" unbalanced="0"/>
    <cacheHierarchy uniqueName="[Sala].[Fecha factura]" caption="Fecha factura" attribute="1" time="1" defaultMemberUniqueName="[Sala].[Fecha factura].[All]" allUniqueName="[Sala].[Fecha factura].[All]" dimensionUniqueName="[Sala]" displayFolder="" count="0" memberValueDatatype="7" unbalanced="0"/>
    <cacheHierarchy uniqueName="[Sala].[Día semana]" caption="Día semana" attribute="1" defaultMemberUniqueName="[Sala].[Día semana].[All]" allUniqueName="[Sala].[Día semana].[All]" dimensionUniqueName="[Sala]" displayFolder="" count="0" memberValueDatatype="130" unbalanced="0"/>
    <cacheHierarchy uniqueName="[Sala].[Cobrada]" caption="Cobrada" attribute="1" defaultMemberUniqueName="[Sala].[Cobrada].[All]" allUniqueName="[Sala].[Cobrada].[All]" dimensionUniqueName="[Sala]" displayFolder="" count="0" memberValueDatatype="130" unbalanced="0"/>
    <cacheHierarchy uniqueName="[Sala].[Método pago real]" caption="Método pago real" attribute="1" defaultMemberUniqueName="[Sala].[Método pago real].[All]" allUniqueName="[Sala].[Método pago real].[All]" dimensionUniqueName="[Sala]" displayFolder="" count="0" memberValueDatatype="130" unbalanced="0"/>
    <cacheHierarchy uniqueName="[Sala].[Propina real]" caption="Propina real" attribute="1" defaultMemberUniqueName="[Sala].[Propina real].[All]" allUniqueName="[Sala].[Propina real].[All]" dimensionUniqueName="[Sala]" displayFolder="" count="0" memberValueDatatype="5" unbalanced="0"/>
    <cacheHierarchy uniqueName="[Sala].[Ingresos]" caption="Ingresos" attribute="1" defaultMemberUniqueName="[Sala].[Ingresos].[All]" allUniqueName="[Sala].[Ingresos].[All]" dimensionUniqueName="[Sala]" displayFolder="" count="0" memberValueDatatype="5" unbalanced="0"/>
    <cacheHierarchy uniqueName="[Measures].[__XL_Count Sala]" caption="__XL_Count Sala" measure="1" displayFolder="" measureGroup="Sala" count="0" hidden="1"/>
    <cacheHierarchy uniqueName="[Measures].[__No measures defined]" caption="__No measures defined" measure="1" displayFolder="" count="0" hidden="1"/>
    <cacheHierarchy uniqueName="[Measures].[Recuento de Cobrada]" caption="Recuento de Cobrada" measure="1" displayFolder="" measureGroup="Sala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a de Monto total]" caption="Suma de Monto total" measure="1" displayFolder="" measureGroup="Sala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Recuento de Método de Pago]" caption="Recuento de Método de Pago" measure="1" displayFolder="" measureGroup="Sal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a de Propina]" caption="Suma de Propina" measure="1" displayFolder="" measureGroup="Sal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Recuento de Mesero Asignado]" caption="Recuento de Mesero Asignado" measure="1" displayFolder="" measureGroup="Sal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a de Ingresos]" caption="Suma de Ingresos" measure="1" displayFolder="" measureGroup="Sal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Recuento de Tipo de Servicio]" caption="Recuento de Tipo de Servicio" measure="1" displayFolder="" measureGroup="Sal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Promedio de Monto total]" caption="Promedio de Monto total" measure="1" displayFolder="" measureGroup="Sala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a de Número de Comensales]" caption="Suma de Número de Comensales" measure="1" displayFolder="" measureGroup="Sal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Promedio de Número de Comensales]" caption="Promedio de Número de Comensales" measure="1" displayFolder="" measureGroup="Sal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a de Propina real]" caption="Suma de Propina real" measure="1" displayFolder="" measureGroup="Sala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a de Coste total]" caption="Suma de Coste total" measure="1" displayFolder="" measureGroup="Sala" count="0" hidden="1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a de Tiempo de preparación (min)]" caption="Suma de Tiempo de preparación (min)" measure="1" displayFolder="" measureGroup="Sal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Promedio de Tiempo de preparación (min)]" caption="Promedio de Tiempo de preparación (min)" measure="1" displayFolder="" measureGroup="Sal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</cacheHierarchies>
  <kpis count="0"/>
  <dimensions count="2">
    <dimension measure="1" name="Measures" uniqueName="[Measures]" caption="Measures"/>
    <dimension name="Sala" uniqueName="[Sala]" caption="Sala"/>
  </dimensions>
  <measureGroups count="1">
    <measureGroup name="Sala" caption="Sala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ta María Llordén Alonso" refreshedDate="45565.577942476855" backgroundQuery="1" createdVersion="8" refreshedVersion="8" minRefreshableVersion="3" recordCount="0" supportSubquery="1" supportAdvancedDrill="1" xr:uid="{16F52C46-715D-4A3A-8A99-6C6526A5A3BF}">
  <cacheSource type="external" connectionId="1"/>
  <cacheFields count="3">
    <cacheField name="[Sala].[Mesero Asignado].[Mesero Asignado]" caption="Mesero Asignado" numFmtId="0" hierarchy="7" level="1">
      <sharedItems count="5">
        <s v="Mesero_1"/>
        <s v="Mesero_2"/>
        <s v="Mesero_3"/>
        <s v="Mesero_4"/>
        <s v="Mesero_5"/>
      </sharedItems>
    </cacheField>
    <cacheField name="[Measures].[Recuento de Mesero Asignado]" caption="Recuento de Mesero Asignado" numFmtId="0" hierarchy="32" level="32767"/>
    <cacheField name="[Sala].[Tipo de Servicio].[Tipo de Servicio]" caption="Tipo de Servicio" numFmtId="0" hierarchy="8" level="1">
      <sharedItems count="3">
        <s v="Almuerzo"/>
        <s v="Cena"/>
        <s v="Desayuno"/>
      </sharedItems>
    </cacheField>
  </cacheFields>
  <cacheHierarchies count="42">
    <cacheHierarchy uniqueName="[Sala].[Número de Mesa]" caption="Número de Mesa" attribute="1" defaultMemberUniqueName="[Sala].[Número de Mesa].[All]" allUniqueName="[Sala].[Número de Mesa].[All]" dimensionUniqueName="[Sala]" displayFolder="" count="0" memberValueDatatype="20" unbalanced="0"/>
    <cacheHierarchy uniqueName="[Sala].[Nombre del Cliente]" caption="Nombre del Cliente" attribute="1" defaultMemberUniqueName="[Sala].[Nombre del Cliente].[All]" allUniqueName="[Sala].[Nombre del Cliente].[All]" dimensionUniqueName="[Sala]" displayFolder="" count="0" memberValueDatatype="130" unbalanced="0"/>
    <cacheHierarchy uniqueName="[Sala].[Número de Comensales]" caption="Número de Comensales" attribute="1" defaultMemberUniqueName="[Sala].[Número de Comensales].[All]" allUniqueName="[Sala].[Número de Comensales].[All]" dimensionUniqueName="[Sala]" displayFolder="" count="0" memberValueDatatype="20" unbalanced="0"/>
    <cacheHierarchy uniqueName="[Sala].[Fecha de Llegada]" caption="Fecha de Llegada" attribute="1" time="1" defaultMemberUniqueName="[Sala].[Fecha de Llegada].[All]" allUniqueName="[Sala].[Fecha de Llegada].[All]" dimensionUniqueName="[Sala]" displayFolder="" count="0" memberValueDatatype="7" unbalanced="0"/>
    <cacheHierarchy uniqueName="[Sala].[Hora de llegada]" caption="Hora de llegada" attribute="1" time="1" defaultMemberUniqueName="[Sala].[Hora de llegada].[All]" allUniqueName="[Sala].[Hora de llegada].[All]" dimensionUniqueName="[Sala]" displayFolder="" count="0" memberValueDatatype="7" unbalanced="0"/>
    <cacheHierarchy uniqueName="[Sala].[Fecha de Salida]" caption="Fecha de Salida" attribute="1" time="1" defaultMemberUniqueName="[Sala].[Fecha de Salida].[All]" allUniqueName="[Sala].[Fecha de Salida].[All]" dimensionUniqueName="[Sala]" displayFolder="" count="0" memberValueDatatype="7" unbalanced="0"/>
    <cacheHierarchy uniqueName="[Sala].[Hora de Salida]" caption="Hora de Salida" attribute="1" time="1" defaultMemberUniqueName="[Sala].[Hora de Salida].[All]" allUniqueName="[Sala].[Hora de Salida].[All]" dimensionUniqueName="[Sala]" displayFolder="" count="0" memberValueDatatype="7" unbalanced="0"/>
    <cacheHierarchy uniqueName="[Sala].[Mesero Asignado]" caption="Mesero Asignado" attribute="1" defaultMemberUniqueName="[Sala].[Mesero Asignado].[All]" allUniqueName="[Sala].[Mesero Asignado].[All]" dimensionUniqueName="[Sala]" displayFolder="" count="2" memberValueDatatype="130" unbalanced="0">
      <fieldsUsage count="2">
        <fieldUsage x="-1"/>
        <fieldUsage x="0"/>
      </fieldsUsage>
    </cacheHierarchy>
    <cacheHierarchy uniqueName="[Sala].[Tipo de Servicio]" caption="Tipo de Servicio" attribute="1" defaultMemberUniqueName="[Sala].[Tipo de Servicio].[All]" allUniqueName="[Sala].[Tipo de Servicio].[All]" dimensionUniqueName="[Sala]" displayFolder="" count="2" memberValueDatatype="130" unbalanced="0">
      <fieldsUsage count="2">
        <fieldUsage x="-1"/>
        <fieldUsage x="2"/>
      </fieldsUsage>
    </cacheHierarchy>
    <cacheHierarchy uniqueName="[Sala].[Método de Pago]" caption="Método de Pago" attribute="1" defaultMemberUniqueName="[Sala].[Método de Pago].[All]" allUniqueName="[Sala].[Método de Pago].[All]" dimensionUniqueName="[Sala]" displayFolder="" count="0" memberValueDatatype="130" unbalanced="0"/>
    <cacheHierarchy uniqueName="[Sala].[Propina]" caption="Propina" attribute="1" defaultMemberUniqueName="[Sala].[Propina].[All]" allUniqueName="[Sala].[Propina].[All]" dimensionUniqueName="[Sala]" displayFolder="" count="0" memberValueDatatype="5" unbalanced="0"/>
    <cacheHierarchy uniqueName="[Sala].[Estado de la Mesa]" caption="Estado de la Mesa" attribute="1" defaultMemberUniqueName="[Sala].[Estado de la Mesa].[All]" allUniqueName="[Sala].[Estado de la Mesa].[All]" dimensionUniqueName="[Sala]" displayFolder="" count="0" memberValueDatatype="130" unbalanced="0"/>
    <cacheHierarchy uniqueName="[Sala].[Número de Orden]" caption="Número de Orden" attribute="1" defaultMemberUniqueName="[Sala].[Número de Orden].[All]" allUniqueName="[Sala].[Número de Orden].[All]" dimensionUniqueName="[Sala]" displayFolder="" count="0" memberValueDatatype="20" unbalanced="0"/>
    <cacheHierarchy uniqueName="[Sala].[País de Origen]" caption="País de Origen" attribute="1" defaultMemberUniqueName="[Sala].[País de Origen].[All]" allUniqueName="[Sala].[País de Origen].[All]" dimensionUniqueName="[Sala]" displayFolder="" count="0" memberValueDatatype="130" unbalanced="0"/>
    <cacheHierarchy uniqueName="[Sala].[Tiempo de permanencia]" caption="Tiempo de permanencia" attribute="1" time="1" defaultMemberUniqueName="[Sala].[Tiempo de permanencia].[All]" allUniqueName="[Sala].[Tiempo de permanencia].[All]" dimensionUniqueName="[Sala]" displayFolder="" count="0" memberValueDatatype="7" unbalanced="0"/>
    <cacheHierarchy uniqueName="[Sala].[Tiempo de preparación (min)]" caption="Tiempo de preparación (min)" attribute="1" defaultMemberUniqueName="[Sala].[Tiempo de preparación (min)].[All]" allUniqueName="[Sala].[Tiempo de preparación (min)].[All]" dimensionUniqueName="[Sala]" displayFolder="" count="0" memberValueDatatype="20" unbalanced="0"/>
    <cacheHierarchy uniqueName="[Sala].[Tiempo de preparación (h)]" caption="Tiempo de preparación (h)" attribute="1" defaultMemberUniqueName="[Sala].[Tiempo de preparación (h)].[All]" allUniqueName="[Sala].[Tiempo de preparación (h)].[All]" dimensionUniqueName="[Sala]" displayFolder="" count="0" memberValueDatatype="130" unbalanced="0"/>
    <cacheHierarchy uniqueName="[Sala].[Tiempo de degustación]" caption="Tiempo de degustación" attribute="1" time="1" defaultMemberUniqueName="[Sala].[Tiempo de degustación].[All]" allUniqueName="[Sala].[Tiempo de degustación].[All]" dimensionUniqueName="[Sala]" displayFolder="" count="0" memberValueDatatype="7" unbalanced="0"/>
    <cacheHierarchy uniqueName="[Sala].[Monto total]" caption="Monto total" attribute="1" defaultMemberUniqueName="[Sala].[Monto total].[All]" allUniqueName="[Sala].[Monto total].[All]" dimensionUniqueName="[Sala]" displayFolder="" count="0" memberValueDatatype="20" unbalanced="0"/>
    <cacheHierarchy uniqueName="[Sala].[Coste total]" caption="Coste total" attribute="1" defaultMemberUniqueName="[Sala].[Coste total].[All]" allUniqueName="[Sala].[Coste total].[All]" dimensionUniqueName="[Sala]" displayFolder="" count="0" memberValueDatatype="20" unbalanced="0"/>
    <cacheHierarchy uniqueName="[Sala].[Fecha factura]" caption="Fecha factura" attribute="1" time="1" defaultMemberUniqueName="[Sala].[Fecha factura].[All]" allUniqueName="[Sala].[Fecha factura].[All]" dimensionUniqueName="[Sala]" displayFolder="" count="0" memberValueDatatype="7" unbalanced="0"/>
    <cacheHierarchy uniqueName="[Sala].[Día semana]" caption="Día semana" attribute="1" defaultMemberUniqueName="[Sala].[Día semana].[All]" allUniqueName="[Sala].[Día semana].[All]" dimensionUniqueName="[Sala]" displayFolder="" count="0" memberValueDatatype="130" unbalanced="0"/>
    <cacheHierarchy uniqueName="[Sala].[Cobrada]" caption="Cobrada" attribute="1" defaultMemberUniqueName="[Sala].[Cobrada].[All]" allUniqueName="[Sala].[Cobrada].[All]" dimensionUniqueName="[Sala]" displayFolder="" count="0" memberValueDatatype="130" unbalanced="0"/>
    <cacheHierarchy uniqueName="[Sala].[Método pago real]" caption="Método pago real" attribute="1" defaultMemberUniqueName="[Sala].[Método pago real].[All]" allUniqueName="[Sala].[Método pago real].[All]" dimensionUniqueName="[Sala]" displayFolder="" count="0" memberValueDatatype="130" unbalanced="0"/>
    <cacheHierarchy uniqueName="[Sala].[Propina real]" caption="Propina real" attribute="1" defaultMemberUniqueName="[Sala].[Propina real].[All]" allUniqueName="[Sala].[Propina real].[All]" dimensionUniqueName="[Sala]" displayFolder="" count="0" memberValueDatatype="5" unbalanced="0"/>
    <cacheHierarchy uniqueName="[Sala].[Ingresos]" caption="Ingresos" attribute="1" defaultMemberUniqueName="[Sala].[Ingresos].[All]" allUniqueName="[Sala].[Ingresos].[All]" dimensionUniqueName="[Sala]" displayFolder="" count="0" memberValueDatatype="5" unbalanced="0"/>
    <cacheHierarchy uniqueName="[Measures].[__XL_Count Sala]" caption="__XL_Count Sala" measure="1" displayFolder="" measureGroup="Sala" count="0" hidden="1"/>
    <cacheHierarchy uniqueName="[Measures].[__No measures defined]" caption="__No measures defined" measure="1" displayFolder="" count="0" hidden="1"/>
    <cacheHierarchy uniqueName="[Measures].[Recuento de Cobrada]" caption="Recuento de Cobrada" measure="1" displayFolder="" measureGroup="Sala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a de Monto total]" caption="Suma de Monto total" measure="1" displayFolder="" measureGroup="Sala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Recuento de Método de Pago]" caption="Recuento de Método de Pago" measure="1" displayFolder="" measureGroup="Sal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a de Propina]" caption="Suma de Propina" measure="1" displayFolder="" measureGroup="Sal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Recuento de Mesero Asignado]" caption="Recuento de Mesero Asignado" measure="1" displayFolder="" measureGroup="Sal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a de Ingresos]" caption="Suma de Ingresos" measure="1" displayFolder="" measureGroup="Sala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Recuento de Tipo de Servicio]" caption="Recuento de Tipo de Servicio" measure="1" displayFolder="" measureGroup="Sal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Promedio de Monto total]" caption="Promedio de Monto total" measure="1" displayFolder="" measureGroup="Sala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a de Número de Comensales]" caption="Suma de Número de Comensales" measure="1" displayFolder="" measureGroup="Sal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Promedio de Número de Comensales]" caption="Promedio de Número de Comensales" measure="1" displayFolder="" measureGroup="Sal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a de Propina real]" caption="Suma de Propina real" measure="1" displayFolder="" measureGroup="Sala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a de Coste total]" caption="Suma de Coste total" measure="1" displayFolder="" measureGroup="Sala" count="0" hidden="1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a de Tiempo de preparación (min)]" caption="Suma de Tiempo de preparación (min)" measure="1" displayFolder="" measureGroup="Sal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Promedio de Tiempo de preparación (min)]" caption="Promedio de Tiempo de preparación (min)" measure="1" displayFolder="" measureGroup="Sal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</cacheHierarchies>
  <kpis count="0"/>
  <dimensions count="2">
    <dimension measure="1" name="Measures" uniqueName="[Measures]" caption="Measures"/>
    <dimension name="Sala" uniqueName="[Sala]" caption="Sala"/>
  </dimensions>
  <measureGroups count="1">
    <measureGroup name="Sala" caption="Sala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ta María Llordén Alonso" refreshedDate="45565.577945486111" backgroundQuery="1" createdVersion="8" refreshedVersion="8" minRefreshableVersion="3" recordCount="0" supportSubquery="1" supportAdvancedDrill="1" xr:uid="{E7D13B93-30A3-40F5-AC72-83E0757AB358}">
  <cacheSource type="external" connectionId="1"/>
  <cacheFields count="3">
    <cacheField name="[Measures].[Recuento de Mesero Asignado]" caption="Recuento de Mesero Asignado" numFmtId="0" hierarchy="32" level="32767"/>
    <cacheField name="[Sala].[Cobrada].[Cobrada]" caption="Cobrada" numFmtId="0" hierarchy="22" level="1">
      <sharedItems count="2">
        <s v="No"/>
        <s v="Sí"/>
      </sharedItems>
    </cacheField>
    <cacheField name="[Sala].[Tipo de Servicio].[Tipo de Servicio]" caption="Tipo de Servicio" numFmtId="0" hierarchy="8" level="1">
      <sharedItems count="3">
        <s v="Almuerzo"/>
        <s v="Cena"/>
        <s v="Desayuno"/>
      </sharedItems>
    </cacheField>
  </cacheFields>
  <cacheHierarchies count="42">
    <cacheHierarchy uniqueName="[Sala].[Número de Mesa]" caption="Número de Mesa" attribute="1" defaultMemberUniqueName="[Sala].[Número de Mesa].[All]" allUniqueName="[Sala].[Número de Mesa].[All]" dimensionUniqueName="[Sala]" displayFolder="" count="0" memberValueDatatype="20" unbalanced="0"/>
    <cacheHierarchy uniqueName="[Sala].[Nombre del Cliente]" caption="Nombre del Cliente" attribute="1" defaultMemberUniqueName="[Sala].[Nombre del Cliente].[All]" allUniqueName="[Sala].[Nombre del Cliente].[All]" dimensionUniqueName="[Sala]" displayFolder="" count="0" memberValueDatatype="130" unbalanced="0"/>
    <cacheHierarchy uniqueName="[Sala].[Número de Comensales]" caption="Número de Comensales" attribute="1" defaultMemberUniqueName="[Sala].[Número de Comensales].[All]" allUniqueName="[Sala].[Número de Comensales].[All]" dimensionUniqueName="[Sala]" displayFolder="" count="0" memberValueDatatype="20" unbalanced="0"/>
    <cacheHierarchy uniqueName="[Sala].[Fecha de Llegada]" caption="Fecha de Llegada" attribute="1" time="1" defaultMemberUniqueName="[Sala].[Fecha de Llegada].[All]" allUniqueName="[Sala].[Fecha de Llegada].[All]" dimensionUniqueName="[Sala]" displayFolder="" count="0" memberValueDatatype="7" unbalanced="0"/>
    <cacheHierarchy uniqueName="[Sala].[Hora de llegada]" caption="Hora de llegada" attribute="1" time="1" defaultMemberUniqueName="[Sala].[Hora de llegada].[All]" allUniqueName="[Sala].[Hora de llegada].[All]" dimensionUniqueName="[Sala]" displayFolder="" count="0" memberValueDatatype="7" unbalanced="0"/>
    <cacheHierarchy uniqueName="[Sala].[Fecha de Salida]" caption="Fecha de Salida" attribute="1" time="1" defaultMemberUniqueName="[Sala].[Fecha de Salida].[All]" allUniqueName="[Sala].[Fecha de Salida].[All]" dimensionUniqueName="[Sala]" displayFolder="" count="0" memberValueDatatype="7" unbalanced="0"/>
    <cacheHierarchy uniqueName="[Sala].[Hora de Salida]" caption="Hora de Salida" attribute="1" time="1" defaultMemberUniqueName="[Sala].[Hora de Salida].[All]" allUniqueName="[Sala].[Hora de Salida].[All]" dimensionUniqueName="[Sala]" displayFolder="" count="0" memberValueDatatype="7" unbalanced="0"/>
    <cacheHierarchy uniqueName="[Sala].[Mesero Asignado]" caption="Mesero Asignado" attribute="1" defaultMemberUniqueName="[Sala].[Mesero Asignado].[All]" allUniqueName="[Sala].[Mesero Asignado].[All]" dimensionUniqueName="[Sala]" displayFolder="" count="0" memberValueDatatype="130" unbalanced="0"/>
    <cacheHierarchy uniqueName="[Sala].[Tipo de Servicio]" caption="Tipo de Servicio" attribute="1" defaultMemberUniqueName="[Sala].[Tipo de Servicio].[All]" allUniqueName="[Sala].[Tipo de Servicio].[All]" dimensionUniqueName="[Sala]" displayFolder="" count="2" memberValueDatatype="130" unbalanced="0">
      <fieldsUsage count="2">
        <fieldUsage x="-1"/>
        <fieldUsage x="2"/>
      </fieldsUsage>
    </cacheHierarchy>
    <cacheHierarchy uniqueName="[Sala].[Método de Pago]" caption="Método de Pago" attribute="1" defaultMemberUniqueName="[Sala].[Método de Pago].[All]" allUniqueName="[Sala].[Método de Pago].[All]" dimensionUniqueName="[Sala]" displayFolder="" count="0" memberValueDatatype="130" unbalanced="0"/>
    <cacheHierarchy uniqueName="[Sala].[Propina]" caption="Propina" attribute="1" defaultMemberUniqueName="[Sala].[Propina].[All]" allUniqueName="[Sala].[Propina].[All]" dimensionUniqueName="[Sala]" displayFolder="" count="0" memberValueDatatype="5" unbalanced="0"/>
    <cacheHierarchy uniqueName="[Sala].[Estado de la Mesa]" caption="Estado de la Mesa" attribute="1" defaultMemberUniqueName="[Sala].[Estado de la Mesa].[All]" allUniqueName="[Sala].[Estado de la Mesa].[All]" dimensionUniqueName="[Sala]" displayFolder="" count="0" memberValueDatatype="130" unbalanced="0"/>
    <cacheHierarchy uniqueName="[Sala].[Número de Orden]" caption="Número de Orden" attribute="1" defaultMemberUniqueName="[Sala].[Número de Orden].[All]" allUniqueName="[Sala].[Número de Orden].[All]" dimensionUniqueName="[Sala]" displayFolder="" count="0" memberValueDatatype="20" unbalanced="0"/>
    <cacheHierarchy uniqueName="[Sala].[País de Origen]" caption="País de Origen" attribute="1" defaultMemberUniqueName="[Sala].[País de Origen].[All]" allUniqueName="[Sala].[País de Origen].[All]" dimensionUniqueName="[Sala]" displayFolder="" count="0" memberValueDatatype="130" unbalanced="0"/>
    <cacheHierarchy uniqueName="[Sala].[Tiempo de permanencia]" caption="Tiempo de permanencia" attribute="1" time="1" defaultMemberUniqueName="[Sala].[Tiempo de permanencia].[All]" allUniqueName="[Sala].[Tiempo de permanencia].[All]" dimensionUniqueName="[Sala]" displayFolder="" count="0" memberValueDatatype="7" unbalanced="0"/>
    <cacheHierarchy uniqueName="[Sala].[Tiempo de preparación (min)]" caption="Tiempo de preparación (min)" attribute="1" defaultMemberUniqueName="[Sala].[Tiempo de preparación (min)].[All]" allUniqueName="[Sala].[Tiempo de preparación (min)].[All]" dimensionUniqueName="[Sala]" displayFolder="" count="0" memberValueDatatype="20" unbalanced="0"/>
    <cacheHierarchy uniqueName="[Sala].[Tiempo de preparación (h)]" caption="Tiempo de preparación (h)" attribute="1" defaultMemberUniqueName="[Sala].[Tiempo de preparación (h)].[All]" allUniqueName="[Sala].[Tiempo de preparación (h)].[All]" dimensionUniqueName="[Sala]" displayFolder="" count="0" memberValueDatatype="130" unbalanced="0"/>
    <cacheHierarchy uniqueName="[Sala].[Tiempo de degustación]" caption="Tiempo de degustación" attribute="1" time="1" defaultMemberUniqueName="[Sala].[Tiempo de degustación].[All]" allUniqueName="[Sala].[Tiempo de degustación].[All]" dimensionUniqueName="[Sala]" displayFolder="" count="0" memberValueDatatype="7" unbalanced="0"/>
    <cacheHierarchy uniqueName="[Sala].[Monto total]" caption="Monto total" attribute="1" defaultMemberUniqueName="[Sala].[Monto total].[All]" allUniqueName="[Sala].[Monto total].[All]" dimensionUniqueName="[Sala]" displayFolder="" count="0" memberValueDatatype="20" unbalanced="0"/>
    <cacheHierarchy uniqueName="[Sala].[Coste total]" caption="Coste total" attribute="1" defaultMemberUniqueName="[Sala].[Coste total].[All]" allUniqueName="[Sala].[Coste total].[All]" dimensionUniqueName="[Sala]" displayFolder="" count="0" memberValueDatatype="20" unbalanced="0"/>
    <cacheHierarchy uniqueName="[Sala].[Fecha factura]" caption="Fecha factura" attribute="1" time="1" defaultMemberUniqueName="[Sala].[Fecha factura].[All]" allUniqueName="[Sala].[Fecha factura].[All]" dimensionUniqueName="[Sala]" displayFolder="" count="0" memberValueDatatype="7" unbalanced="0"/>
    <cacheHierarchy uniqueName="[Sala].[Día semana]" caption="Día semana" attribute="1" defaultMemberUniqueName="[Sala].[Día semana].[All]" allUniqueName="[Sala].[Día semana].[All]" dimensionUniqueName="[Sala]" displayFolder="" count="0" memberValueDatatype="130" unbalanced="0"/>
    <cacheHierarchy uniqueName="[Sala].[Cobrada]" caption="Cobrada" attribute="1" defaultMemberUniqueName="[Sala].[Cobrada].[All]" allUniqueName="[Sala].[Cobrada].[All]" dimensionUniqueName="[Sala]" displayFolder="" count="2" memberValueDatatype="130" unbalanced="0">
      <fieldsUsage count="2">
        <fieldUsage x="-1"/>
        <fieldUsage x="1"/>
      </fieldsUsage>
    </cacheHierarchy>
    <cacheHierarchy uniqueName="[Sala].[Método pago real]" caption="Método pago real" attribute="1" defaultMemberUniqueName="[Sala].[Método pago real].[All]" allUniqueName="[Sala].[Método pago real].[All]" dimensionUniqueName="[Sala]" displayFolder="" count="0" memberValueDatatype="130" unbalanced="0"/>
    <cacheHierarchy uniqueName="[Sala].[Propina real]" caption="Propina real" attribute="1" defaultMemberUniqueName="[Sala].[Propina real].[All]" allUniqueName="[Sala].[Propina real].[All]" dimensionUniqueName="[Sala]" displayFolder="" count="0" memberValueDatatype="5" unbalanced="0"/>
    <cacheHierarchy uniqueName="[Sala].[Ingresos]" caption="Ingresos" attribute="1" defaultMemberUniqueName="[Sala].[Ingresos].[All]" allUniqueName="[Sala].[Ingresos].[All]" dimensionUniqueName="[Sala]" displayFolder="" count="0" memberValueDatatype="5" unbalanced="0"/>
    <cacheHierarchy uniqueName="[Measures].[__XL_Count Sala]" caption="__XL_Count Sala" measure="1" displayFolder="" measureGroup="Sala" count="0" hidden="1"/>
    <cacheHierarchy uniqueName="[Measures].[__No measures defined]" caption="__No measures defined" measure="1" displayFolder="" count="0" hidden="1"/>
    <cacheHierarchy uniqueName="[Measures].[Recuento de Cobrada]" caption="Recuento de Cobrada" measure="1" displayFolder="" measureGroup="Sala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a de Monto total]" caption="Suma de Monto total" measure="1" displayFolder="" measureGroup="Sala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Recuento de Método de Pago]" caption="Recuento de Método de Pago" measure="1" displayFolder="" measureGroup="Sal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a de Propina]" caption="Suma de Propina" measure="1" displayFolder="" measureGroup="Sal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Recuento de Mesero Asignado]" caption="Recuento de Mesero Asignado" measure="1" displayFolder="" measureGroup="Sala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a de Ingresos]" caption="Suma de Ingresos" measure="1" displayFolder="" measureGroup="Sala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Recuento de Tipo de Servicio]" caption="Recuento de Tipo de Servicio" measure="1" displayFolder="" measureGroup="Sal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Promedio de Monto total]" caption="Promedio de Monto total" measure="1" displayFolder="" measureGroup="Sala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a de Número de Comensales]" caption="Suma de Número de Comensales" measure="1" displayFolder="" measureGroup="Sal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Promedio de Número de Comensales]" caption="Promedio de Número de Comensales" measure="1" displayFolder="" measureGroup="Sal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a de Propina real]" caption="Suma de Propina real" measure="1" displayFolder="" measureGroup="Sala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a de Coste total]" caption="Suma de Coste total" measure="1" displayFolder="" measureGroup="Sala" count="0" hidden="1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a de Tiempo de preparación (min)]" caption="Suma de Tiempo de preparación (min)" measure="1" displayFolder="" measureGroup="Sal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Promedio de Tiempo de preparación (min)]" caption="Promedio de Tiempo de preparación (min)" measure="1" displayFolder="" measureGroup="Sal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</cacheHierarchies>
  <kpis count="0"/>
  <dimensions count="2">
    <dimension measure="1" name="Measures" uniqueName="[Measures]" caption="Measures"/>
    <dimension name="Sala" uniqueName="[Sala]" caption="Sala"/>
  </dimensions>
  <measureGroups count="1">
    <measureGroup name="Sala" caption="Sala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ta María Llordén Alonso" refreshedDate="45565.57794664352" backgroundQuery="1" createdVersion="8" refreshedVersion="8" minRefreshableVersion="3" recordCount="0" supportSubquery="1" supportAdvancedDrill="1" xr:uid="{BEA28D77-6EBE-44F1-AE10-F1E00598E52C}">
  <cacheSource type="external" connectionId="1"/>
  <cacheFields count="2">
    <cacheField name="[Sala].[País de Origen].[País de Origen]" caption="País de Origen" numFmtId="0" hierarchy="13" level="1">
      <sharedItems count="11">
        <s v="Argentina"/>
        <s v="Bolivia"/>
        <s v="Brasil"/>
        <s v="Chile"/>
        <s v="Colombia"/>
        <s v="Ecuador"/>
        <s v="España"/>
        <s v="Paraguay"/>
        <s v="Perú"/>
        <s v="Uruguay"/>
        <s v="Venezuela"/>
      </sharedItems>
    </cacheField>
    <cacheField name="[Measures].[Suma de Ingresos]" caption="Suma de Ingresos" numFmtId="0" hierarchy="33" level="32767"/>
  </cacheFields>
  <cacheHierarchies count="42">
    <cacheHierarchy uniqueName="[Sala].[Número de Mesa]" caption="Número de Mesa" attribute="1" defaultMemberUniqueName="[Sala].[Número de Mesa].[All]" allUniqueName="[Sala].[Número de Mesa].[All]" dimensionUniqueName="[Sala]" displayFolder="" count="0" memberValueDatatype="20" unbalanced="0"/>
    <cacheHierarchy uniqueName="[Sala].[Nombre del Cliente]" caption="Nombre del Cliente" attribute="1" defaultMemberUniqueName="[Sala].[Nombre del Cliente].[All]" allUniqueName="[Sala].[Nombre del Cliente].[All]" dimensionUniqueName="[Sala]" displayFolder="" count="0" memberValueDatatype="130" unbalanced="0"/>
    <cacheHierarchy uniqueName="[Sala].[Número de Comensales]" caption="Número de Comensales" attribute="1" defaultMemberUniqueName="[Sala].[Número de Comensales].[All]" allUniqueName="[Sala].[Número de Comensales].[All]" dimensionUniqueName="[Sala]" displayFolder="" count="0" memberValueDatatype="20" unbalanced="0"/>
    <cacheHierarchy uniqueName="[Sala].[Fecha de Llegada]" caption="Fecha de Llegada" attribute="1" time="1" defaultMemberUniqueName="[Sala].[Fecha de Llegada].[All]" allUniqueName="[Sala].[Fecha de Llegada].[All]" dimensionUniqueName="[Sala]" displayFolder="" count="0" memberValueDatatype="7" unbalanced="0"/>
    <cacheHierarchy uniqueName="[Sala].[Hora de llegada]" caption="Hora de llegada" attribute="1" time="1" defaultMemberUniqueName="[Sala].[Hora de llegada].[All]" allUniqueName="[Sala].[Hora de llegada].[All]" dimensionUniqueName="[Sala]" displayFolder="" count="0" memberValueDatatype="7" unbalanced="0"/>
    <cacheHierarchy uniqueName="[Sala].[Fecha de Salida]" caption="Fecha de Salida" attribute="1" time="1" defaultMemberUniqueName="[Sala].[Fecha de Salida].[All]" allUniqueName="[Sala].[Fecha de Salida].[All]" dimensionUniqueName="[Sala]" displayFolder="" count="0" memberValueDatatype="7" unbalanced="0"/>
    <cacheHierarchy uniqueName="[Sala].[Hora de Salida]" caption="Hora de Salida" attribute="1" time="1" defaultMemberUniqueName="[Sala].[Hora de Salida].[All]" allUniqueName="[Sala].[Hora de Salida].[All]" dimensionUniqueName="[Sala]" displayFolder="" count="0" memberValueDatatype="7" unbalanced="0"/>
    <cacheHierarchy uniqueName="[Sala].[Mesero Asignado]" caption="Mesero Asignado" attribute="1" defaultMemberUniqueName="[Sala].[Mesero Asignado].[All]" allUniqueName="[Sala].[Mesero Asignado].[All]" dimensionUniqueName="[Sala]" displayFolder="" count="0" memberValueDatatype="130" unbalanced="0"/>
    <cacheHierarchy uniqueName="[Sala].[Tipo de Servicio]" caption="Tipo de Servicio" attribute="1" defaultMemberUniqueName="[Sala].[Tipo de Servicio].[All]" allUniqueName="[Sala].[Tipo de Servicio].[All]" dimensionUniqueName="[Sala]" displayFolder="" count="0" memberValueDatatype="130" unbalanced="0"/>
    <cacheHierarchy uniqueName="[Sala].[Método de Pago]" caption="Método de Pago" attribute="1" defaultMemberUniqueName="[Sala].[Método de Pago].[All]" allUniqueName="[Sala].[Método de Pago].[All]" dimensionUniqueName="[Sala]" displayFolder="" count="0" memberValueDatatype="130" unbalanced="0"/>
    <cacheHierarchy uniqueName="[Sala].[Propina]" caption="Propina" attribute="1" defaultMemberUniqueName="[Sala].[Propina].[All]" allUniqueName="[Sala].[Propina].[All]" dimensionUniqueName="[Sala]" displayFolder="" count="0" memberValueDatatype="5" unbalanced="0"/>
    <cacheHierarchy uniqueName="[Sala].[Estado de la Mesa]" caption="Estado de la Mesa" attribute="1" defaultMemberUniqueName="[Sala].[Estado de la Mesa].[All]" allUniqueName="[Sala].[Estado de la Mesa].[All]" dimensionUniqueName="[Sala]" displayFolder="" count="0" memberValueDatatype="130" unbalanced="0"/>
    <cacheHierarchy uniqueName="[Sala].[Número de Orden]" caption="Número de Orden" attribute="1" defaultMemberUniqueName="[Sala].[Número de Orden].[All]" allUniqueName="[Sala].[Número de Orden].[All]" dimensionUniqueName="[Sala]" displayFolder="" count="0" memberValueDatatype="20" unbalanced="0"/>
    <cacheHierarchy uniqueName="[Sala].[País de Origen]" caption="País de Origen" attribute="1" defaultMemberUniqueName="[Sala].[País de Origen].[All]" allUniqueName="[Sala].[País de Origen].[All]" dimensionUniqueName="[Sala]" displayFolder="" count="2" memberValueDatatype="130" unbalanced="0">
      <fieldsUsage count="2">
        <fieldUsage x="-1"/>
        <fieldUsage x="0"/>
      </fieldsUsage>
    </cacheHierarchy>
    <cacheHierarchy uniqueName="[Sala].[Tiempo de permanencia]" caption="Tiempo de permanencia" attribute="1" time="1" defaultMemberUniqueName="[Sala].[Tiempo de permanencia].[All]" allUniqueName="[Sala].[Tiempo de permanencia].[All]" dimensionUniqueName="[Sala]" displayFolder="" count="0" memberValueDatatype="7" unbalanced="0"/>
    <cacheHierarchy uniqueName="[Sala].[Tiempo de preparación (min)]" caption="Tiempo de preparación (min)" attribute="1" defaultMemberUniqueName="[Sala].[Tiempo de preparación (min)].[All]" allUniqueName="[Sala].[Tiempo de preparación (min)].[All]" dimensionUniqueName="[Sala]" displayFolder="" count="0" memberValueDatatype="20" unbalanced="0"/>
    <cacheHierarchy uniqueName="[Sala].[Tiempo de preparación (h)]" caption="Tiempo de preparación (h)" attribute="1" defaultMemberUniqueName="[Sala].[Tiempo de preparación (h)].[All]" allUniqueName="[Sala].[Tiempo de preparación (h)].[All]" dimensionUniqueName="[Sala]" displayFolder="" count="0" memberValueDatatype="130" unbalanced="0"/>
    <cacheHierarchy uniqueName="[Sala].[Tiempo de degustación]" caption="Tiempo de degustación" attribute="1" time="1" defaultMemberUniqueName="[Sala].[Tiempo de degustación].[All]" allUniqueName="[Sala].[Tiempo de degustación].[All]" dimensionUniqueName="[Sala]" displayFolder="" count="0" memberValueDatatype="7" unbalanced="0"/>
    <cacheHierarchy uniqueName="[Sala].[Monto total]" caption="Monto total" attribute="1" defaultMemberUniqueName="[Sala].[Monto total].[All]" allUniqueName="[Sala].[Monto total].[All]" dimensionUniqueName="[Sala]" displayFolder="" count="0" memberValueDatatype="20" unbalanced="0"/>
    <cacheHierarchy uniqueName="[Sala].[Coste total]" caption="Coste total" attribute="1" defaultMemberUniqueName="[Sala].[Coste total].[All]" allUniqueName="[Sala].[Coste total].[All]" dimensionUniqueName="[Sala]" displayFolder="" count="0" memberValueDatatype="20" unbalanced="0"/>
    <cacheHierarchy uniqueName="[Sala].[Fecha factura]" caption="Fecha factura" attribute="1" time="1" defaultMemberUniqueName="[Sala].[Fecha factura].[All]" allUniqueName="[Sala].[Fecha factura].[All]" dimensionUniqueName="[Sala]" displayFolder="" count="0" memberValueDatatype="7" unbalanced="0"/>
    <cacheHierarchy uniqueName="[Sala].[Día semana]" caption="Día semana" attribute="1" defaultMemberUniqueName="[Sala].[Día semana].[All]" allUniqueName="[Sala].[Día semana].[All]" dimensionUniqueName="[Sala]" displayFolder="" count="0" memberValueDatatype="130" unbalanced="0"/>
    <cacheHierarchy uniqueName="[Sala].[Cobrada]" caption="Cobrada" attribute="1" defaultMemberUniqueName="[Sala].[Cobrada].[All]" allUniqueName="[Sala].[Cobrada].[All]" dimensionUniqueName="[Sala]" displayFolder="" count="0" memberValueDatatype="130" unbalanced="0"/>
    <cacheHierarchy uniqueName="[Sala].[Método pago real]" caption="Método pago real" attribute="1" defaultMemberUniqueName="[Sala].[Método pago real].[All]" allUniqueName="[Sala].[Método pago real].[All]" dimensionUniqueName="[Sala]" displayFolder="" count="0" memberValueDatatype="130" unbalanced="0"/>
    <cacheHierarchy uniqueName="[Sala].[Propina real]" caption="Propina real" attribute="1" defaultMemberUniqueName="[Sala].[Propina real].[All]" allUniqueName="[Sala].[Propina real].[All]" dimensionUniqueName="[Sala]" displayFolder="" count="0" memberValueDatatype="5" unbalanced="0"/>
    <cacheHierarchy uniqueName="[Sala].[Ingresos]" caption="Ingresos" attribute="1" defaultMemberUniqueName="[Sala].[Ingresos].[All]" allUniqueName="[Sala].[Ingresos].[All]" dimensionUniqueName="[Sala]" displayFolder="" count="0" memberValueDatatype="5" unbalanced="0"/>
    <cacheHierarchy uniqueName="[Measures].[__XL_Count Sala]" caption="__XL_Count Sala" measure="1" displayFolder="" measureGroup="Sala" count="0" hidden="1"/>
    <cacheHierarchy uniqueName="[Measures].[__No measures defined]" caption="__No measures defined" measure="1" displayFolder="" count="0" hidden="1"/>
    <cacheHierarchy uniqueName="[Measures].[Recuento de Cobrada]" caption="Recuento de Cobrada" measure="1" displayFolder="" measureGroup="Sala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a de Monto total]" caption="Suma de Monto total" measure="1" displayFolder="" measureGroup="Sala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Recuento de Método de Pago]" caption="Recuento de Método de Pago" measure="1" displayFolder="" measureGroup="Sal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a de Propina]" caption="Suma de Propina" measure="1" displayFolder="" measureGroup="Sal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Recuento de Mesero Asignado]" caption="Recuento de Mesero Asignado" measure="1" displayFolder="" measureGroup="Sal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a de Ingresos]" caption="Suma de Ingresos" measure="1" displayFolder="" measureGroup="Sal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Recuento de Tipo de Servicio]" caption="Recuento de Tipo de Servicio" measure="1" displayFolder="" measureGroup="Sal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Promedio de Monto total]" caption="Promedio de Monto total" measure="1" displayFolder="" measureGroup="Sala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a de Número de Comensales]" caption="Suma de Número de Comensales" measure="1" displayFolder="" measureGroup="Sal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Promedio de Número de Comensales]" caption="Promedio de Número de Comensales" measure="1" displayFolder="" measureGroup="Sal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a de Propina real]" caption="Suma de Propina real" measure="1" displayFolder="" measureGroup="Sala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a de Coste total]" caption="Suma de Coste total" measure="1" displayFolder="" measureGroup="Sala" count="0" hidden="1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a de Tiempo de preparación (min)]" caption="Suma de Tiempo de preparación (min)" measure="1" displayFolder="" measureGroup="Sal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Promedio de Tiempo de preparación (min)]" caption="Promedio de Tiempo de preparación (min)" measure="1" displayFolder="" measureGroup="Sal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</cacheHierarchies>
  <kpis count="0"/>
  <dimensions count="2">
    <dimension measure="1" name="Measures" uniqueName="[Measures]" caption="Measures"/>
    <dimension name="Sala" uniqueName="[Sala]" caption="Sala"/>
  </dimensions>
  <measureGroups count="1">
    <measureGroup name="Sala" caption="Sala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ta María Llordén Alonso" refreshedDate="45565.577947800928" backgroundQuery="1" createdVersion="8" refreshedVersion="8" minRefreshableVersion="3" recordCount="0" supportSubquery="1" supportAdvancedDrill="1" xr:uid="{2F34ED76-8709-44C1-AADA-CF89D3FCB584}">
  <cacheSource type="external" connectionId="1"/>
  <cacheFields count="2">
    <cacheField name="[Sala].[Mesero Asignado].[Mesero Asignado]" caption="Mesero Asignado" numFmtId="0" hierarchy="7" level="1">
      <sharedItems count="5">
        <s v="Mesero_1"/>
        <s v="Mesero_2"/>
        <s v="Mesero_3"/>
        <s v="Mesero_4"/>
        <s v="Mesero_5"/>
      </sharedItems>
    </cacheField>
    <cacheField name="[Measures].[Suma de Propina real]" caption="Suma de Propina real" numFmtId="0" hierarchy="38" level="32767"/>
  </cacheFields>
  <cacheHierarchies count="42">
    <cacheHierarchy uniqueName="[Sala].[Número de Mesa]" caption="Número de Mesa" attribute="1" defaultMemberUniqueName="[Sala].[Número de Mesa].[All]" allUniqueName="[Sala].[Número de Mesa].[All]" dimensionUniqueName="[Sala]" displayFolder="" count="0" memberValueDatatype="20" unbalanced="0"/>
    <cacheHierarchy uniqueName="[Sala].[Nombre del Cliente]" caption="Nombre del Cliente" attribute="1" defaultMemberUniqueName="[Sala].[Nombre del Cliente].[All]" allUniqueName="[Sala].[Nombre del Cliente].[All]" dimensionUniqueName="[Sala]" displayFolder="" count="0" memberValueDatatype="130" unbalanced="0"/>
    <cacheHierarchy uniqueName="[Sala].[Número de Comensales]" caption="Número de Comensales" attribute="1" defaultMemberUniqueName="[Sala].[Número de Comensales].[All]" allUniqueName="[Sala].[Número de Comensales].[All]" dimensionUniqueName="[Sala]" displayFolder="" count="0" memberValueDatatype="20" unbalanced="0"/>
    <cacheHierarchy uniqueName="[Sala].[Fecha de Llegada]" caption="Fecha de Llegada" attribute="1" time="1" defaultMemberUniqueName="[Sala].[Fecha de Llegada].[All]" allUniqueName="[Sala].[Fecha de Llegada].[All]" dimensionUniqueName="[Sala]" displayFolder="" count="0" memberValueDatatype="7" unbalanced="0"/>
    <cacheHierarchy uniqueName="[Sala].[Hora de llegada]" caption="Hora de llegada" attribute="1" time="1" defaultMemberUniqueName="[Sala].[Hora de llegada].[All]" allUniqueName="[Sala].[Hora de llegada].[All]" dimensionUniqueName="[Sala]" displayFolder="" count="0" memberValueDatatype="7" unbalanced="0"/>
    <cacheHierarchy uniqueName="[Sala].[Fecha de Salida]" caption="Fecha de Salida" attribute="1" time="1" defaultMemberUniqueName="[Sala].[Fecha de Salida].[All]" allUniqueName="[Sala].[Fecha de Salida].[All]" dimensionUniqueName="[Sala]" displayFolder="" count="0" memberValueDatatype="7" unbalanced="0"/>
    <cacheHierarchy uniqueName="[Sala].[Hora de Salida]" caption="Hora de Salida" attribute="1" time="1" defaultMemberUniqueName="[Sala].[Hora de Salida].[All]" allUniqueName="[Sala].[Hora de Salida].[All]" dimensionUniqueName="[Sala]" displayFolder="" count="0" memberValueDatatype="7" unbalanced="0"/>
    <cacheHierarchy uniqueName="[Sala].[Mesero Asignado]" caption="Mesero Asignado" attribute="1" defaultMemberUniqueName="[Sala].[Mesero Asignado].[All]" allUniqueName="[Sala].[Mesero Asignado].[All]" dimensionUniqueName="[Sala]" displayFolder="" count="2" memberValueDatatype="130" unbalanced="0">
      <fieldsUsage count="2">
        <fieldUsage x="-1"/>
        <fieldUsage x="0"/>
      </fieldsUsage>
    </cacheHierarchy>
    <cacheHierarchy uniqueName="[Sala].[Tipo de Servicio]" caption="Tipo de Servicio" attribute="1" defaultMemberUniqueName="[Sala].[Tipo de Servicio].[All]" allUniqueName="[Sala].[Tipo de Servicio].[All]" dimensionUniqueName="[Sala]" displayFolder="" count="0" memberValueDatatype="130" unbalanced="0"/>
    <cacheHierarchy uniqueName="[Sala].[Método de Pago]" caption="Método de Pago" attribute="1" defaultMemberUniqueName="[Sala].[Método de Pago].[All]" allUniqueName="[Sala].[Método de Pago].[All]" dimensionUniqueName="[Sala]" displayFolder="" count="0" memberValueDatatype="130" unbalanced="0"/>
    <cacheHierarchy uniqueName="[Sala].[Propina]" caption="Propina" attribute="1" defaultMemberUniqueName="[Sala].[Propina].[All]" allUniqueName="[Sala].[Propina].[All]" dimensionUniqueName="[Sala]" displayFolder="" count="0" memberValueDatatype="5" unbalanced="0"/>
    <cacheHierarchy uniqueName="[Sala].[Estado de la Mesa]" caption="Estado de la Mesa" attribute="1" defaultMemberUniqueName="[Sala].[Estado de la Mesa].[All]" allUniqueName="[Sala].[Estado de la Mesa].[All]" dimensionUniqueName="[Sala]" displayFolder="" count="0" memberValueDatatype="130" unbalanced="0"/>
    <cacheHierarchy uniqueName="[Sala].[Número de Orden]" caption="Número de Orden" attribute="1" defaultMemberUniqueName="[Sala].[Número de Orden].[All]" allUniqueName="[Sala].[Número de Orden].[All]" dimensionUniqueName="[Sala]" displayFolder="" count="0" memberValueDatatype="20" unbalanced="0"/>
    <cacheHierarchy uniqueName="[Sala].[País de Origen]" caption="País de Origen" attribute="1" defaultMemberUniqueName="[Sala].[País de Origen].[All]" allUniqueName="[Sala].[País de Origen].[All]" dimensionUniqueName="[Sala]" displayFolder="" count="0" memberValueDatatype="130" unbalanced="0"/>
    <cacheHierarchy uniqueName="[Sala].[Tiempo de permanencia]" caption="Tiempo de permanencia" attribute="1" time="1" defaultMemberUniqueName="[Sala].[Tiempo de permanencia].[All]" allUniqueName="[Sala].[Tiempo de permanencia].[All]" dimensionUniqueName="[Sala]" displayFolder="" count="0" memberValueDatatype="7" unbalanced="0"/>
    <cacheHierarchy uniqueName="[Sala].[Tiempo de preparación (min)]" caption="Tiempo de preparación (min)" attribute="1" defaultMemberUniqueName="[Sala].[Tiempo de preparación (min)].[All]" allUniqueName="[Sala].[Tiempo de preparación (min)].[All]" dimensionUniqueName="[Sala]" displayFolder="" count="0" memberValueDatatype="20" unbalanced="0"/>
    <cacheHierarchy uniqueName="[Sala].[Tiempo de preparación (h)]" caption="Tiempo de preparación (h)" attribute="1" defaultMemberUniqueName="[Sala].[Tiempo de preparación (h)].[All]" allUniqueName="[Sala].[Tiempo de preparación (h)].[All]" dimensionUniqueName="[Sala]" displayFolder="" count="0" memberValueDatatype="130" unbalanced="0"/>
    <cacheHierarchy uniqueName="[Sala].[Tiempo de degustación]" caption="Tiempo de degustación" attribute="1" time="1" defaultMemberUniqueName="[Sala].[Tiempo de degustación].[All]" allUniqueName="[Sala].[Tiempo de degustación].[All]" dimensionUniqueName="[Sala]" displayFolder="" count="0" memberValueDatatype="7" unbalanced="0"/>
    <cacheHierarchy uniqueName="[Sala].[Monto total]" caption="Monto total" attribute="1" defaultMemberUniqueName="[Sala].[Monto total].[All]" allUniqueName="[Sala].[Monto total].[All]" dimensionUniqueName="[Sala]" displayFolder="" count="0" memberValueDatatype="20" unbalanced="0"/>
    <cacheHierarchy uniqueName="[Sala].[Coste total]" caption="Coste total" attribute="1" defaultMemberUniqueName="[Sala].[Coste total].[All]" allUniqueName="[Sala].[Coste total].[All]" dimensionUniqueName="[Sala]" displayFolder="" count="0" memberValueDatatype="20" unbalanced="0"/>
    <cacheHierarchy uniqueName="[Sala].[Fecha factura]" caption="Fecha factura" attribute="1" time="1" defaultMemberUniqueName="[Sala].[Fecha factura].[All]" allUniqueName="[Sala].[Fecha factura].[All]" dimensionUniqueName="[Sala]" displayFolder="" count="0" memberValueDatatype="7" unbalanced="0"/>
    <cacheHierarchy uniqueName="[Sala].[Día semana]" caption="Día semana" attribute="1" defaultMemberUniqueName="[Sala].[Día semana].[All]" allUniqueName="[Sala].[Día semana].[All]" dimensionUniqueName="[Sala]" displayFolder="" count="0" memberValueDatatype="130" unbalanced="0"/>
    <cacheHierarchy uniqueName="[Sala].[Cobrada]" caption="Cobrada" attribute="1" defaultMemberUniqueName="[Sala].[Cobrada].[All]" allUniqueName="[Sala].[Cobrada].[All]" dimensionUniqueName="[Sala]" displayFolder="" count="0" memberValueDatatype="130" unbalanced="0"/>
    <cacheHierarchy uniqueName="[Sala].[Método pago real]" caption="Método pago real" attribute="1" defaultMemberUniqueName="[Sala].[Método pago real].[All]" allUniqueName="[Sala].[Método pago real].[All]" dimensionUniqueName="[Sala]" displayFolder="" count="0" memberValueDatatype="130" unbalanced="0"/>
    <cacheHierarchy uniqueName="[Sala].[Propina real]" caption="Propina real" attribute="1" defaultMemberUniqueName="[Sala].[Propina real].[All]" allUniqueName="[Sala].[Propina real].[All]" dimensionUniqueName="[Sala]" displayFolder="" count="0" memberValueDatatype="5" unbalanced="0"/>
    <cacheHierarchy uniqueName="[Sala].[Ingresos]" caption="Ingresos" attribute="1" defaultMemberUniqueName="[Sala].[Ingresos].[All]" allUniqueName="[Sala].[Ingresos].[All]" dimensionUniqueName="[Sala]" displayFolder="" count="0" memberValueDatatype="5" unbalanced="0"/>
    <cacheHierarchy uniqueName="[Measures].[__XL_Count Sala]" caption="__XL_Count Sala" measure="1" displayFolder="" measureGroup="Sala" count="0" hidden="1"/>
    <cacheHierarchy uniqueName="[Measures].[__No measures defined]" caption="__No measures defined" measure="1" displayFolder="" count="0" hidden="1"/>
    <cacheHierarchy uniqueName="[Measures].[Recuento de Cobrada]" caption="Recuento de Cobrada" measure="1" displayFolder="" measureGroup="Sala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a de Monto total]" caption="Suma de Monto total" measure="1" displayFolder="" measureGroup="Sala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Recuento de Método de Pago]" caption="Recuento de Método de Pago" measure="1" displayFolder="" measureGroup="Sal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a de Propina]" caption="Suma de Propina" measure="1" displayFolder="" measureGroup="Sal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Recuento de Mesero Asignado]" caption="Recuento de Mesero Asignado" measure="1" displayFolder="" measureGroup="Sal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a de Ingresos]" caption="Suma de Ingresos" measure="1" displayFolder="" measureGroup="Sala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Recuento de Tipo de Servicio]" caption="Recuento de Tipo de Servicio" measure="1" displayFolder="" measureGroup="Sal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Promedio de Monto total]" caption="Promedio de Monto total" measure="1" displayFolder="" measureGroup="Sala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a de Número de Comensales]" caption="Suma de Número de Comensales" measure="1" displayFolder="" measureGroup="Sal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Promedio de Número de Comensales]" caption="Promedio de Número de Comensales" measure="1" displayFolder="" measureGroup="Sal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a de Propina real]" caption="Suma de Propina real" measure="1" displayFolder="" measureGroup="Sal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a de Coste total]" caption="Suma de Coste total" measure="1" displayFolder="" measureGroup="Sala" count="0" hidden="1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a de Tiempo de preparación (min)]" caption="Suma de Tiempo de preparación (min)" measure="1" displayFolder="" measureGroup="Sal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Promedio de Tiempo de preparación (min)]" caption="Promedio de Tiempo de preparación (min)" measure="1" displayFolder="" measureGroup="Sal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</cacheHierarchies>
  <kpis count="0"/>
  <dimensions count="2">
    <dimension measure="1" name="Measures" uniqueName="[Measures]" caption="Measures"/>
    <dimension name="Sala" uniqueName="[Sala]" caption="Sala"/>
  </dimensions>
  <measureGroups count="1">
    <measureGroup name="Sala" caption="Sala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ta María Llordén Alonso" refreshedDate="45565.577948495367" createdVersion="8" refreshedVersion="8" minRefreshableVersion="3" recordCount="767" xr:uid="{F51E39E4-1280-4E49-8B2E-12792345C64C}">
  <cacheSource type="worksheet">
    <worksheetSource name="Sala"/>
  </cacheSource>
  <cacheFields count="26">
    <cacheField name="Número de Mesa" numFmtId="0">
      <sharedItems containsSemiMixedTypes="0" containsString="0" containsNumber="1" containsInteger="1" minValue="1" maxValue="20"/>
    </cacheField>
    <cacheField name="Nombre del Cliente" numFmtId="0">
      <sharedItems/>
    </cacheField>
    <cacheField name="Número de Comensales" numFmtId="0">
      <sharedItems containsSemiMixedTypes="0" containsString="0" containsNumber="1" containsInteger="1" minValue="1" maxValue="6"/>
    </cacheField>
    <cacheField name="Fecha de Llegada" numFmtId="14">
      <sharedItems containsSemiMixedTypes="0" containsNonDate="0" containsDate="1" containsString="0" minDate="2023-04-01T00:00:00" maxDate="2023-04-08T00:00:00"/>
    </cacheField>
    <cacheField name="Hora de llegada" numFmtId="164">
      <sharedItems containsSemiMixedTypes="0" containsNonDate="0" containsDate="1" containsString="0" minDate="1899-12-30T00:00:00" maxDate="1899-12-30T03:59:00"/>
    </cacheField>
    <cacheField name="Fecha de Salida" numFmtId="14">
      <sharedItems containsSemiMixedTypes="0" containsNonDate="0" containsDate="1" containsString="0" minDate="2023-04-01T00:00:00" maxDate="2023-04-08T00:00:00"/>
    </cacheField>
    <cacheField name="Hora de Salida" numFmtId="164">
      <sharedItems containsSemiMixedTypes="0" containsNonDate="0" containsDate="1" containsString="0" minDate="1899-12-30T01:04:00" maxDate="1899-12-30T07:51:00"/>
    </cacheField>
    <cacheField name="Mesero Asignado" numFmtId="22">
      <sharedItems containsNonDate="0"/>
    </cacheField>
    <cacheField name="Tipo de Servicio" numFmtId="0">
      <sharedItems count="3">
        <s v="Almuerzo"/>
        <s v="Desayuno"/>
        <s v="Cena"/>
      </sharedItems>
    </cacheField>
    <cacheField name="Método de Pago" numFmtId="0">
      <sharedItems/>
    </cacheField>
    <cacheField name="Propina" numFmtId="44">
      <sharedItems containsSemiMixedTypes="0" containsString="0" containsNumber="1" minValue="10.029999999999999" maxValue="49.88"/>
    </cacheField>
    <cacheField name="Estado de la Mesa" numFmtId="0">
      <sharedItems/>
    </cacheField>
    <cacheField name="Número de Orden" numFmtId="0">
      <sharedItems containsSemiMixedTypes="0" containsString="0" containsNumber="1" containsInteger="1" minValue="1" maxValue="767"/>
    </cacheField>
    <cacheField name="País de Origen" numFmtId="0">
      <sharedItems/>
    </cacheField>
    <cacheField name="Tiempo de permanencia" numFmtId="164">
      <sharedItems containsSemiMixedTypes="0" containsNonDate="0" containsDate="1" containsString="0" minDate="1899-12-30T01:01:00" maxDate="1899-12-30T04:14:00"/>
    </cacheField>
    <cacheField name="Tiempo de preparación (min)" numFmtId="0">
      <sharedItems containsSemiMixedTypes="0" containsString="0" containsNumber="1" containsInteger="1" minValue="5" maxValue="203"/>
    </cacheField>
    <cacheField name="Tiempo de preparación (h)" numFmtId="164">
      <sharedItems containsNonDate="0"/>
    </cacheField>
    <cacheField name="Tiempo de degustación" numFmtId="164">
      <sharedItems containsSemiMixedTypes="0" containsNonDate="0" containsDate="1" containsString="0" minDate="1899-12-30T00:00:00" maxDate="1899-12-30T04:04:00"/>
    </cacheField>
    <cacheField name="Monto total" numFmtId="166">
      <sharedItems containsSemiMixedTypes="0" containsString="0" containsNumber="1" containsInteger="1" minValue="18" maxValue="360"/>
    </cacheField>
    <cacheField name="Coste total" numFmtId="166">
      <sharedItems containsSemiMixedTypes="0" containsString="0" containsNumber="1" containsInteger="1" minValue="10" maxValue="86"/>
    </cacheField>
    <cacheField name="Fecha factura" numFmtId="14">
      <sharedItems containsSemiMixedTypes="0" containsNonDate="0" containsDate="1" containsString="0" minDate="2023-04-01T00:00:00" maxDate="2023-04-08T00:00:00"/>
    </cacheField>
    <cacheField name="Día semana" numFmtId="165">
      <sharedItems containsNonDate="0" count="7">
        <s v="sábado"/>
        <s v="domingo"/>
        <s v="lunes"/>
        <s v="martes"/>
        <s v="miércoles"/>
        <s v="jueves"/>
        <s v="viernes"/>
      </sharedItems>
    </cacheField>
    <cacheField name="Cobrada" numFmtId="0">
      <sharedItems count="2">
        <s v="Sí"/>
        <s v="No"/>
      </sharedItems>
    </cacheField>
    <cacheField name="Método pago real" numFmtId="0">
      <sharedItems/>
    </cacheField>
    <cacheField name="Propina real" numFmtId="0">
      <sharedItems containsSemiMixedTypes="0" containsString="0" containsNumber="1" minValue="0" maxValue="49.88"/>
    </cacheField>
    <cacheField name="Ingresos" numFmtId="0">
      <sharedItems containsSemiMixedTypes="0" containsString="0" containsNumber="1" minValue="0" maxValue="395.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ta María Llordén Alonso" refreshedDate="45565.581426273151" backgroundQuery="1" createdVersion="8" refreshedVersion="8" minRefreshableVersion="3" recordCount="0" supportSubquery="1" supportAdvancedDrill="1" xr:uid="{B0A4A56E-E8CB-493C-808F-8A642EFDA4C0}">
  <cacheSource type="external" connectionId="1"/>
  <cacheFields count="2">
    <cacheField name="[Measures].[Recuento de Método de Pago]" caption="Recuento de Método de Pago" numFmtId="0" hierarchy="30" level="32767"/>
    <cacheField name="[Sala].[Método pago real].[Método pago real]" caption="Método pago real" numFmtId="0" hierarchy="23" level="1">
      <sharedItems count="4">
        <s v="Efectivo"/>
        <s v="Impago"/>
        <s v="Tarjeta de crédito"/>
        <s v="Tarjeta de débito"/>
      </sharedItems>
    </cacheField>
  </cacheFields>
  <cacheHierarchies count="42">
    <cacheHierarchy uniqueName="[Sala].[Número de Mesa]" caption="Número de Mesa" attribute="1" defaultMemberUniqueName="[Sala].[Número de Mesa].[All]" allUniqueName="[Sala].[Número de Mesa].[All]" dimensionUniqueName="[Sala]" displayFolder="" count="0" memberValueDatatype="20" unbalanced="0"/>
    <cacheHierarchy uniqueName="[Sala].[Nombre del Cliente]" caption="Nombre del Cliente" attribute="1" defaultMemberUniqueName="[Sala].[Nombre del Cliente].[All]" allUniqueName="[Sala].[Nombre del Cliente].[All]" dimensionUniqueName="[Sala]" displayFolder="" count="0" memberValueDatatype="130" unbalanced="0"/>
    <cacheHierarchy uniqueName="[Sala].[Número de Comensales]" caption="Número de Comensales" attribute="1" defaultMemberUniqueName="[Sala].[Número de Comensales].[All]" allUniqueName="[Sala].[Número de Comensales].[All]" dimensionUniqueName="[Sala]" displayFolder="" count="0" memberValueDatatype="20" unbalanced="0"/>
    <cacheHierarchy uniqueName="[Sala].[Fecha de Llegada]" caption="Fecha de Llegada" attribute="1" time="1" defaultMemberUniqueName="[Sala].[Fecha de Llegada].[All]" allUniqueName="[Sala].[Fecha de Llegada].[All]" dimensionUniqueName="[Sala]" displayFolder="" count="0" memberValueDatatype="7" unbalanced="0"/>
    <cacheHierarchy uniqueName="[Sala].[Hora de llegada]" caption="Hora de llegada" attribute="1" time="1" defaultMemberUniqueName="[Sala].[Hora de llegada].[All]" allUniqueName="[Sala].[Hora de llegada].[All]" dimensionUniqueName="[Sala]" displayFolder="" count="0" memberValueDatatype="7" unbalanced="0"/>
    <cacheHierarchy uniqueName="[Sala].[Fecha de Salida]" caption="Fecha de Salida" attribute="1" time="1" defaultMemberUniqueName="[Sala].[Fecha de Salida].[All]" allUniqueName="[Sala].[Fecha de Salida].[All]" dimensionUniqueName="[Sala]" displayFolder="" count="0" memberValueDatatype="7" unbalanced="0"/>
    <cacheHierarchy uniqueName="[Sala].[Hora de Salida]" caption="Hora de Salida" attribute="1" time="1" defaultMemberUniqueName="[Sala].[Hora de Salida].[All]" allUniqueName="[Sala].[Hora de Salida].[All]" dimensionUniqueName="[Sala]" displayFolder="" count="0" memberValueDatatype="7" unbalanced="0"/>
    <cacheHierarchy uniqueName="[Sala].[Mesero Asignado]" caption="Mesero Asignado" attribute="1" defaultMemberUniqueName="[Sala].[Mesero Asignado].[All]" allUniqueName="[Sala].[Mesero Asignado].[All]" dimensionUniqueName="[Sala]" displayFolder="" count="0" memberValueDatatype="130" unbalanced="0"/>
    <cacheHierarchy uniqueName="[Sala].[Tipo de Servicio]" caption="Tipo de Servicio" attribute="1" defaultMemberUniqueName="[Sala].[Tipo de Servicio].[All]" allUniqueName="[Sala].[Tipo de Servicio].[All]" dimensionUniqueName="[Sala]" displayFolder="" count="0" memberValueDatatype="130" unbalanced="0"/>
    <cacheHierarchy uniqueName="[Sala].[Método de Pago]" caption="Método de Pago" attribute="1" defaultMemberUniqueName="[Sala].[Método de Pago].[All]" allUniqueName="[Sala].[Método de Pago].[All]" dimensionUniqueName="[Sala]" displayFolder="" count="2" memberValueDatatype="130" unbalanced="0"/>
    <cacheHierarchy uniqueName="[Sala].[Propina]" caption="Propina" attribute="1" defaultMemberUniqueName="[Sala].[Propina].[All]" allUniqueName="[Sala].[Propina].[All]" dimensionUniqueName="[Sala]" displayFolder="" count="0" memberValueDatatype="5" unbalanced="0"/>
    <cacheHierarchy uniqueName="[Sala].[Estado de la Mesa]" caption="Estado de la Mesa" attribute="1" defaultMemberUniqueName="[Sala].[Estado de la Mesa].[All]" allUniqueName="[Sala].[Estado de la Mesa].[All]" dimensionUniqueName="[Sala]" displayFolder="" count="0" memberValueDatatype="130" unbalanced="0"/>
    <cacheHierarchy uniqueName="[Sala].[Número de Orden]" caption="Número de Orden" attribute="1" defaultMemberUniqueName="[Sala].[Número de Orden].[All]" allUniqueName="[Sala].[Número de Orden].[All]" dimensionUniqueName="[Sala]" displayFolder="" count="0" memberValueDatatype="20" unbalanced="0"/>
    <cacheHierarchy uniqueName="[Sala].[País de Origen]" caption="País de Origen" attribute="1" defaultMemberUniqueName="[Sala].[País de Origen].[All]" allUniqueName="[Sala].[País de Origen].[All]" dimensionUniqueName="[Sala]" displayFolder="" count="0" memberValueDatatype="130" unbalanced="0"/>
    <cacheHierarchy uniqueName="[Sala].[Tiempo de permanencia]" caption="Tiempo de permanencia" attribute="1" time="1" defaultMemberUniqueName="[Sala].[Tiempo de permanencia].[All]" allUniqueName="[Sala].[Tiempo de permanencia].[All]" dimensionUniqueName="[Sala]" displayFolder="" count="0" memberValueDatatype="7" unbalanced="0"/>
    <cacheHierarchy uniqueName="[Sala].[Tiempo de preparación (min)]" caption="Tiempo de preparación (min)" attribute="1" defaultMemberUniqueName="[Sala].[Tiempo de preparación (min)].[All]" allUniqueName="[Sala].[Tiempo de preparación (min)].[All]" dimensionUniqueName="[Sala]" displayFolder="" count="0" memberValueDatatype="20" unbalanced="0"/>
    <cacheHierarchy uniqueName="[Sala].[Tiempo de preparación (h)]" caption="Tiempo de preparación (h)" attribute="1" defaultMemberUniqueName="[Sala].[Tiempo de preparación (h)].[All]" allUniqueName="[Sala].[Tiempo de preparación (h)].[All]" dimensionUniqueName="[Sala]" displayFolder="" count="0" memberValueDatatype="130" unbalanced="0"/>
    <cacheHierarchy uniqueName="[Sala].[Tiempo de degustación]" caption="Tiempo de degustación" attribute="1" time="1" defaultMemberUniqueName="[Sala].[Tiempo de degustación].[All]" allUniqueName="[Sala].[Tiempo de degustación].[All]" dimensionUniqueName="[Sala]" displayFolder="" count="0" memberValueDatatype="7" unbalanced="0"/>
    <cacheHierarchy uniqueName="[Sala].[Monto total]" caption="Monto total" attribute="1" defaultMemberUniqueName="[Sala].[Monto total].[All]" allUniqueName="[Sala].[Monto total].[All]" dimensionUniqueName="[Sala]" displayFolder="" count="0" memberValueDatatype="20" unbalanced="0"/>
    <cacheHierarchy uniqueName="[Sala].[Coste total]" caption="Coste total" attribute="1" defaultMemberUniqueName="[Sala].[Coste total].[All]" allUniqueName="[Sala].[Coste total].[All]" dimensionUniqueName="[Sala]" displayFolder="" count="0" memberValueDatatype="20" unbalanced="0"/>
    <cacheHierarchy uniqueName="[Sala].[Fecha factura]" caption="Fecha factura" attribute="1" time="1" defaultMemberUniqueName="[Sala].[Fecha factura].[All]" allUniqueName="[Sala].[Fecha factura].[All]" dimensionUniqueName="[Sala]" displayFolder="" count="0" memberValueDatatype="7" unbalanced="0"/>
    <cacheHierarchy uniqueName="[Sala].[Día semana]" caption="Día semana" attribute="1" defaultMemberUniqueName="[Sala].[Día semana].[All]" allUniqueName="[Sala].[Día semana].[All]" dimensionUniqueName="[Sala]" displayFolder="" count="0" memberValueDatatype="130" unbalanced="0"/>
    <cacheHierarchy uniqueName="[Sala].[Cobrada]" caption="Cobrada" attribute="1" defaultMemberUniqueName="[Sala].[Cobrada].[All]" allUniqueName="[Sala].[Cobrada].[All]" dimensionUniqueName="[Sala]" displayFolder="" count="0" memberValueDatatype="130" unbalanced="0"/>
    <cacheHierarchy uniqueName="[Sala].[Método pago real]" caption="Método pago real" attribute="1" defaultMemberUniqueName="[Sala].[Método pago real].[All]" allUniqueName="[Sala].[Método pago real].[All]" dimensionUniqueName="[Sala]" displayFolder="" count="2" memberValueDatatype="130" unbalanced="0">
      <fieldsUsage count="2">
        <fieldUsage x="-1"/>
        <fieldUsage x="1"/>
      </fieldsUsage>
    </cacheHierarchy>
    <cacheHierarchy uniqueName="[Sala].[Propina real]" caption="Propina real" attribute="1" defaultMemberUniqueName="[Sala].[Propina real].[All]" allUniqueName="[Sala].[Propina real].[All]" dimensionUniqueName="[Sala]" displayFolder="" count="0" memberValueDatatype="5" unbalanced="0"/>
    <cacheHierarchy uniqueName="[Sala].[Ingresos]" caption="Ingresos" attribute="1" defaultMemberUniqueName="[Sala].[Ingresos].[All]" allUniqueName="[Sala].[Ingresos].[All]" dimensionUniqueName="[Sala]" displayFolder="" count="0" memberValueDatatype="5" unbalanced="0"/>
    <cacheHierarchy uniqueName="[Measures].[__XL_Count Sala]" caption="__XL_Count Sala" measure="1" displayFolder="" measureGroup="Sala" count="0" hidden="1"/>
    <cacheHierarchy uniqueName="[Measures].[__No measures defined]" caption="__No measures defined" measure="1" displayFolder="" count="0" hidden="1"/>
    <cacheHierarchy uniqueName="[Measures].[Recuento de Cobrada]" caption="Recuento de Cobrada" measure="1" displayFolder="" measureGroup="Sala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a de Monto total]" caption="Suma de Monto total" measure="1" displayFolder="" measureGroup="Sala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Recuento de Método de Pago]" caption="Recuento de Método de Pago" measure="1" displayFolder="" measureGroup="Sala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a de Propina]" caption="Suma de Propina" measure="1" displayFolder="" measureGroup="Sal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Recuento de Mesero Asignado]" caption="Recuento de Mesero Asignado" measure="1" displayFolder="" measureGroup="Sal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a de Ingresos]" caption="Suma de Ingresos" measure="1" displayFolder="" measureGroup="Sala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Recuento de Tipo de Servicio]" caption="Recuento de Tipo de Servicio" measure="1" displayFolder="" measureGroup="Sal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Promedio de Monto total]" caption="Promedio de Monto total" measure="1" displayFolder="" measureGroup="Sala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a de Número de Comensales]" caption="Suma de Número de Comensales" measure="1" displayFolder="" measureGroup="Sal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Promedio de Número de Comensales]" caption="Promedio de Número de Comensales" measure="1" displayFolder="" measureGroup="Sal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a de Propina real]" caption="Suma de Propina real" measure="1" displayFolder="" measureGroup="Sala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a de Coste total]" caption="Suma de Coste total" measure="1" displayFolder="" measureGroup="Sala" count="0" hidden="1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a de Tiempo de preparación (min)]" caption="Suma de Tiempo de preparación (min)" measure="1" displayFolder="" measureGroup="Sal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Promedio de Tiempo de preparación (min)]" caption="Promedio de Tiempo de preparación (min)" measure="1" displayFolder="" measureGroup="Sal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</cacheHierarchies>
  <kpis count="0"/>
  <dimensions count="2">
    <dimension measure="1" name="Measures" uniqueName="[Measures]" caption="Measures"/>
    <dimension name="Sala" uniqueName="[Sala]" caption="Sala"/>
  </dimensions>
  <measureGroups count="1">
    <measureGroup name="Sala" caption="Sala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ta María Llordén Alonso" refreshedDate="45565.577943402779" backgroundQuery="1" createdVersion="8" refreshedVersion="8" minRefreshableVersion="3" recordCount="0" supportSubquery="1" supportAdvancedDrill="1" xr:uid="{4B5095A7-EB9B-4506-B8D9-E038EBEC679A}">
  <cacheSource type="external" connectionId="1"/>
  <cacheFields count="3">
    <cacheField name="[Sala].[Tipo de Servicio].[Tipo de Servicio]" caption="Tipo de Servicio" numFmtId="0" hierarchy="8" level="1">
      <sharedItems count="3">
        <s v="Almuerzo"/>
        <s v="Cena"/>
        <s v="Desayuno"/>
      </sharedItems>
    </cacheField>
    <cacheField name="[Sala].[Día semana].[Día semana]" caption="Día semana" numFmtId="0" hierarchy="21" level="1">
      <sharedItems count="7">
        <s v="domingo"/>
        <s v="jueves"/>
        <s v="lunes"/>
        <s v="martes"/>
        <s v="miércoles"/>
        <s v="sábado"/>
        <s v="viernes"/>
      </sharedItems>
    </cacheField>
    <cacheField name="[Measures].[Suma de Ingresos]" caption="Suma de Ingresos" numFmtId="0" hierarchy="33" level="32767"/>
  </cacheFields>
  <cacheHierarchies count="43">
    <cacheHierarchy uniqueName="[Sala].[Número de Mesa]" caption="Número de Mesa" attribute="1" defaultMemberUniqueName="[Sala].[Número de Mesa].[All]" allUniqueName="[Sala].[Número de Mesa].[All]" dimensionUniqueName="[Sala]" displayFolder="" count="0" memberValueDatatype="20" unbalanced="0"/>
    <cacheHierarchy uniqueName="[Sala].[Nombre del Cliente]" caption="Nombre del Cliente" attribute="1" defaultMemberUniqueName="[Sala].[Nombre del Cliente].[All]" allUniqueName="[Sala].[Nombre del Cliente].[All]" dimensionUniqueName="[Sala]" displayFolder="" count="0" memberValueDatatype="130" unbalanced="0"/>
    <cacheHierarchy uniqueName="[Sala].[Número de Comensales]" caption="Número de Comensales" attribute="1" defaultMemberUniqueName="[Sala].[Número de Comensales].[All]" allUniqueName="[Sala].[Número de Comensales].[All]" dimensionUniqueName="[Sala]" displayFolder="" count="0" memberValueDatatype="20" unbalanced="0"/>
    <cacheHierarchy uniqueName="[Sala].[Fecha de Llegada]" caption="Fecha de Llegada" attribute="1" time="1" defaultMemberUniqueName="[Sala].[Fecha de Llegada].[All]" allUniqueName="[Sala].[Fecha de Llegada].[All]" dimensionUniqueName="[Sala]" displayFolder="" count="0" memberValueDatatype="7" unbalanced="0"/>
    <cacheHierarchy uniqueName="[Sala].[Hora de llegada]" caption="Hora de llegada" attribute="1" time="1" defaultMemberUniqueName="[Sala].[Hora de llegada].[All]" allUniqueName="[Sala].[Hora de llegada].[All]" dimensionUniqueName="[Sala]" displayFolder="" count="0" memberValueDatatype="7" unbalanced="0"/>
    <cacheHierarchy uniqueName="[Sala].[Fecha de Salida]" caption="Fecha de Salida" attribute="1" time="1" defaultMemberUniqueName="[Sala].[Fecha de Salida].[All]" allUniqueName="[Sala].[Fecha de Salida].[All]" dimensionUniqueName="[Sala]" displayFolder="" count="0" memberValueDatatype="7" unbalanced="0"/>
    <cacheHierarchy uniqueName="[Sala].[Hora de Salida]" caption="Hora de Salida" attribute="1" time="1" defaultMemberUniqueName="[Sala].[Hora de Salida].[All]" allUniqueName="[Sala].[Hora de Salida].[All]" dimensionUniqueName="[Sala]" displayFolder="" count="0" memberValueDatatype="7" unbalanced="0"/>
    <cacheHierarchy uniqueName="[Sala].[Mesero Asignado]" caption="Mesero Asignado" attribute="1" defaultMemberUniqueName="[Sala].[Mesero Asignado].[All]" allUniqueName="[Sala].[Mesero Asignado].[All]" dimensionUniqueName="[Sala]" displayFolder="" count="0" memberValueDatatype="130" unbalanced="0"/>
    <cacheHierarchy uniqueName="[Sala].[Tipo de Servicio]" caption="Tipo de Servicio" attribute="1" defaultMemberUniqueName="[Sala].[Tipo de Servicio].[All]" allUniqueName="[Sala].[Tipo de Servicio].[All]" dimensionUniqueName="[Sala]" displayFolder="" count="2" memberValueDatatype="130" unbalanced="0">
      <fieldsUsage count="2">
        <fieldUsage x="-1"/>
        <fieldUsage x="0"/>
      </fieldsUsage>
    </cacheHierarchy>
    <cacheHierarchy uniqueName="[Sala].[Método de Pago]" caption="Método de Pago" attribute="1" defaultMemberUniqueName="[Sala].[Método de Pago].[All]" allUniqueName="[Sala].[Método de Pago].[All]" dimensionUniqueName="[Sala]" displayFolder="" count="0" memberValueDatatype="130" unbalanced="0"/>
    <cacheHierarchy uniqueName="[Sala].[Propina]" caption="Propina" attribute="1" defaultMemberUniqueName="[Sala].[Propina].[All]" allUniqueName="[Sala].[Propina].[All]" dimensionUniqueName="[Sala]" displayFolder="" count="0" memberValueDatatype="5" unbalanced="0"/>
    <cacheHierarchy uniqueName="[Sala].[Estado de la Mesa]" caption="Estado de la Mesa" attribute="1" defaultMemberUniqueName="[Sala].[Estado de la Mesa].[All]" allUniqueName="[Sala].[Estado de la Mesa].[All]" dimensionUniqueName="[Sala]" displayFolder="" count="0" memberValueDatatype="130" unbalanced="0"/>
    <cacheHierarchy uniqueName="[Sala].[Número de Orden]" caption="Número de Orden" attribute="1" defaultMemberUniqueName="[Sala].[Número de Orden].[All]" allUniqueName="[Sala].[Número de Orden].[All]" dimensionUniqueName="[Sala]" displayFolder="" count="0" memberValueDatatype="20" unbalanced="0"/>
    <cacheHierarchy uniqueName="[Sala].[País de Origen]" caption="País de Origen" attribute="1" defaultMemberUniqueName="[Sala].[País de Origen].[All]" allUniqueName="[Sala].[País de Origen].[All]" dimensionUniqueName="[Sala]" displayFolder="" count="0" memberValueDatatype="130" unbalanced="0"/>
    <cacheHierarchy uniqueName="[Sala].[Tiempo de permanencia]" caption="Tiempo de permanencia" attribute="1" time="1" defaultMemberUniqueName="[Sala].[Tiempo de permanencia].[All]" allUniqueName="[Sala].[Tiempo de permanencia].[All]" dimensionUniqueName="[Sala]" displayFolder="" count="0" memberValueDatatype="7" unbalanced="0"/>
    <cacheHierarchy uniqueName="[Sala].[Tiempo de preparación (min)]" caption="Tiempo de preparación (min)" attribute="1" defaultMemberUniqueName="[Sala].[Tiempo de preparación (min)].[All]" allUniqueName="[Sala].[Tiempo de preparación (min)].[All]" dimensionUniqueName="[Sala]" displayFolder="" count="0" memberValueDatatype="20" unbalanced="0"/>
    <cacheHierarchy uniqueName="[Sala].[Tiempo de preparación (h)]" caption="Tiempo de preparación (h)" attribute="1" defaultMemberUniqueName="[Sala].[Tiempo de preparación (h)].[All]" allUniqueName="[Sala].[Tiempo de preparación (h)].[All]" dimensionUniqueName="[Sala]" displayFolder="" count="0" memberValueDatatype="130" unbalanced="0"/>
    <cacheHierarchy uniqueName="[Sala].[Tiempo de degustación]" caption="Tiempo de degustación" attribute="1" time="1" defaultMemberUniqueName="[Sala].[Tiempo de degustación].[All]" allUniqueName="[Sala].[Tiempo de degustación].[All]" dimensionUniqueName="[Sala]" displayFolder="" count="0" memberValueDatatype="7" unbalanced="0"/>
    <cacheHierarchy uniqueName="[Sala].[Monto total]" caption="Monto total" attribute="1" defaultMemberUniqueName="[Sala].[Monto total].[All]" allUniqueName="[Sala].[Monto total].[All]" dimensionUniqueName="[Sala]" displayFolder="" count="0" memberValueDatatype="20" unbalanced="0"/>
    <cacheHierarchy uniqueName="[Sala].[Coste total]" caption="Coste total" attribute="1" defaultMemberUniqueName="[Sala].[Coste total].[All]" allUniqueName="[Sala].[Coste total].[All]" dimensionUniqueName="[Sala]" displayFolder="" count="0" memberValueDatatype="20" unbalanced="0"/>
    <cacheHierarchy uniqueName="[Sala].[Fecha factura]" caption="Fecha factura" attribute="1" time="1" defaultMemberUniqueName="[Sala].[Fecha factura].[All]" allUniqueName="[Sala].[Fecha factura].[All]" dimensionUniqueName="[Sala]" displayFolder="" count="0" memberValueDatatype="7" unbalanced="0"/>
    <cacheHierarchy uniqueName="[Sala].[Día semana]" caption="Día semana" attribute="1" defaultMemberUniqueName="[Sala].[Día semana].[All]" allUniqueName="[Sala].[Día semana].[All]" dimensionUniqueName="[Sala]" displayFolder="" count="2" memberValueDatatype="130" unbalanced="0">
      <fieldsUsage count="2">
        <fieldUsage x="-1"/>
        <fieldUsage x="1"/>
      </fieldsUsage>
    </cacheHierarchy>
    <cacheHierarchy uniqueName="[Sala].[Cobrada]" caption="Cobrada" attribute="1" defaultMemberUniqueName="[Sala].[Cobrada].[All]" allUniqueName="[Sala].[Cobrada].[All]" dimensionUniqueName="[Sala]" displayFolder="" count="0" memberValueDatatype="130" unbalanced="0"/>
    <cacheHierarchy uniqueName="[Sala].[Método pago real]" caption="Método pago real" attribute="1" defaultMemberUniqueName="[Sala].[Método pago real].[All]" allUniqueName="[Sala].[Método pago real].[All]" dimensionUniqueName="[Sala]" displayFolder="" count="0" memberValueDatatype="130" unbalanced="0"/>
    <cacheHierarchy uniqueName="[Sala].[Propina real]" caption="Propina real" attribute="1" defaultMemberUniqueName="[Sala].[Propina real].[All]" allUniqueName="[Sala].[Propina real].[All]" dimensionUniqueName="[Sala]" displayFolder="" count="0" memberValueDatatype="5" unbalanced="0"/>
    <cacheHierarchy uniqueName="[Sala].[Ingresos]" caption="Ingresos" attribute="1" defaultMemberUniqueName="[Sala].[Ingresos].[All]" allUniqueName="[Sala].[Ingresos].[All]" dimensionUniqueName="[Sala]" displayFolder="" count="0" memberValueDatatype="5" unbalanced="0"/>
    <cacheHierarchy uniqueName="[Measures].[__XL_Count Sala]" caption="__XL_Count Sala" measure="1" displayFolder="" measureGroup="Sala" count="0" hidden="1"/>
    <cacheHierarchy uniqueName="[Measures].[__No measures defined]" caption="__No measures defined" measure="1" displayFolder="" count="0" hidden="1"/>
    <cacheHierarchy uniqueName="[Measures].[Recuento de Cobrada]" caption="Recuento de Cobrada" measure="1" displayFolder="" measureGroup="Sala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a de Monto total]" caption="Suma de Monto total" measure="1" displayFolder="" measureGroup="Sala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Recuento de Método de Pago]" caption="Recuento de Método de Pago" measure="1" displayFolder="" measureGroup="Sal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a de Propina]" caption="Suma de Propina" measure="1" displayFolder="" measureGroup="Sal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Recuento de Mesero Asignado]" caption="Recuento de Mesero Asignado" measure="1" displayFolder="" measureGroup="Sal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a de Ingresos]" caption="Suma de Ingresos" measure="1" displayFolder="" measureGroup="Sala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Recuento de Tipo de Servicio]" caption="Recuento de Tipo de Servicio" measure="1" displayFolder="" measureGroup="Sal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Promedio de Monto total]" caption="Promedio de Monto total" measure="1" displayFolder="" measureGroup="Sala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a de Número de Comensales]" caption="Suma de Número de Comensales" measure="1" displayFolder="" measureGroup="Sal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Promedio de Número de Comensales]" caption="Promedio de Número de Comensales" measure="1" displayFolder="" measureGroup="Sal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a de Propina real]" caption="Suma de Propina real" measure="1" displayFolder="" measureGroup="Sala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a de Coste total]" caption="Suma de Coste total" measure="1" displayFolder="" measureGroup="Sala" count="0" hidden="1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a de Tiempo de preparación (min)]" caption="Suma de Tiempo de preparación (min)" measure="1" displayFolder="" measureGroup="Sal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Promedio de Tiempo de preparación (min)]" caption="Promedio de Tiempo de preparación (min)" measure="1" displayFolder="" measureGroup="Sal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Recuento de Método pago real]" caption="Recuento de Método pago real" measure="1" displayFolder="" measureGroup="Sala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</cacheHierarchies>
  <kpis count="0"/>
  <dimensions count="2">
    <dimension measure="1" name="Measures" uniqueName="[Measures]" caption="Measures"/>
    <dimension name="Sala" uniqueName="[Sala]" caption="Sala"/>
  </dimensions>
  <measureGroups count="1">
    <measureGroup name="Sala" caption="Sala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7">
  <r>
    <n v="10"/>
    <s v="Cliente_724"/>
    <n v="6"/>
    <d v="2023-04-01T00:00:00"/>
    <d v="1899-12-30T01:07:00"/>
    <d v="2023-04-01T00:00:00"/>
    <d v="1899-12-30T03:50:00"/>
    <s v="Mesero_3"/>
    <x v="0"/>
    <s v="Tarjeta de débito"/>
    <n v="48.55"/>
    <s v="Reservada"/>
    <n v="1"/>
    <s v="España"/>
    <d v="1899-12-30T02:43:00"/>
    <n v="57"/>
    <s v="0:57"/>
    <d v="1899-12-30T01:46:00"/>
    <n v="138"/>
    <n v="32"/>
    <d v="2023-04-01T00:00:00"/>
    <x v="0"/>
    <x v="0"/>
    <s v="Tarjeta de débito"/>
    <n v="48.55"/>
    <n v="186.55"/>
  </r>
  <r>
    <n v="6"/>
    <s v="Cliente_538"/>
    <n v="6"/>
    <d v="2023-04-01T00:00:00"/>
    <d v="1899-12-30T01:28:00"/>
    <d v="2023-04-01T00:00:00"/>
    <d v="1899-12-30T03:49:00"/>
    <s v="Mesero_1"/>
    <x v="1"/>
    <s v="Efectivo"/>
    <n v="43.3"/>
    <s v="Reservada"/>
    <n v="2"/>
    <s v="Colombia"/>
    <d v="1899-12-30T02:21:00"/>
    <n v="85"/>
    <s v="1:25"/>
    <d v="1899-12-30T00:56:00"/>
    <n v="58"/>
    <n v="35"/>
    <d v="2023-04-01T00:00:00"/>
    <x v="0"/>
    <x v="0"/>
    <s v="Efectivo"/>
    <n v="43.3"/>
    <n v="101.3"/>
  </r>
  <r>
    <n v="20"/>
    <s v="Cliente_911"/>
    <n v="1"/>
    <d v="2023-04-01T00:00:00"/>
    <d v="1899-12-30T00:29:00"/>
    <d v="2023-04-01T00:00:00"/>
    <d v="1899-12-30T03:56:00"/>
    <s v="Mesero_2"/>
    <x v="1"/>
    <s v="Tarjeta de crédito"/>
    <n v="30.87"/>
    <s v="Libre"/>
    <n v="3"/>
    <s v="Brasil"/>
    <d v="1899-12-30T03:27:00"/>
    <n v="126"/>
    <s v="2:06"/>
    <d v="1899-12-30T01:21:00"/>
    <n v="165"/>
    <n v="83"/>
    <d v="2023-04-01T00:00:00"/>
    <x v="0"/>
    <x v="0"/>
    <s v="Tarjeta de crédito"/>
    <n v="30.87"/>
    <n v="195.87"/>
  </r>
  <r>
    <n v="3"/>
    <s v="Cliente_129"/>
    <n v="1"/>
    <d v="2023-04-01T00:00:00"/>
    <d v="1899-12-30T03:03:00"/>
    <d v="2023-04-01T00:00:00"/>
    <d v="1899-12-30T04:31:00"/>
    <s v="Mesero_5"/>
    <x v="0"/>
    <s v="Tarjeta de crédito"/>
    <n v="34.68"/>
    <s v="Libre"/>
    <n v="4"/>
    <s v="Paraguay"/>
    <d v="1899-12-30T01:28:00"/>
    <n v="40"/>
    <s v="0:40"/>
    <d v="1899-12-30T00:48:00"/>
    <n v="183"/>
    <n v="36"/>
    <d v="2023-04-01T00:00:00"/>
    <x v="0"/>
    <x v="0"/>
    <s v="Tarjeta de crédito"/>
    <n v="34.68"/>
    <n v="217.68"/>
  </r>
  <r>
    <n v="8"/>
    <s v="Cliente_938"/>
    <n v="2"/>
    <d v="2023-04-01T00:00:00"/>
    <d v="1899-12-30T00:01:00"/>
    <d v="2023-04-01T00:00:00"/>
    <d v="1899-12-30T02:06:00"/>
    <s v="Mesero_4"/>
    <x v="0"/>
    <s v="Tarjeta de crédito"/>
    <n v="24.33"/>
    <s v="Libre"/>
    <n v="5"/>
    <s v="Perú"/>
    <d v="1899-12-30T02:05:00"/>
    <n v="17"/>
    <s v="0:17"/>
    <d v="1899-12-30T01:48:00"/>
    <n v="67"/>
    <n v="25"/>
    <d v="2023-04-01T00:00:00"/>
    <x v="0"/>
    <x v="0"/>
    <s v="Tarjeta de crédito"/>
    <n v="24.33"/>
    <n v="91.33"/>
  </r>
  <r>
    <n v="7"/>
    <s v="Cliente_965"/>
    <n v="5"/>
    <d v="2023-04-01T00:00:00"/>
    <d v="1899-12-30T01:24:00"/>
    <d v="2023-04-01T00:00:00"/>
    <d v="1899-12-30T03:32:00"/>
    <s v="Mesero_4"/>
    <x v="2"/>
    <s v="Tarjeta de crédito"/>
    <n v="26.57"/>
    <s v="Libre"/>
    <n v="6"/>
    <s v="Perú"/>
    <d v="1899-12-30T02:08:00"/>
    <n v="11"/>
    <s v="0:11"/>
    <d v="1899-12-30T01:57:00"/>
    <n v="70"/>
    <n v="21"/>
    <d v="2023-04-01T00:00:00"/>
    <x v="0"/>
    <x v="0"/>
    <s v="Tarjeta de crédito"/>
    <n v="26.57"/>
    <n v="96.57"/>
  </r>
  <r>
    <n v="17"/>
    <s v="Cliente_306"/>
    <n v="6"/>
    <d v="2023-04-01T00:00:00"/>
    <d v="1899-12-30T01:57:00"/>
    <d v="2023-04-01T00:00:00"/>
    <d v="1899-12-30T04:22:00"/>
    <s v="Mesero_2"/>
    <x v="2"/>
    <s v="Tarjeta de crédito"/>
    <n v="10.54"/>
    <s v="Ocupada"/>
    <n v="7"/>
    <s v="Venezuela"/>
    <d v="1899-12-30T02:40:00"/>
    <n v="41"/>
    <s v="0:41"/>
    <d v="1899-12-30T01:59:00"/>
    <n v="172"/>
    <n v="41"/>
    <d v="2023-04-01T00:00:00"/>
    <x v="0"/>
    <x v="0"/>
    <s v="Tarjeta de crédito"/>
    <n v="10.54"/>
    <n v="182.54"/>
  </r>
  <r>
    <n v="11"/>
    <s v="Cliente_974"/>
    <n v="1"/>
    <d v="2023-04-01T00:00:00"/>
    <d v="1899-12-30T02:11:00"/>
    <d v="2023-04-01T00:00:00"/>
    <d v="1899-12-30T04:49:00"/>
    <s v="Mesero_2"/>
    <x v="1"/>
    <s v="Tarjeta de crédito"/>
    <n v="49.18"/>
    <s v="Reservada"/>
    <n v="8"/>
    <s v="Paraguay"/>
    <d v="1899-12-30T02:38:00"/>
    <n v="55"/>
    <s v="0:55"/>
    <d v="1899-12-30T01:43:00"/>
    <n v="242"/>
    <n v="54"/>
    <d v="2023-04-01T00:00:00"/>
    <x v="0"/>
    <x v="0"/>
    <s v="Tarjeta de crédito"/>
    <n v="49.18"/>
    <n v="291.18"/>
  </r>
  <r>
    <n v="15"/>
    <s v="Cliente_740"/>
    <n v="5"/>
    <d v="2023-04-01T00:00:00"/>
    <d v="1899-12-30T02:03:00"/>
    <d v="2023-04-01T00:00:00"/>
    <d v="1899-12-30T04:25:00"/>
    <s v="Mesero_2"/>
    <x v="0"/>
    <s v="Tarjeta de débito"/>
    <n v="46.85"/>
    <s v="Libre"/>
    <n v="9"/>
    <s v="Bolivia"/>
    <d v="1899-12-30T02:22:00"/>
    <n v="146"/>
    <s v="2:26"/>
    <d v="1899-12-30T00:00:00"/>
    <n v="169"/>
    <n v="62"/>
    <d v="2023-04-01T00:00:00"/>
    <x v="0"/>
    <x v="1"/>
    <s v="Impago"/>
    <n v="0"/>
    <n v="0"/>
  </r>
  <r>
    <n v="17"/>
    <s v="Cliente_33"/>
    <n v="1"/>
    <d v="2023-04-01T00:00:00"/>
    <d v="1899-12-30T00:02:00"/>
    <d v="2023-04-01T00:00:00"/>
    <d v="1899-12-30T01:53:00"/>
    <s v="Mesero_4"/>
    <x v="0"/>
    <s v="Tarjeta de crédito"/>
    <n v="16.600000000000001"/>
    <s v="Ocupada"/>
    <n v="10"/>
    <s v="Uruguay"/>
    <d v="1899-12-30T02:06:00"/>
    <n v="29"/>
    <s v="0:29"/>
    <d v="1899-12-30T01:37:00"/>
    <n v="148"/>
    <n v="45"/>
    <d v="2023-04-01T00:00:00"/>
    <x v="0"/>
    <x v="0"/>
    <s v="Tarjeta de crédito"/>
    <n v="16.600000000000001"/>
    <n v="164.6"/>
  </r>
  <r>
    <n v="14"/>
    <s v="Cliente_881"/>
    <n v="1"/>
    <d v="2023-04-01T00:00:00"/>
    <d v="1899-12-30T03:46:00"/>
    <d v="2023-04-01T00:00:00"/>
    <d v="1899-12-30T06:33:00"/>
    <s v="Mesero_1"/>
    <x v="0"/>
    <s v="Tarjeta de crédito"/>
    <n v="32.89"/>
    <s v="Libre"/>
    <n v="11"/>
    <s v="Perú"/>
    <d v="1899-12-30T02:47:00"/>
    <n v="56"/>
    <s v="0:56"/>
    <d v="1899-12-30T01:51:00"/>
    <n v="88"/>
    <n v="34"/>
    <d v="2023-04-01T00:00:00"/>
    <x v="0"/>
    <x v="0"/>
    <s v="Tarjeta de crédito"/>
    <n v="32.89"/>
    <n v="120.89"/>
  </r>
  <r>
    <n v="14"/>
    <s v="Cliente_890"/>
    <n v="6"/>
    <d v="2023-04-01T00:00:00"/>
    <d v="1899-12-30T00:04:00"/>
    <d v="2023-04-01T00:00:00"/>
    <d v="1899-12-30T03:23:00"/>
    <s v="Mesero_4"/>
    <x v="2"/>
    <s v="Tarjeta de crédito"/>
    <n v="45.27"/>
    <s v="Ocupada"/>
    <n v="12"/>
    <s v="Colombia"/>
    <d v="1899-12-30T03:34:00"/>
    <n v="95"/>
    <s v="1:35"/>
    <d v="1899-12-30T01:59:00"/>
    <n v="326"/>
    <n v="84"/>
    <d v="2023-04-01T00:00:00"/>
    <x v="0"/>
    <x v="0"/>
    <s v="Tarjeta de crédito"/>
    <n v="45.27"/>
    <n v="371.27"/>
  </r>
  <r>
    <n v="2"/>
    <s v="Cliente_873"/>
    <n v="1"/>
    <d v="2023-04-01T00:00:00"/>
    <d v="1899-12-30T03:09:00"/>
    <d v="2023-04-01T00:00:00"/>
    <d v="1899-12-30T05:32:00"/>
    <s v="Mesero_5"/>
    <x v="0"/>
    <s v="Efectivo"/>
    <n v="22.06"/>
    <s v="Ocupada"/>
    <n v="13"/>
    <s v="Brasil"/>
    <d v="1899-12-30T02:38:00"/>
    <n v="59"/>
    <s v="0:59"/>
    <d v="1899-12-30T01:39:00"/>
    <n v="87"/>
    <n v="17"/>
    <d v="2023-04-01T00:00:00"/>
    <x v="0"/>
    <x v="0"/>
    <s v="Efectivo"/>
    <n v="22.06"/>
    <n v="109.06"/>
  </r>
  <r>
    <n v="16"/>
    <s v="Cliente_780"/>
    <n v="6"/>
    <d v="2023-04-01T00:00:00"/>
    <d v="1899-12-30T00:18:00"/>
    <d v="2023-04-01T00:00:00"/>
    <d v="1899-12-30T01:58:00"/>
    <s v="Mesero_2"/>
    <x v="0"/>
    <s v="Efectivo"/>
    <n v="48.76"/>
    <s v="Libre"/>
    <n v="14"/>
    <s v="Perú"/>
    <d v="1899-12-30T01:40:00"/>
    <n v="154"/>
    <s v="2:34"/>
    <d v="1899-12-30T00:00:00"/>
    <n v="129"/>
    <n v="64"/>
    <d v="2023-04-01T00:00:00"/>
    <x v="0"/>
    <x v="1"/>
    <s v="Impago"/>
    <n v="0"/>
    <n v="0"/>
  </r>
  <r>
    <n v="6"/>
    <s v="Cliente_728"/>
    <n v="4"/>
    <d v="2023-04-01T00:00:00"/>
    <d v="1899-12-30T03:24:00"/>
    <d v="2023-04-01T00:00:00"/>
    <d v="1899-12-30T04:59:00"/>
    <s v="Mesero_1"/>
    <x v="1"/>
    <s v="Tarjeta de crédito"/>
    <n v="28.77"/>
    <s v="Ocupada"/>
    <n v="15"/>
    <s v="Uruguay"/>
    <d v="1899-12-30T01:50:00"/>
    <n v="103"/>
    <s v="1:43"/>
    <d v="1899-12-30T00:07:00"/>
    <n v="224"/>
    <n v="50"/>
    <d v="2023-04-01T00:00:00"/>
    <x v="0"/>
    <x v="0"/>
    <s v="Tarjeta de crédito"/>
    <n v="28.77"/>
    <n v="252.77"/>
  </r>
  <r>
    <n v="20"/>
    <s v="Cliente_175"/>
    <n v="5"/>
    <d v="2023-04-01T00:00:00"/>
    <d v="1899-12-30T02:31:00"/>
    <d v="2023-04-01T00:00:00"/>
    <d v="1899-12-30T04:24:00"/>
    <s v="Mesero_4"/>
    <x v="0"/>
    <s v="Efectivo"/>
    <n v="37.9"/>
    <s v="Reservada"/>
    <n v="16"/>
    <s v="Bolivia"/>
    <d v="1899-12-30T01:53:00"/>
    <n v="38"/>
    <s v="0:38"/>
    <d v="1899-12-30T01:15:00"/>
    <n v="28"/>
    <n v="16"/>
    <d v="2023-04-01T00:00:00"/>
    <x v="0"/>
    <x v="0"/>
    <s v="Efectivo"/>
    <n v="37.9"/>
    <n v="65.900000000000006"/>
  </r>
  <r>
    <n v="14"/>
    <s v="Cliente_200"/>
    <n v="6"/>
    <d v="2023-04-01T00:00:00"/>
    <d v="1899-12-30T00:09:00"/>
    <d v="2023-04-01T00:00:00"/>
    <d v="1899-12-30T03:27:00"/>
    <s v="Mesero_2"/>
    <x v="1"/>
    <s v="Tarjeta de crédito"/>
    <n v="12.17"/>
    <s v="Libre"/>
    <n v="17"/>
    <s v="Ecuador"/>
    <d v="1899-12-30T03:18:00"/>
    <n v="158"/>
    <s v="2:38"/>
    <d v="1899-12-30T00:40:00"/>
    <n v="137"/>
    <n v="44"/>
    <d v="2023-04-01T00:00:00"/>
    <x v="0"/>
    <x v="0"/>
    <s v="Tarjeta de crédito"/>
    <n v="12.17"/>
    <n v="149.16999999999999"/>
  </r>
  <r>
    <n v="9"/>
    <s v="Cliente_190"/>
    <n v="2"/>
    <d v="2023-04-01T00:00:00"/>
    <d v="1899-12-30T02:06:00"/>
    <d v="2023-04-01T00:00:00"/>
    <d v="1899-12-30T04:26:00"/>
    <s v="Mesero_2"/>
    <x v="1"/>
    <s v="Tarjeta de crédito"/>
    <n v="33.090000000000003"/>
    <s v="Libre"/>
    <n v="18"/>
    <s v="Colombia"/>
    <d v="1899-12-30T02:20:00"/>
    <n v="134"/>
    <s v="2:14"/>
    <d v="1899-12-30T00:06:00"/>
    <n v="251"/>
    <n v="76"/>
    <d v="2023-04-01T00:00:00"/>
    <x v="0"/>
    <x v="0"/>
    <s v="Tarjeta de crédito"/>
    <n v="33.090000000000003"/>
    <n v="284.09000000000003"/>
  </r>
  <r>
    <n v="18"/>
    <s v="Cliente_290"/>
    <n v="3"/>
    <d v="2023-04-01T00:00:00"/>
    <d v="1899-12-30T00:35:00"/>
    <d v="2023-04-01T00:00:00"/>
    <d v="1899-12-30T03:29:00"/>
    <s v="Mesero_2"/>
    <x v="0"/>
    <s v="Tarjeta de crédito"/>
    <n v="17.45"/>
    <s v="Libre"/>
    <n v="19"/>
    <s v="Chile"/>
    <d v="1899-12-30T02:54:00"/>
    <n v="44"/>
    <s v="0:44"/>
    <d v="1899-12-30T02:10:00"/>
    <n v="80"/>
    <n v="25"/>
    <d v="2023-04-01T00:00:00"/>
    <x v="0"/>
    <x v="0"/>
    <s v="Tarjeta de crédito"/>
    <n v="17.45"/>
    <n v="97.45"/>
  </r>
  <r>
    <n v="8"/>
    <s v="Cliente_972"/>
    <n v="2"/>
    <d v="2023-04-01T00:00:00"/>
    <d v="1899-12-30T01:25:00"/>
    <d v="2023-04-01T00:00:00"/>
    <d v="1899-12-30T05:12:00"/>
    <s v="Mesero_3"/>
    <x v="0"/>
    <s v="Tarjeta de crédito"/>
    <n v="31.7"/>
    <s v="Reservada"/>
    <n v="20"/>
    <s v="Chile"/>
    <d v="1899-12-30T03:47:00"/>
    <n v="70"/>
    <s v="1:10"/>
    <d v="1899-12-30T02:37:00"/>
    <n v="178"/>
    <n v="50"/>
    <d v="2023-04-01T00:00:00"/>
    <x v="0"/>
    <x v="0"/>
    <s v="Tarjeta de crédito"/>
    <n v="31.7"/>
    <n v="209.7"/>
  </r>
  <r>
    <n v="12"/>
    <s v="Cliente_210"/>
    <n v="2"/>
    <d v="2023-04-01T00:00:00"/>
    <d v="1899-12-30T03:39:00"/>
    <d v="2023-04-01T00:00:00"/>
    <d v="1899-12-30T05:52:00"/>
    <s v="Mesero_3"/>
    <x v="0"/>
    <s v="Tarjeta de crédito"/>
    <n v="20.53"/>
    <s v="Reservada"/>
    <n v="21"/>
    <s v="Uruguay"/>
    <d v="1899-12-30T02:13:00"/>
    <n v="152"/>
    <s v="2:32"/>
    <d v="1899-12-30T00:00:00"/>
    <n v="274"/>
    <n v="71"/>
    <d v="2023-04-01T00:00:00"/>
    <x v="0"/>
    <x v="1"/>
    <s v="Impago"/>
    <n v="0"/>
    <n v="0"/>
  </r>
  <r>
    <n v="15"/>
    <s v="Cliente_88"/>
    <n v="1"/>
    <d v="2023-04-01T00:00:00"/>
    <d v="1899-12-30T02:16:00"/>
    <d v="2023-04-01T00:00:00"/>
    <d v="1899-12-30T04:47:00"/>
    <s v="Mesero_4"/>
    <x v="0"/>
    <s v="Tarjeta de crédito"/>
    <n v="45.41"/>
    <s v="Libre"/>
    <n v="22"/>
    <s v="Ecuador"/>
    <d v="1899-12-30T02:31:00"/>
    <n v="123"/>
    <s v="2:03"/>
    <d v="1899-12-30T00:28:00"/>
    <n v="213"/>
    <n v="68"/>
    <d v="2023-04-01T00:00:00"/>
    <x v="0"/>
    <x v="0"/>
    <s v="Tarjeta de crédito"/>
    <n v="45.41"/>
    <n v="258.40999999999997"/>
  </r>
  <r>
    <n v="1"/>
    <s v="Cliente_427"/>
    <n v="5"/>
    <d v="2023-04-01T00:00:00"/>
    <d v="1899-12-30T02:44:00"/>
    <d v="2023-04-01T00:00:00"/>
    <d v="1899-12-30T04:09:00"/>
    <s v="Mesero_5"/>
    <x v="2"/>
    <s v="Tarjeta de crédito"/>
    <n v="38.46"/>
    <s v="Libre"/>
    <n v="23"/>
    <s v="Chile"/>
    <d v="1899-12-30T01:25:00"/>
    <n v="63"/>
    <s v="1:03"/>
    <d v="1899-12-30T00:22:00"/>
    <n v="138"/>
    <n v="27"/>
    <d v="2023-04-01T00:00:00"/>
    <x v="0"/>
    <x v="0"/>
    <s v="Tarjeta de crédito"/>
    <n v="38.46"/>
    <n v="176.46"/>
  </r>
  <r>
    <n v="5"/>
    <s v="Cliente_424"/>
    <n v="5"/>
    <d v="2023-04-01T00:00:00"/>
    <d v="1899-12-30T03:01:00"/>
    <d v="2023-04-01T00:00:00"/>
    <d v="1899-12-30T06:20:00"/>
    <s v="Mesero_3"/>
    <x v="0"/>
    <s v="Tarjeta de crédito"/>
    <n v="38.18"/>
    <s v="Ocupada"/>
    <n v="24"/>
    <s v="Venezuela"/>
    <d v="1899-12-30T03:34:00"/>
    <n v="180"/>
    <s v="3:00"/>
    <d v="1899-12-30T00:34:00"/>
    <n v="233"/>
    <n v="71"/>
    <d v="2023-04-01T00:00:00"/>
    <x v="0"/>
    <x v="0"/>
    <s v="Tarjeta de crédito"/>
    <n v="38.18"/>
    <n v="271.18"/>
  </r>
  <r>
    <n v="12"/>
    <s v="Cliente_824"/>
    <n v="5"/>
    <d v="2023-04-01T00:00:00"/>
    <d v="1899-12-30T03:01:00"/>
    <d v="2023-04-01T00:00:00"/>
    <d v="1899-12-30T04:59:00"/>
    <s v="Mesero_5"/>
    <x v="2"/>
    <s v="Tarjeta de débito"/>
    <n v="46.15"/>
    <s v="Ocupada"/>
    <n v="25"/>
    <s v="Colombia"/>
    <d v="1899-12-30T02:13:00"/>
    <n v="35"/>
    <s v="0:35"/>
    <d v="1899-12-30T01:38:00"/>
    <n v="34"/>
    <n v="20"/>
    <d v="2023-04-01T00:00:00"/>
    <x v="0"/>
    <x v="0"/>
    <s v="Tarjeta de débito"/>
    <n v="46.15"/>
    <n v="80.150000000000006"/>
  </r>
  <r>
    <n v="18"/>
    <s v="Cliente_107"/>
    <n v="2"/>
    <d v="2023-04-01T00:00:00"/>
    <d v="1899-12-30T02:04:00"/>
    <d v="2023-04-01T00:00:00"/>
    <d v="1899-12-30T05:47:00"/>
    <s v="Mesero_5"/>
    <x v="1"/>
    <s v="Tarjeta de crédito"/>
    <n v="10.37"/>
    <s v="Ocupada"/>
    <n v="26"/>
    <s v="Uruguay"/>
    <d v="1899-12-30T03:58:00"/>
    <n v="109"/>
    <s v="1:49"/>
    <d v="1899-12-30T02:09:00"/>
    <n v="126"/>
    <n v="37"/>
    <d v="2023-04-01T00:00:00"/>
    <x v="0"/>
    <x v="0"/>
    <s v="Tarjeta de crédito"/>
    <n v="10.37"/>
    <n v="136.37"/>
  </r>
  <r>
    <n v="4"/>
    <s v="Cliente_775"/>
    <n v="2"/>
    <d v="2023-04-01T00:00:00"/>
    <d v="1899-12-30T01:19:00"/>
    <d v="2023-04-01T00:00:00"/>
    <d v="1899-12-30T02:27:00"/>
    <s v="Mesero_5"/>
    <x v="0"/>
    <s v="Tarjeta de crédito"/>
    <n v="19.27"/>
    <s v="Ocupada"/>
    <n v="27"/>
    <s v="Brasil"/>
    <d v="1899-12-30T01:23:00"/>
    <n v="55"/>
    <s v="0:55"/>
    <d v="1899-12-30T00:28:00"/>
    <n v="61"/>
    <n v="36"/>
    <d v="2023-04-01T00:00:00"/>
    <x v="0"/>
    <x v="0"/>
    <s v="Tarjeta de crédito"/>
    <n v="19.27"/>
    <n v="80.27"/>
  </r>
  <r>
    <n v="2"/>
    <s v="Cliente_358"/>
    <n v="2"/>
    <d v="2023-04-01T00:00:00"/>
    <d v="1899-12-30T00:49:00"/>
    <d v="2023-04-01T00:00:00"/>
    <d v="1899-12-30T03:16:00"/>
    <s v="Mesero_4"/>
    <x v="2"/>
    <s v="Tarjeta de crédito"/>
    <n v="41.22"/>
    <s v="Reservada"/>
    <n v="28"/>
    <s v="Argentina"/>
    <d v="1899-12-30T02:27:00"/>
    <n v="56"/>
    <s v="0:56"/>
    <d v="1899-12-30T01:31:00"/>
    <n v="94"/>
    <n v="27"/>
    <d v="2023-04-01T00:00:00"/>
    <x v="0"/>
    <x v="0"/>
    <s v="Tarjeta de crédito"/>
    <n v="41.22"/>
    <n v="135.22"/>
  </r>
  <r>
    <n v="20"/>
    <s v="Cliente_377"/>
    <n v="5"/>
    <d v="2023-04-01T00:00:00"/>
    <d v="1899-12-30T03:02:00"/>
    <d v="2023-04-01T00:00:00"/>
    <d v="1899-12-30T06:10:00"/>
    <s v="Mesero_2"/>
    <x v="0"/>
    <s v="Tarjeta de crédito"/>
    <n v="14.83"/>
    <s v="Ocupada"/>
    <n v="29"/>
    <s v="Ecuador"/>
    <d v="1899-12-30T03:23:00"/>
    <n v="71"/>
    <s v="1:11"/>
    <d v="1899-12-30T02:12:00"/>
    <n v="173"/>
    <n v="44"/>
    <d v="2023-04-01T00:00:00"/>
    <x v="0"/>
    <x v="0"/>
    <s v="Tarjeta de crédito"/>
    <n v="14.83"/>
    <n v="187.83"/>
  </r>
  <r>
    <n v="14"/>
    <s v="Cliente_361"/>
    <n v="4"/>
    <d v="2023-04-01T00:00:00"/>
    <d v="1899-12-30T02:55:00"/>
    <d v="2023-04-01T00:00:00"/>
    <d v="1899-12-30T06:13:00"/>
    <s v="Mesero_4"/>
    <x v="0"/>
    <s v="Efectivo"/>
    <n v="26.29"/>
    <s v="Libre"/>
    <n v="30"/>
    <s v="Venezuela"/>
    <d v="1899-12-30T03:18:00"/>
    <n v="69"/>
    <s v="1:09"/>
    <d v="1899-12-30T02:09:00"/>
    <n v="112"/>
    <n v="27"/>
    <d v="2023-04-01T00:00:00"/>
    <x v="0"/>
    <x v="0"/>
    <s v="Efectivo"/>
    <n v="26.29"/>
    <n v="138.29"/>
  </r>
  <r>
    <n v="13"/>
    <s v="Cliente_229"/>
    <n v="3"/>
    <d v="2023-04-01T00:00:00"/>
    <d v="1899-12-30T02:51:00"/>
    <d v="2023-04-01T00:00:00"/>
    <d v="1899-12-30T06:02:00"/>
    <s v="Mesero_2"/>
    <x v="1"/>
    <s v="Tarjeta de crédito"/>
    <n v="19.809999999999999"/>
    <s v="Ocupada"/>
    <n v="31"/>
    <s v="Argentina"/>
    <d v="1899-12-30T03:26:00"/>
    <n v="105"/>
    <s v="1:45"/>
    <d v="1899-12-30T01:41:00"/>
    <n v="67"/>
    <n v="28"/>
    <d v="2023-04-01T00:00:00"/>
    <x v="0"/>
    <x v="0"/>
    <s v="Tarjeta de crédito"/>
    <n v="19.809999999999999"/>
    <n v="86.81"/>
  </r>
  <r>
    <n v="5"/>
    <s v="Cliente_27"/>
    <n v="1"/>
    <d v="2023-04-01T00:00:00"/>
    <d v="1899-12-30T03:08:00"/>
    <d v="2023-04-01T00:00:00"/>
    <d v="1899-12-30T06:49:00"/>
    <s v="Mesero_1"/>
    <x v="0"/>
    <s v="Tarjeta de crédito"/>
    <n v="28.25"/>
    <s v="Ocupada"/>
    <n v="32"/>
    <s v="Uruguay"/>
    <d v="1899-12-30T03:56:00"/>
    <n v="128"/>
    <s v="2:08"/>
    <d v="1899-12-30T01:48:00"/>
    <n v="211"/>
    <n v="64"/>
    <d v="2023-04-01T00:00:00"/>
    <x v="0"/>
    <x v="0"/>
    <s v="Tarjeta de crédito"/>
    <n v="28.25"/>
    <n v="239.25"/>
  </r>
  <r>
    <n v="4"/>
    <s v="Cliente_103"/>
    <n v="5"/>
    <d v="2023-04-01T00:00:00"/>
    <d v="1899-12-30T03:33:00"/>
    <d v="2023-04-01T00:00:00"/>
    <d v="1899-12-30T06:21:00"/>
    <s v="Mesero_4"/>
    <x v="2"/>
    <s v="Tarjeta de débito"/>
    <n v="20.38"/>
    <s v="Ocupada"/>
    <n v="33"/>
    <s v="Perú"/>
    <d v="1899-12-30T03:03:00"/>
    <n v="130"/>
    <s v="2:10"/>
    <d v="1899-12-30T00:53:00"/>
    <n v="306"/>
    <n v="71"/>
    <d v="2023-04-01T00:00:00"/>
    <x v="0"/>
    <x v="0"/>
    <s v="Tarjeta de débito"/>
    <n v="20.38"/>
    <n v="326.38"/>
  </r>
  <r>
    <n v="15"/>
    <s v="Cliente_1"/>
    <n v="1"/>
    <d v="2023-04-01T00:00:00"/>
    <d v="1899-12-30T02:16:00"/>
    <d v="2023-04-01T00:00:00"/>
    <d v="1899-12-30T06:07:00"/>
    <s v="Mesero_4"/>
    <x v="1"/>
    <s v="Tarjeta de crédito"/>
    <n v="13.08"/>
    <s v="Libre"/>
    <n v="34"/>
    <s v="Perú"/>
    <d v="1899-12-30T03:51:00"/>
    <n v="65"/>
    <s v="1:05"/>
    <d v="1899-12-30T02:46:00"/>
    <n v="112"/>
    <n v="35"/>
    <d v="2023-04-01T00:00:00"/>
    <x v="0"/>
    <x v="0"/>
    <s v="Tarjeta de crédito"/>
    <n v="13.08"/>
    <n v="125.08"/>
  </r>
  <r>
    <n v="13"/>
    <s v="Cliente_828"/>
    <n v="2"/>
    <d v="2023-04-01T00:00:00"/>
    <d v="1899-12-30T03:18:00"/>
    <d v="2023-04-01T00:00:00"/>
    <d v="1899-12-30T05:55:00"/>
    <s v="Mesero_3"/>
    <x v="0"/>
    <s v="Tarjeta de crédito"/>
    <n v="15.75"/>
    <s v="Ocupada"/>
    <n v="35"/>
    <s v="Perú"/>
    <d v="1899-12-30T02:52:00"/>
    <n v="65"/>
    <s v="1:05"/>
    <d v="1899-12-30T01:47:00"/>
    <n v="214"/>
    <n v="74"/>
    <d v="2023-04-01T00:00:00"/>
    <x v="0"/>
    <x v="0"/>
    <s v="Tarjeta de crédito"/>
    <n v="15.75"/>
    <n v="229.75"/>
  </r>
  <r>
    <n v="5"/>
    <s v="Cliente_874"/>
    <n v="5"/>
    <d v="2023-04-01T00:00:00"/>
    <d v="1899-12-30T03:27:00"/>
    <d v="2023-04-01T00:00:00"/>
    <d v="1899-12-30T06:26:00"/>
    <s v="Mesero_2"/>
    <x v="0"/>
    <s v="Tarjeta de crédito"/>
    <n v="45.28"/>
    <s v="Ocupada"/>
    <n v="36"/>
    <s v="Bolivia"/>
    <d v="1899-12-30T03:14:00"/>
    <n v="38"/>
    <s v="0:38"/>
    <d v="1899-12-30T02:36:00"/>
    <n v="30"/>
    <n v="18"/>
    <d v="2023-04-01T00:00:00"/>
    <x v="0"/>
    <x v="0"/>
    <s v="Tarjeta de crédito"/>
    <n v="45.28"/>
    <n v="75.28"/>
  </r>
  <r>
    <n v="20"/>
    <s v="Cliente_999"/>
    <n v="1"/>
    <d v="2023-04-01T00:00:00"/>
    <d v="1899-12-30T03:24:00"/>
    <d v="2023-04-01T00:00:00"/>
    <d v="1899-12-30T06:02:00"/>
    <s v="Mesero_5"/>
    <x v="2"/>
    <s v="Tarjeta de crédito"/>
    <n v="10.39"/>
    <s v="Ocupada"/>
    <n v="37"/>
    <s v="Brasil"/>
    <d v="1899-12-30T02:53:00"/>
    <n v="47"/>
    <s v="0:47"/>
    <d v="1899-12-30T02:06:00"/>
    <n v="21"/>
    <n v="13"/>
    <d v="2023-04-01T00:00:00"/>
    <x v="0"/>
    <x v="0"/>
    <s v="Tarjeta de crédito"/>
    <n v="10.39"/>
    <n v="31.39"/>
  </r>
  <r>
    <n v="10"/>
    <s v="Cliente_167"/>
    <n v="6"/>
    <d v="2023-04-01T00:00:00"/>
    <d v="1899-12-30T02:38:00"/>
    <d v="2023-04-01T00:00:00"/>
    <d v="1899-12-30T03:53:00"/>
    <s v="Mesero_4"/>
    <x v="0"/>
    <s v="Tarjeta de débito"/>
    <n v="16.309999999999999"/>
    <s v="Reservada"/>
    <n v="38"/>
    <s v="Chile"/>
    <d v="1899-12-30T01:15:00"/>
    <n v="98"/>
    <s v="1:38"/>
    <d v="1899-12-30T00:00:00"/>
    <n v="235"/>
    <n v="62"/>
    <d v="2023-04-01T00:00:00"/>
    <x v="0"/>
    <x v="1"/>
    <s v="Impago"/>
    <n v="0"/>
    <n v="0"/>
  </r>
  <r>
    <n v="15"/>
    <s v="Cliente_606"/>
    <n v="3"/>
    <d v="2023-04-01T00:00:00"/>
    <d v="1899-12-30T03:41:00"/>
    <d v="2023-04-01T00:00:00"/>
    <d v="1899-12-30T07:39:00"/>
    <s v="Mesero_2"/>
    <x v="2"/>
    <s v="Efectivo"/>
    <n v="48.36"/>
    <s v="Ocupada"/>
    <n v="39"/>
    <s v="Bolivia"/>
    <d v="1899-12-30T04:13:00"/>
    <n v="57"/>
    <s v="0:57"/>
    <d v="1899-12-30T03:16:00"/>
    <n v="108"/>
    <n v="22"/>
    <d v="2023-04-01T00:00:00"/>
    <x v="0"/>
    <x v="0"/>
    <s v="Efectivo"/>
    <n v="48.36"/>
    <n v="156.36000000000001"/>
  </r>
  <r>
    <n v="1"/>
    <s v="Cliente_710"/>
    <n v="1"/>
    <d v="2023-04-01T00:00:00"/>
    <d v="1899-12-30T02:00:00"/>
    <d v="2023-04-01T00:00:00"/>
    <d v="1899-12-30T04:05:00"/>
    <s v="Mesero_3"/>
    <x v="0"/>
    <s v="Efectivo"/>
    <n v="13.68"/>
    <s v="Libre"/>
    <n v="40"/>
    <s v="Argentina"/>
    <d v="1899-12-30T02:05:00"/>
    <n v="78"/>
    <s v="1:18"/>
    <d v="1899-12-30T00:47:00"/>
    <n v="148"/>
    <n v="53"/>
    <d v="2023-04-01T00:00:00"/>
    <x v="0"/>
    <x v="0"/>
    <s v="Efectivo"/>
    <n v="13.68"/>
    <n v="161.68"/>
  </r>
  <r>
    <n v="7"/>
    <s v="Cliente_870"/>
    <n v="4"/>
    <d v="2023-04-01T00:00:00"/>
    <d v="1899-12-30T02:14:00"/>
    <d v="2023-04-01T00:00:00"/>
    <d v="1899-12-30T04:20:00"/>
    <s v="Mesero_2"/>
    <x v="0"/>
    <s v="Tarjeta de crédito"/>
    <n v="15.24"/>
    <s v="Ocupada"/>
    <n v="41"/>
    <s v="Perú"/>
    <d v="1899-12-30T02:21:00"/>
    <n v="89"/>
    <s v="1:29"/>
    <d v="1899-12-30T00:52:00"/>
    <n v="204"/>
    <n v="52"/>
    <d v="2023-04-01T00:00:00"/>
    <x v="0"/>
    <x v="0"/>
    <s v="Tarjeta de crédito"/>
    <n v="15.24"/>
    <n v="219.24"/>
  </r>
  <r>
    <n v="14"/>
    <s v="Cliente_230"/>
    <n v="1"/>
    <d v="2023-04-01T00:00:00"/>
    <d v="1899-12-30T00:25:00"/>
    <d v="2023-04-01T00:00:00"/>
    <d v="1899-12-30T01:46:00"/>
    <s v="Mesero_2"/>
    <x v="0"/>
    <s v="Tarjeta de crédito"/>
    <n v="49.58"/>
    <s v="Reservada"/>
    <n v="42"/>
    <s v="Bolivia"/>
    <d v="1899-12-30T01:21:00"/>
    <n v="69"/>
    <s v="1:09"/>
    <d v="1899-12-30T00:12:00"/>
    <n v="102"/>
    <n v="38"/>
    <d v="2023-04-01T00:00:00"/>
    <x v="0"/>
    <x v="0"/>
    <s v="Tarjeta de crédito"/>
    <n v="49.58"/>
    <n v="151.57999999999998"/>
  </r>
  <r>
    <n v="8"/>
    <s v="Cliente_814"/>
    <n v="6"/>
    <d v="2023-04-01T00:00:00"/>
    <d v="1899-12-30T01:02:00"/>
    <d v="2023-04-01T00:00:00"/>
    <d v="1899-12-30T03:14:00"/>
    <s v="Mesero_4"/>
    <x v="0"/>
    <s v="Tarjeta de crédito"/>
    <n v="32.19"/>
    <s v="Ocupada"/>
    <n v="43"/>
    <s v="Perú"/>
    <d v="1899-12-30T02:27:00"/>
    <n v="146"/>
    <s v="2:26"/>
    <d v="1899-12-30T00:01:00"/>
    <n v="203"/>
    <n v="72"/>
    <d v="2023-04-01T00:00:00"/>
    <x v="0"/>
    <x v="0"/>
    <s v="Tarjeta de crédito"/>
    <n v="32.19"/>
    <n v="235.19"/>
  </r>
  <r>
    <n v="18"/>
    <s v="Cliente_710"/>
    <n v="1"/>
    <d v="2023-04-01T00:00:00"/>
    <d v="1899-12-30T03:06:00"/>
    <d v="2023-04-01T00:00:00"/>
    <d v="1899-12-30T06:18:00"/>
    <s v="Mesero_4"/>
    <x v="0"/>
    <s v="Tarjeta de crédito"/>
    <n v="42.6"/>
    <s v="Libre"/>
    <n v="44"/>
    <s v="España"/>
    <d v="1899-12-30T03:12:00"/>
    <n v="85"/>
    <s v="1:25"/>
    <d v="1899-12-30T01:47:00"/>
    <n v="122"/>
    <n v="43"/>
    <d v="2023-04-01T00:00:00"/>
    <x v="0"/>
    <x v="0"/>
    <s v="Tarjeta de crédito"/>
    <n v="42.6"/>
    <n v="164.6"/>
  </r>
  <r>
    <n v="17"/>
    <s v="Cliente_640"/>
    <n v="2"/>
    <d v="2023-04-01T00:00:00"/>
    <d v="1899-12-30T02:15:00"/>
    <d v="2023-04-01T00:00:00"/>
    <d v="1899-12-30T04:01:00"/>
    <s v="Mesero_2"/>
    <x v="0"/>
    <s v="Tarjeta de crédito"/>
    <n v="25.41"/>
    <s v="Reservada"/>
    <n v="45"/>
    <s v="Perú"/>
    <d v="1899-12-30T01:46:00"/>
    <n v="47"/>
    <s v="0:47"/>
    <d v="1899-12-30T00:59:00"/>
    <n v="54"/>
    <n v="10"/>
    <d v="2023-04-01T00:00:00"/>
    <x v="0"/>
    <x v="0"/>
    <s v="Tarjeta de crédito"/>
    <n v="25.41"/>
    <n v="79.41"/>
  </r>
  <r>
    <n v="10"/>
    <s v="Cliente_623"/>
    <n v="1"/>
    <d v="2023-04-01T00:00:00"/>
    <d v="1899-12-30T01:47:00"/>
    <d v="2023-04-01T00:00:00"/>
    <d v="1899-12-30T03:39:00"/>
    <s v="Mesero_5"/>
    <x v="0"/>
    <s v="Tarjeta de crédito"/>
    <n v="27.97"/>
    <s v="Libre"/>
    <n v="46"/>
    <s v="Chile"/>
    <d v="1899-12-30T01:52:00"/>
    <n v="86"/>
    <s v="1:26"/>
    <d v="1899-12-30T00:26:00"/>
    <n v="140"/>
    <n v="52"/>
    <d v="2023-04-01T00:00:00"/>
    <x v="0"/>
    <x v="0"/>
    <s v="Tarjeta de crédito"/>
    <n v="27.97"/>
    <n v="167.97"/>
  </r>
  <r>
    <n v="18"/>
    <s v="Cliente_72"/>
    <n v="3"/>
    <d v="2023-04-01T00:00:00"/>
    <d v="1899-12-30T03:30:00"/>
    <d v="2023-04-01T00:00:00"/>
    <d v="1899-12-30T07:29:00"/>
    <s v="Mesero_2"/>
    <x v="0"/>
    <s v="Tarjeta de crédito"/>
    <n v="10.98"/>
    <s v="Ocupada"/>
    <n v="47"/>
    <s v="Brasil"/>
    <d v="1899-12-30T04:14:00"/>
    <n v="87"/>
    <s v="1:27"/>
    <d v="1899-12-30T02:47:00"/>
    <n v="109"/>
    <n v="46"/>
    <d v="2023-04-01T00:00:00"/>
    <x v="0"/>
    <x v="0"/>
    <s v="Tarjeta de crédito"/>
    <n v="10.98"/>
    <n v="119.98"/>
  </r>
  <r>
    <n v="17"/>
    <s v="Cliente_963"/>
    <n v="2"/>
    <d v="2023-04-01T00:00:00"/>
    <d v="1899-12-30T00:28:00"/>
    <d v="2023-04-01T00:00:00"/>
    <d v="1899-12-30T04:02:00"/>
    <s v="Mesero_3"/>
    <x v="1"/>
    <s v="Tarjeta de crédito"/>
    <n v="25.31"/>
    <s v="Libre"/>
    <n v="48"/>
    <s v="Bolivia"/>
    <d v="1899-12-30T03:34:00"/>
    <n v="124"/>
    <s v="2:04"/>
    <d v="1899-12-30T01:30:00"/>
    <n v="158"/>
    <n v="49"/>
    <d v="2023-04-01T00:00:00"/>
    <x v="0"/>
    <x v="0"/>
    <s v="Tarjeta de crédito"/>
    <n v="25.31"/>
    <n v="183.31"/>
  </r>
  <r>
    <n v="8"/>
    <s v="Cliente_929"/>
    <n v="3"/>
    <d v="2023-04-01T00:00:00"/>
    <d v="1899-12-30T01:44:00"/>
    <d v="2023-04-01T00:00:00"/>
    <d v="1899-12-30T05:29:00"/>
    <s v="Mesero_2"/>
    <x v="0"/>
    <s v="Tarjeta de crédito"/>
    <n v="20.92"/>
    <s v="Libre"/>
    <n v="49"/>
    <s v="Uruguay"/>
    <d v="1899-12-30T03:45:00"/>
    <n v="81"/>
    <s v="1:21"/>
    <d v="1899-12-30T02:24:00"/>
    <n v="186"/>
    <n v="43"/>
    <d v="2023-04-01T00:00:00"/>
    <x v="0"/>
    <x v="0"/>
    <s v="Tarjeta de crédito"/>
    <n v="20.92"/>
    <n v="206.92000000000002"/>
  </r>
  <r>
    <n v="19"/>
    <s v="Cliente_708"/>
    <n v="5"/>
    <d v="2023-04-01T00:00:00"/>
    <d v="1899-12-30T03:54:00"/>
    <d v="2023-04-01T00:00:00"/>
    <d v="1899-12-30T06:57:00"/>
    <s v="Mesero_4"/>
    <x v="0"/>
    <s v="Tarjeta de débito"/>
    <n v="16.739999999999998"/>
    <s v="Ocupada"/>
    <n v="50"/>
    <s v="Argentina"/>
    <d v="1899-12-30T03:18:00"/>
    <n v="21"/>
    <s v="0:21"/>
    <d v="1899-12-30T02:57:00"/>
    <n v="76"/>
    <n v="32"/>
    <d v="2023-04-01T00:00:00"/>
    <x v="0"/>
    <x v="0"/>
    <s v="Tarjeta de débito"/>
    <n v="16.739999999999998"/>
    <n v="92.74"/>
  </r>
  <r>
    <n v="12"/>
    <s v="Cliente_631"/>
    <n v="1"/>
    <d v="2023-04-01T00:00:00"/>
    <d v="1899-12-30T01:42:00"/>
    <d v="2023-04-01T00:00:00"/>
    <d v="1899-12-30T03:02:00"/>
    <s v="Mesero_5"/>
    <x v="2"/>
    <s v="Tarjeta de crédito"/>
    <n v="37.08"/>
    <s v="Reservada"/>
    <n v="51"/>
    <s v="España"/>
    <d v="1899-12-30T01:20:00"/>
    <n v="164"/>
    <s v="2:44"/>
    <d v="1899-12-30T00:00:00"/>
    <n v="225"/>
    <n v="57"/>
    <d v="2023-04-01T00:00:00"/>
    <x v="0"/>
    <x v="1"/>
    <s v="Impago"/>
    <n v="0"/>
    <n v="0"/>
  </r>
  <r>
    <n v="7"/>
    <s v="Cliente_894"/>
    <n v="4"/>
    <d v="2023-04-01T00:00:00"/>
    <d v="1899-12-30T00:01:00"/>
    <d v="2023-04-01T00:00:00"/>
    <d v="1899-12-30T01:11:00"/>
    <s v="Mesero_3"/>
    <x v="0"/>
    <s v="Tarjeta de crédito"/>
    <n v="46.88"/>
    <s v="Libre"/>
    <n v="52"/>
    <s v="Paraguay"/>
    <d v="1899-12-30T01:10:00"/>
    <n v="62"/>
    <s v="1:02"/>
    <d v="1899-12-30T00:08:00"/>
    <n v="263"/>
    <n v="59"/>
    <d v="2023-04-01T00:00:00"/>
    <x v="0"/>
    <x v="0"/>
    <s v="Tarjeta de crédito"/>
    <n v="46.88"/>
    <n v="309.88"/>
  </r>
  <r>
    <n v="16"/>
    <s v="Cliente_63"/>
    <n v="5"/>
    <d v="2023-04-01T00:00:00"/>
    <d v="1899-12-30T03:01:00"/>
    <d v="2023-04-01T00:00:00"/>
    <d v="1899-12-30T04:44:00"/>
    <s v="Mesero_5"/>
    <x v="0"/>
    <s v="Tarjeta de débito"/>
    <n v="36.880000000000003"/>
    <s v="Libre"/>
    <n v="53"/>
    <s v="Paraguay"/>
    <d v="1899-12-30T01:43:00"/>
    <n v="112"/>
    <s v="1:52"/>
    <d v="1899-12-30T00:00:00"/>
    <n v="267"/>
    <n v="54"/>
    <d v="2023-04-01T00:00:00"/>
    <x v="0"/>
    <x v="1"/>
    <s v="Impago"/>
    <n v="0"/>
    <n v="0"/>
  </r>
  <r>
    <n v="6"/>
    <s v="Cliente_144"/>
    <n v="6"/>
    <d v="2023-04-01T00:00:00"/>
    <d v="1899-12-30T00:40:00"/>
    <d v="2023-04-01T00:00:00"/>
    <d v="1899-12-30T04:14:00"/>
    <s v="Mesero_4"/>
    <x v="2"/>
    <s v="Tarjeta de crédito"/>
    <n v="23.36"/>
    <s v="Reservada"/>
    <n v="54"/>
    <s v="Bolivia"/>
    <d v="1899-12-30T03:34:00"/>
    <n v="203"/>
    <s v="3:23"/>
    <d v="1899-12-30T00:11:00"/>
    <n v="187"/>
    <n v="70"/>
    <d v="2023-04-01T00:00:00"/>
    <x v="0"/>
    <x v="0"/>
    <s v="Tarjeta de crédito"/>
    <n v="23.36"/>
    <n v="210.36"/>
  </r>
  <r>
    <n v="20"/>
    <s v="Cliente_390"/>
    <n v="5"/>
    <d v="2023-04-01T00:00:00"/>
    <d v="1899-12-30T01:30:00"/>
    <d v="2023-04-01T00:00:00"/>
    <d v="1899-12-30T05:00:00"/>
    <s v="Mesero_4"/>
    <x v="2"/>
    <s v="Tarjeta de crédito"/>
    <n v="45.49"/>
    <s v="Ocupada"/>
    <n v="55"/>
    <s v="Perú"/>
    <d v="1899-12-30T03:45:00"/>
    <n v="96"/>
    <s v="1:36"/>
    <d v="1899-12-30T02:09:00"/>
    <n v="255"/>
    <n v="75"/>
    <d v="2023-04-01T00:00:00"/>
    <x v="0"/>
    <x v="0"/>
    <s v="Tarjeta de crédito"/>
    <n v="45.49"/>
    <n v="300.49"/>
  </r>
  <r>
    <n v="1"/>
    <s v="Cliente_728"/>
    <n v="3"/>
    <d v="2023-04-01T00:00:00"/>
    <d v="1899-12-30T01:20:00"/>
    <d v="2023-04-01T00:00:00"/>
    <d v="1899-12-30T04:57:00"/>
    <s v="Mesero_5"/>
    <x v="0"/>
    <s v="Tarjeta de débito"/>
    <n v="43.2"/>
    <s v="Libre"/>
    <n v="56"/>
    <s v="Ecuador"/>
    <d v="1899-12-30T03:37:00"/>
    <n v="78"/>
    <s v="1:18"/>
    <d v="1899-12-30T02:19:00"/>
    <n v="48"/>
    <n v="28"/>
    <d v="2023-04-01T00:00:00"/>
    <x v="0"/>
    <x v="0"/>
    <s v="Tarjeta de débito"/>
    <n v="43.2"/>
    <n v="91.2"/>
  </r>
  <r>
    <n v="18"/>
    <s v="Cliente_886"/>
    <n v="2"/>
    <d v="2023-04-01T00:00:00"/>
    <d v="1899-12-30T03:04:00"/>
    <d v="2023-04-01T00:00:00"/>
    <d v="1899-12-30T04:52:00"/>
    <s v="Mesero_2"/>
    <x v="0"/>
    <s v="Tarjeta de crédito"/>
    <n v="45.45"/>
    <s v="Libre"/>
    <n v="57"/>
    <s v="Colombia"/>
    <d v="1899-12-30T01:48:00"/>
    <n v="68"/>
    <s v="1:08"/>
    <d v="1899-12-30T00:40:00"/>
    <n v="169"/>
    <n v="81"/>
    <d v="2023-04-01T00:00:00"/>
    <x v="0"/>
    <x v="0"/>
    <s v="Tarjeta de crédito"/>
    <n v="45.45"/>
    <n v="214.45"/>
  </r>
  <r>
    <n v="8"/>
    <s v="Cliente_510"/>
    <n v="3"/>
    <d v="2023-04-01T00:00:00"/>
    <d v="1899-12-30T01:31:00"/>
    <d v="2023-04-01T00:00:00"/>
    <d v="1899-12-30T04:21:00"/>
    <s v="Mesero_1"/>
    <x v="2"/>
    <s v="Tarjeta de crédito"/>
    <n v="30.7"/>
    <s v="Reservada"/>
    <n v="58"/>
    <s v="Brasil"/>
    <d v="1899-12-30T02:50:00"/>
    <n v="73"/>
    <s v="1:13"/>
    <d v="1899-12-30T01:37:00"/>
    <n v="82"/>
    <n v="25"/>
    <d v="2023-04-01T00:00:00"/>
    <x v="0"/>
    <x v="0"/>
    <s v="Tarjeta de crédito"/>
    <n v="30.7"/>
    <n v="112.7"/>
  </r>
  <r>
    <n v="8"/>
    <s v="Cliente_878"/>
    <n v="4"/>
    <d v="2023-04-01T00:00:00"/>
    <d v="1899-12-30T01:21:00"/>
    <d v="2023-04-01T00:00:00"/>
    <d v="1899-12-30T05:04:00"/>
    <s v="Mesero_1"/>
    <x v="0"/>
    <s v="Efectivo"/>
    <n v="33.89"/>
    <s v="Libre"/>
    <n v="59"/>
    <s v="Colombia"/>
    <d v="1899-12-30T03:43:00"/>
    <n v="48"/>
    <s v="0:48"/>
    <d v="1899-12-30T02:55:00"/>
    <n v="160"/>
    <n v="60"/>
    <d v="2023-04-01T00:00:00"/>
    <x v="0"/>
    <x v="0"/>
    <s v="Efectivo"/>
    <n v="33.89"/>
    <n v="193.89"/>
  </r>
  <r>
    <n v="6"/>
    <s v="Cliente_977"/>
    <n v="1"/>
    <d v="2023-04-01T00:00:00"/>
    <d v="1899-12-30T02:09:00"/>
    <d v="2023-04-01T00:00:00"/>
    <d v="1899-12-30T05:46:00"/>
    <s v="Mesero_1"/>
    <x v="0"/>
    <s v="Tarjeta de crédito"/>
    <n v="19.54"/>
    <s v="Reservada"/>
    <n v="60"/>
    <s v="Bolivia"/>
    <d v="1899-12-30T03:37:00"/>
    <n v="43"/>
    <s v="0:43"/>
    <d v="1899-12-30T02:54:00"/>
    <n v="102"/>
    <n v="30"/>
    <d v="2023-04-01T00:00:00"/>
    <x v="0"/>
    <x v="0"/>
    <s v="Tarjeta de crédito"/>
    <n v="19.54"/>
    <n v="121.53999999999999"/>
  </r>
  <r>
    <n v="10"/>
    <s v="Cliente_553"/>
    <n v="5"/>
    <d v="2023-04-01T00:00:00"/>
    <d v="1899-12-30T03:49:00"/>
    <d v="2023-04-01T00:00:00"/>
    <d v="1899-12-30T06:22:00"/>
    <s v="Mesero_2"/>
    <x v="0"/>
    <s v="Tarjeta de crédito"/>
    <n v="42.87"/>
    <s v="Ocupada"/>
    <n v="61"/>
    <s v="Chile"/>
    <d v="1899-12-30T02:48:00"/>
    <n v="159"/>
    <s v="2:39"/>
    <d v="1899-12-30T00:09:00"/>
    <n v="242"/>
    <n v="69"/>
    <d v="2023-04-01T00:00:00"/>
    <x v="0"/>
    <x v="0"/>
    <s v="Tarjeta de crédito"/>
    <n v="42.87"/>
    <n v="284.87"/>
  </r>
  <r>
    <n v="2"/>
    <s v="Cliente_792"/>
    <n v="1"/>
    <d v="2023-04-01T00:00:00"/>
    <d v="1899-12-30T02:47:00"/>
    <d v="2023-04-01T00:00:00"/>
    <d v="1899-12-30T06:24:00"/>
    <s v="Mesero_1"/>
    <x v="2"/>
    <s v="Tarjeta de crédito"/>
    <n v="37.93"/>
    <s v="Ocupada"/>
    <n v="62"/>
    <s v="Argentina"/>
    <d v="1899-12-30T03:52:00"/>
    <n v="155"/>
    <s v="2:35"/>
    <d v="1899-12-30T01:17:00"/>
    <n v="148"/>
    <n v="48"/>
    <d v="2023-04-01T00:00:00"/>
    <x v="0"/>
    <x v="0"/>
    <s v="Tarjeta de crédito"/>
    <n v="37.93"/>
    <n v="185.93"/>
  </r>
  <r>
    <n v="17"/>
    <s v="Cliente_881"/>
    <n v="4"/>
    <d v="2023-04-01T00:00:00"/>
    <d v="1899-12-30T00:41:00"/>
    <d v="2023-04-01T00:00:00"/>
    <d v="1899-12-30T04:06:00"/>
    <s v="Mesero_4"/>
    <x v="0"/>
    <s v="Tarjeta de crédito"/>
    <n v="33.340000000000003"/>
    <s v="Reservada"/>
    <n v="63"/>
    <s v="Colombia"/>
    <d v="1899-12-30T03:25:00"/>
    <n v="30"/>
    <s v="0:30"/>
    <d v="1899-12-30T02:55:00"/>
    <n v="55"/>
    <n v="33"/>
    <d v="2023-04-01T00:00:00"/>
    <x v="0"/>
    <x v="0"/>
    <s v="Tarjeta de crédito"/>
    <n v="33.340000000000003"/>
    <n v="88.34"/>
  </r>
  <r>
    <n v="3"/>
    <s v="Cliente_265"/>
    <n v="3"/>
    <d v="2023-04-01T00:00:00"/>
    <d v="1899-12-30T01:40:00"/>
    <d v="2023-04-01T00:00:00"/>
    <d v="1899-12-30T04:02:00"/>
    <s v="Mesero_5"/>
    <x v="1"/>
    <s v="Efectivo"/>
    <n v="34.770000000000003"/>
    <s v="Reservada"/>
    <n v="64"/>
    <s v="Perú"/>
    <d v="1899-12-30T02:22:00"/>
    <n v="82"/>
    <s v="1:22"/>
    <d v="1899-12-30T01:00:00"/>
    <n v="288"/>
    <n v="59"/>
    <d v="2023-04-01T00:00:00"/>
    <x v="0"/>
    <x v="0"/>
    <s v="Efectivo"/>
    <n v="34.770000000000003"/>
    <n v="322.77"/>
  </r>
  <r>
    <n v="5"/>
    <s v="Cliente_946"/>
    <n v="1"/>
    <d v="2023-04-01T00:00:00"/>
    <d v="1899-12-30T01:54:00"/>
    <d v="2023-04-01T00:00:00"/>
    <d v="1899-12-30T03:03:00"/>
    <s v="Mesero_3"/>
    <x v="0"/>
    <s v="Tarjeta de débito"/>
    <n v="14"/>
    <s v="Ocupada"/>
    <n v="65"/>
    <s v="Bolivia"/>
    <d v="1899-12-30T01:24:00"/>
    <n v="155"/>
    <s v="2:35"/>
    <d v="1899-12-30T00:00:00"/>
    <n v="196"/>
    <n v="71"/>
    <d v="2023-04-01T00:00:00"/>
    <x v="0"/>
    <x v="1"/>
    <s v="Impago"/>
    <n v="0"/>
    <n v="0"/>
  </r>
  <r>
    <n v="18"/>
    <s v="Cliente_614"/>
    <n v="2"/>
    <d v="2023-04-01T00:00:00"/>
    <d v="1899-12-30T02:28:00"/>
    <d v="2023-04-01T00:00:00"/>
    <d v="1899-12-30T06:18:00"/>
    <s v="Mesero_5"/>
    <x v="0"/>
    <s v="Tarjeta de crédito"/>
    <n v="10.88"/>
    <s v="Reservada"/>
    <n v="66"/>
    <s v="España"/>
    <d v="1899-12-30T03:50:00"/>
    <n v="114"/>
    <s v="1:54"/>
    <d v="1899-12-30T01:56:00"/>
    <n v="210"/>
    <n v="57"/>
    <d v="2023-04-01T00:00:00"/>
    <x v="0"/>
    <x v="0"/>
    <s v="Tarjeta de crédito"/>
    <n v="10.88"/>
    <n v="220.88"/>
  </r>
  <r>
    <n v="2"/>
    <s v="Cliente_352"/>
    <n v="6"/>
    <d v="2023-04-01T00:00:00"/>
    <d v="1899-12-30T03:45:00"/>
    <d v="2023-04-01T00:00:00"/>
    <d v="1899-12-30T05:10:00"/>
    <s v="Mesero_2"/>
    <x v="0"/>
    <s v="Tarjeta de débito"/>
    <n v="21.25"/>
    <s v="Reservada"/>
    <n v="67"/>
    <s v="Perú"/>
    <d v="1899-12-30T01:25:00"/>
    <n v="131"/>
    <s v="2:11"/>
    <d v="1899-12-30T00:00:00"/>
    <n v="256"/>
    <n v="80"/>
    <d v="2023-04-01T00:00:00"/>
    <x v="0"/>
    <x v="1"/>
    <s v="Impago"/>
    <n v="0"/>
    <n v="0"/>
  </r>
  <r>
    <n v="8"/>
    <s v="Cliente_784"/>
    <n v="4"/>
    <d v="2023-04-01T00:00:00"/>
    <d v="1899-12-30T00:02:00"/>
    <d v="2023-04-01T00:00:00"/>
    <d v="1899-12-30T03:15:00"/>
    <s v="Mesero_5"/>
    <x v="2"/>
    <s v="Tarjeta de crédito"/>
    <n v="45.65"/>
    <s v="Ocupada"/>
    <n v="68"/>
    <s v="Brasil"/>
    <d v="1899-12-30T03:28:00"/>
    <n v="145"/>
    <s v="2:25"/>
    <d v="1899-12-30T01:03:00"/>
    <n v="218"/>
    <n v="64"/>
    <d v="2023-04-01T00:00:00"/>
    <x v="0"/>
    <x v="0"/>
    <s v="Tarjeta de crédito"/>
    <n v="45.65"/>
    <n v="263.64999999999998"/>
  </r>
  <r>
    <n v="5"/>
    <s v="Cliente_118"/>
    <n v="4"/>
    <d v="2023-04-01T00:00:00"/>
    <d v="1899-12-30T02:02:00"/>
    <d v="2023-04-01T00:00:00"/>
    <d v="1899-12-30T03:57:00"/>
    <s v="Mesero_2"/>
    <x v="0"/>
    <s v="Tarjeta de crédito"/>
    <n v="31.49"/>
    <s v="Libre"/>
    <n v="69"/>
    <s v="Perú"/>
    <d v="1899-12-30T01:55:00"/>
    <n v="92"/>
    <s v="1:32"/>
    <d v="1899-12-30T00:23:00"/>
    <n v="234"/>
    <n v="47"/>
    <d v="2023-04-01T00:00:00"/>
    <x v="0"/>
    <x v="0"/>
    <s v="Tarjeta de crédito"/>
    <n v="31.49"/>
    <n v="265.49"/>
  </r>
  <r>
    <n v="17"/>
    <s v="Cliente_61"/>
    <n v="4"/>
    <d v="2023-04-01T00:00:00"/>
    <d v="1899-12-30T00:11:00"/>
    <d v="2023-04-01T00:00:00"/>
    <d v="1899-12-30T01:22:00"/>
    <s v="Mesero_4"/>
    <x v="0"/>
    <s v="Tarjeta de débito"/>
    <n v="28.26"/>
    <s v="Libre"/>
    <n v="70"/>
    <s v="Paraguay"/>
    <d v="1899-12-30T01:11:00"/>
    <n v="40"/>
    <s v="0:40"/>
    <d v="1899-12-30T00:31:00"/>
    <n v="118"/>
    <n v="35"/>
    <d v="2023-04-01T00:00:00"/>
    <x v="0"/>
    <x v="0"/>
    <s v="Tarjeta de débito"/>
    <n v="28.26"/>
    <n v="146.26"/>
  </r>
  <r>
    <n v="18"/>
    <s v="Cliente_440"/>
    <n v="4"/>
    <d v="2023-04-01T00:00:00"/>
    <d v="1899-12-30T01:57:00"/>
    <d v="2023-04-01T00:00:00"/>
    <d v="1899-12-30T05:56:00"/>
    <s v="Mesero_3"/>
    <x v="0"/>
    <s v="Tarjeta de crédito"/>
    <n v="24.01"/>
    <s v="Ocupada"/>
    <n v="71"/>
    <s v="Paraguay"/>
    <d v="1899-12-30T04:14:00"/>
    <n v="49"/>
    <s v="0:49"/>
    <d v="1899-12-30T03:25:00"/>
    <n v="136"/>
    <n v="32"/>
    <d v="2023-04-01T00:00:00"/>
    <x v="0"/>
    <x v="0"/>
    <s v="Tarjeta de crédito"/>
    <n v="24.01"/>
    <n v="160.01"/>
  </r>
  <r>
    <n v="17"/>
    <s v="Cliente_258"/>
    <n v="1"/>
    <d v="2023-04-01T00:00:00"/>
    <d v="1899-12-30T02:42:00"/>
    <d v="2023-04-01T00:00:00"/>
    <d v="1899-12-30T05:51:00"/>
    <s v="Mesero_2"/>
    <x v="0"/>
    <s v="Tarjeta de crédito"/>
    <n v="15.28"/>
    <s v="Reservada"/>
    <n v="72"/>
    <s v="Perú"/>
    <d v="1899-12-30T03:09:00"/>
    <n v="54"/>
    <s v="0:54"/>
    <d v="1899-12-30T02:15:00"/>
    <n v="75"/>
    <n v="23"/>
    <d v="2023-04-01T00:00:00"/>
    <x v="0"/>
    <x v="0"/>
    <s v="Tarjeta de crédito"/>
    <n v="15.28"/>
    <n v="90.28"/>
  </r>
  <r>
    <n v="1"/>
    <s v="Cliente_742"/>
    <n v="4"/>
    <d v="2023-04-01T00:00:00"/>
    <d v="1899-12-30T02:39:00"/>
    <d v="2023-04-01T00:00:00"/>
    <d v="1899-12-30T06:09:00"/>
    <s v="Mesero_4"/>
    <x v="1"/>
    <s v="Tarjeta de crédito"/>
    <n v="34.51"/>
    <s v="Libre"/>
    <n v="73"/>
    <s v="Argentina"/>
    <d v="1899-12-30T03:30:00"/>
    <n v="20"/>
    <s v="0:20"/>
    <d v="1899-12-30T03:10:00"/>
    <n v="81"/>
    <n v="16"/>
    <d v="2023-04-01T00:00:00"/>
    <x v="0"/>
    <x v="0"/>
    <s v="Tarjeta de crédito"/>
    <n v="34.51"/>
    <n v="115.50999999999999"/>
  </r>
  <r>
    <n v="19"/>
    <s v="Cliente_865"/>
    <n v="4"/>
    <d v="2023-04-01T00:00:00"/>
    <d v="1899-12-30T01:04:00"/>
    <d v="2023-04-01T00:00:00"/>
    <d v="1899-12-30T04:13:00"/>
    <s v="Mesero_4"/>
    <x v="0"/>
    <s v="Tarjeta de crédito"/>
    <n v="30.83"/>
    <s v="Libre"/>
    <n v="74"/>
    <s v="Brasil"/>
    <d v="1899-12-30T03:09:00"/>
    <n v="100"/>
    <s v="1:40"/>
    <d v="1899-12-30T01:29:00"/>
    <n v="218"/>
    <n v="54"/>
    <d v="2023-04-01T00:00:00"/>
    <x v="0"/>
    <x v="0"/>
    <s v="Tarjeta de crédito"/>
    <n v="30.83"/>
    <n v="248.82999999999998"/>
  </r>
  <r>
    <n v="19"/>
    <s v="Cliente_79"/>
    <n v="5"/>
    <d v="2023-04-01T00:00:00"/>
    <d v="1899-12-30T03:36:00"/>
    <d v="2023-04-01T00:00:00"/>
    <d v="1899-12-30T04:49:00"/>
    <s v="Mesero_5"/>
    <x v="0"/>
    <s v="Tarjeta de crédito"/>
    <n v="45.23"/>
    <s v="Ocupada"/>
    <n v="75"/>
    <s v="Venezuela"/>
    <d v="1899-12-30T01:28:00"/>
    <n v="51"/>
    <s v="0:51"/>
    <d v="1899-12-30T00:37:00"/>
    <n v="109"/>
    <n v="39"/>
    <d v="2023-04-01T00:00:00"/>
    <x v="0"/>
    <x v="0"/>
    <s v="Tarjeta de crédito"/>
    <n v="45.23"/>
    <n v="154.22999999999999"/>
  </r>
  <r>
    <n v="17"/>
    <s v="Cliente_42"/>
    <n v="3"/>
    <d v="2023-04-01T00:00:00"/>
    <d v="1899-12-30T02:57:00"/>
    <d v="2023-04-01T00:00:00"/>
    <d v="1899-12-30T05:24:00"/>
    <s v="Mesero_1"/>
    <x v="0"/>
    <s v="Tarjeta de crédito"/>
    <n v="17.760000000000002"/>
    <s v="Reservada"/>
    <n v="76"/>
    <s v="Argentina"/>
    <d v="1899-12-30T02:27:00"/>
    <n v="97"/>
    <s v="1:37"/>
    <d v="1899-12-30T00:50:00"/>
    <n v="158"/>
    <n v="57"/>
    <d v="2023-04-01T00:00:00"/>
    <x v="0"/>
    <x v="0"/>
    <s v="Tarjeta de crédito"/>
    <n v="17.760000000000002"/>
    <n v="175.76"/>
  </r>
  <r>
    <n v="3"/>
    <s v="Cliente_374"/>
    <n v="1"/>
    <d v="2023-04-01T00:00:00"/>
    <d v="1899-12-30T02:46:00"/>
    <d v="2023-04-01T00:00:00"/>
    <d v="1899-12-30T06:15:00"/>
    <s v="Mesero_3"/>
    <x v="2"/>
    <s v="Tarjeta de crédito"/>
    <n v="19.88"/>
    <s v="Libre"/>
    <n v="77"/>
    <s v="Bolivia"/>
    <d v="1899-12-30T03:29:00"/>
    <n v="97"/>
    <s v="1:37"/>
    <d v="1899-12-30T01:52:00"/>
    <n v="99"/>
    <n v="44"/>
    <d v="2023-04-01T00:00:00"/>
    <x v="0"/>
    <x v="0"/>
    <s v="Tarjeta de crédito"/>
    <n v="19.88"/>
    <n v="118.88"/>
  </r>
  <r>
    <n v="7"/>
    <s v="Cliente_636"/>
    <n v="4"/>
    <d v="2023-04-01T00:00:00"/>
    <d v="1899-12-30T01:34:00"/>
    <d v="2023-04-01T00:00:00"/>
    <d v="1899-12-30T03:03:00"/>
    <s v="Mesero_3"/>
    <x v="0"/>
    <s v="Tarjeta de crédito"/>
    <n v="20.02"/>
    <s v="Libre"/>
    <n v="78"/>
    <s v="Colombia"/>
    <d v="1899-12-30T01:29:00"/>
    <n v="54"/>
    <s v="0:54"/>
    <d v="1899-12-30T00:35:00"/>
    <n v="57"/>
    <n v="11"/>
    <d v="2023-04-01T00:00:00"/>
    <x v="0"/>
    <x v="0"/>
    <s v="Tarjeta de crédito"/>
    <n v="20.02"/>
    <n v="77.02"/>
  </r>
  <r>
    <n v="16"/>
    <s v="Cliente_753"/>
    <n v="2"/>
    <d v="2023-04-01T00:00:00"/>
    <d v="1899-12-30T01:34:00"/>
    <d v="2023-04-01T00:00:00"/>
    <d v="1899-12-30T05:08:00"/>
    <s v="Mesero_3"/>
    <x v="0"/>
    <s v="Tarjeta de crédito"/>
    <n v="34.01"/>
    <s v="Libre"/>
    <n v="79"/>
    <s v="Venezuela"/>
    <d v="1899-12-30T03:34:00"/>
    <n v="96"/>
    <s v="1:36"/>
    <d v="1899-12-30T01:58:00"/>
    <n v="309"/>
    <n v="62"/>
    <d v="2023-04-01T00:00:00"/>
    <x v="0"/>
    <x v="0"/>
    <s v="Tarjeta de crédito"/>
    <n v="34.01"/>
    <n v="343.01"/>
  </r>
  <r>
    <n v="18"/>
    <s v="Cliente_632"/>
    <n v="6"/>
    <d v="2023-04-01T00:00:00"/>
    <d v="1899-12-30T02:14:00"/>
    <d v="2023-04-01T00:00:00"/>
    <d v="1899-12-30T03:46:00"/>
    <s v="Mesero_4"/>
    <x v="0"/>
    <s v="Tarjeta de crédito"/>
    <n v="39.049999999999997"/>
    <s v="Libre"/>
    <n v="80"/>
    <s v="Venezuela"/>
    <d v="1899-12-30T01:32:00"/>
    <n v="67"/>
    <s v="1:07"/>
    <d v="1899-12-30T00:25:00"/>
    <n v="121"/>
    <n v="44"/>
    <d v="2023-04-01T00:00:00"/>
    <x v="0"/>
    <x v="0"/>
    <s v="Tarjeta de crédito"/>
    <n v="39.049999999999997"/>
    <n v="160.05000000000001"/>
  </r>
  <r>
    <n v="17"/>
    <s v="Cliente_969"/>
    <n v="4"/>
    <d v="2023-04-01T00:00:00"/>
    <d v="1899-12-30T03:40:00"/>
    <d v="2023-04-01T00:00:00"/>
    <d v="1899-12-30T06:31:00"/>
    <s v="Mesero_5"/>
    <x v="2"/>
    <s v="Tarjeta de crédito"/>
    <n v="23.69"/>
    <s v="Ocupada"/>
    <n v="81"/>
    <s v="Uruguay"/>
    <d v="1899-12-30T03:06:00"/>
    <n v="59"/>
    <s v="0:59"/>
    <d v="1899-12-30T02:07:00"/>
    <n v="62"/>
    <n v="19"/>
    <d v="2023-04-01T00:00:00"/>
    <x v="0"/>
    <x v="0"/>
    <s v="Tarjeta de crédito"/>
    <n v="23.69"/>
    <n v="85.69"/>
  </r>
  <r>
    <n v="16"/>
    <s v="Cliente_574"/>
    <n v="3"/>
    <d v="2023-04-01T00:00:00"/>
    <d v="1899-12-30T03:25:00"/>
    <d v="2023-04-01T00:00:00"/>
    <d v="1899-12-30T07:10:00"/>
    <s v="Mesero_5"/>
    <x v="1"/>
    <s v="Tarjeta de crédito"/>
    <n v="38.6"/>
    <s v="Libre"/>
    <n v="82"/>
    <s v="Paraguay"/>
    <d v="1899-12-30T03:45:00"/>
    <n v="19"/>
    <s v="0:19"/>
    <d v="1899-12-30T03:26:00"/>
    <n v="80"/>
    <n v="33"/>
    <d v="2023-04-01T00:00:00"/>
    <x v="0"/>
    <x v="0"/>
    <s v="Tarjeta de crédito"/>
    <n v="38.6"/>
    <n v="118.6"/>
  </r>
  <r>
    <n v="15"/>
    <s v="Cliente_292"/>
    <n v="1"/>
    <d v="2023-04-01T00:00:00"/>
    <d v="1899-12-30T03:42:00"/>
    <d v="2023-04-01T00:00:00"/>
    <d v="1899-12-30T06:39:00"/>
    <s v="Mesero_1"/>
    <x v="2"/>
    <s v="Tarjeta de crédito"/>
    <n v="24.94"/>
    <s v="Ocupada"/>
    <n v="83"/>
    <s v="Argentina"/>
    <d v="1899-12-30T03:12:00"/>
    <n v="94"/>
    <s v="1:34"/>
    <d v="1899-12-30T01:38:00"/>
    <n v="170"/>
    <n v="47"/>
    <d v="2023-04-01T00:00:00"/>
    <x v="0"/>
    <x v="0"/>
    <s v="Tarjeta de crédito"/>
    <n v="24.94"/>
    <n v="194.94"/>
  </r>
  <r>
    <n v="19"/>
    <s v="Cliente_148"/>
    <n v="5"/>
    <d v="2023-04-01T00:00:00"/>
    <d v="1899-12-30T01:42:00"/>
    <d v="2023-04-01T00:00:00"/>
    <d v="1899-12-30T03:18:00"/>
    <s v="Mesero_4"/>
    <x v="0"/>
    <s v="Tarjeta de crédito"/>
    <n v="15.11"/>
    <s v="Ocupada"/>
    <n v="84"/>
    <s v="Perú"/>
    <d v="1899-12-30T01:51:00"/>
    <n v="10"/>
    <s v="0:10"/>
    <d v="1899-12-30T01:41:00"/>
    <n v="60"/>
    <n v="18"/>
    <d v="2023-04-01T00:00:00"/>
    <x v="0"/>
    <x v="0"/>
    <s v="Tarjeta de crédito"/>
    <n v="15.11"/>
    <n v="75.11"/>
  </r>
  <r>
    <n v="8"/>
    <s v="Cliente_747"/>
    <n v="3"/>
    <d v="2023-04-01T00:00:00"/>
    <d v="1899-12-30T02:35:00"/>
    <d v="2023-04-01T00:00:00"/>
    <d v="1899-12-30T04:31:00"/>
    <s v="Mesero_2"/>
    <x v="2"/>
    <s v="Tarjeta de crédito"/>
    <n v="45.96"/>
    <s v="Libre"/>
    <n v="85"/>
    <s v="Ecuador"/>
    <d v="1899-12-30T01:56:00"/>
    <n v="142"/>
    <s v="2:22"/>
    <d v="1899-12-30T00:00:00"/>
    <n v="208"/>
    <n v="69"/>
    <d v="2023-04-01T00:00:00"/>
    <x v="0"/>
    <x v="1"/>
    <s v="Impago"/>
    <n v="0"/>
    <n v="0"/>
  </r>
  <r>
    <n v="20"/>
    <s v="Cliente_501"/>
    <n v="3"/>
    <d v="2023-04-01T00:00:00"/>
    <d v="1899-12-30T00:02:00"/>
    <d v="2023-04-01T00:00:00"/>
    <d v="1899-12-30T02:08:00"/>
    <s v="Mesero_5"/>
    <x v="0"/>
    <s v="Tarjeta de débito"/>
    <n v="11.84"/>
    <s v="Libre"/>
    <n v="86"/>
    <s v="España"/>
    <d v="1899-12-30T02:06:00"/>
    <n v="8"/>
    <s v="0:08"/>
    <d v="1899-12-30T01:58:00"/>
    <n v="50"/>
    <n v="15"/>
    <d v="2023-04-01T00:00:00"/>
    <x v="0"/>
    <x v="0"/>
    <s v="Tarjeta de débito"/>
    <n v="11.84"/>
    <n v="61.84"/>
  </r>
  <r>
    <n v="3"/>
    <s v="Cliente_733"/>
    <n v="2"/>
    <d v="2023-04-01T00:00:00"/>
    <d v="1899-12-30T01:46:00"/>
    <d v="2023-04-01T00:00:00"/>
    <d v="1899-12-30T03:18:00"/>
    <s v="Mesero_4"/>
    <x v="0"/>
    <s v="Tarjeta de crédito"/>
    <n v="29.46"/>
    <s v="Ocupada"/>
    <n v="87"/>
    <s v="Venezuela"/>
    <d v="1899-12-30T01:47:00"/>
    <n v="71"/>
    <s v="1:11"/>
    <d v="1899-12-30T00:36:00"/>
    <n v="99"/>
    <n v="48"/>
    <d v="2023-04-01T00:00:00"/>
    <x v="0"/>
    <x v="0"/>
    <s v="Tarjeta de crédito"/>
    <n v="29.46"/>
    <n v="128.46"/>
  </r>
  <r>
    <n v="18"/>
    <s v="Cliente_36"/>
    <n v="1"/>
    <d v="2023-04-01T00:00:00"/>
    <d v="1899-12-30T03:30:00"/>
    <d v="2023-04-01T00:00:00"/>
    <d v="1899-12-30T06:40:00"/>
    <s v="Mesero_4"/>
    <x v="0"/>
    <s v="Tarjeta de débito"/>
    <n v="23.93"/>
    <s v="Reservada"/>
    <n v="88"/>
    <s v="Ecuador"/>
    <d v="1899-12-30T03:10:00"/>
    <n v="117"/>
    <s v="1:57"/>
    <d v="1899-12-30T01:13:00"/>
    <n v="123"/>
    <n v="51"/>
    <d v="2023-04-01T00:00:00"/>
    <x v="0"/>
    <x v="0"/>
    <s v="Tarjeta de débito"/>
    <n v="23.93"/>
    <n v="146.93"/>
  </r>
  <r>
    <n v="11"/>
    <s v="Cliente_553"/>
    <n v="4"/>
    <d v="2023-04-01T00:00:00"/>
    <d v="1899-12-30T00:42:00"/>
    <d v="2023-04-01T00:00:00"/>
    <d v="1899-12-30T02:19:00"/>
    <s v="Mesero_5"/>
    <x v="1"/>
    <s v="Tarjeta de débito"/>
    <n v="12.28"/>
    <s v="Libre"/>
    <n v="89"/>
    <s v="Uruguay"/>
    <d v="1899-12-30T01:37:00"/>
    <n v="142"/>
    <s v="2:22"/>
    <d v="1899-12-30T00:00:00"/>
    <n v="159"/>
    <n v="47"/>
    <d v="2023-04-01T00:00:00"/>
    <x v="0"/>
    <x v="1"/>
    <s v="Impago"/>
    <n v="0"/>
    <n v="0"/>
  </r>
  <r>
    <n v="6"/>
    <s v="Cliente_1000"/>
    <n v="3"/>
    <d v="2023-04-01T00:00:00"/>
    <d v="1899-12-30T01:17:00"/>
    <d v="2023-04-01T00:00:00"/>
    <d v="1899-12-30T03:13:00"/>
    <s v="Mesero_5"/>
    <x v="0"/>
    <s v="Tarjeta de débito"/>
    <n v="30.69"/>
    <s v="Reservada"/>
    <n v="90"/>
    <s v="Ecuador"/>
    <d v="1899-12-30T01:56:00"/>
    <n v="48"/>
    <s v="0:48"/>
    <d v="1899-12-30T01:08:00"/>
    <n v="34"/>
    <n v="20"/>
    <d v="2023-04-01T00:00:00"/>
    <x v="0"/>
    <x v="0"/>
    <s v="Tarjeta de débito"/>
    <n v="30.69"/>
    <n v="64.69"/>
  </r>
  <r>
    <n v="1"/>
    <s v="Cliente_607"/>
    <n v="5"/>
    <d v="2023-04-01T00:00:00"/>
    <d v="1899-12-30T03:38:00"/>
    <d v="2023-04-01T00:00:00"/>
    <d v="1899-12-30T05:24:00"/>
    <s v="Mesero_5"/>
    <x v="0"/>
    <s v="Tarjeta de crédito"/>
    <n v="39.1"/>
    <s v="Reservada"/>
    <n v="91"/>
    <s v="España"/>
    <d v="1899-12-30T01:46:00"/>
    <n v="132"/>
    <s v="2:12"/>
    <d v="1899-12-30T00:00:00"/>
    <n v="293"/>
    <n v="63"/>
    <d v="2023-04-01T00:00:00"/>
    <x v="0"/>
    <x v="1"/>
    <s v="Impago"/>
    <n v="0"/>
    <n v="0"/>
  </r>
  <r>
    <n v="6"/>
    <s v="Cliente_378"/>
    <n v="2"/>
    <d v="2023-04-01T00:00:00"/>
    <d v="1899-12-30T03:35:00"/>
    <d v="2023-04-01T00:00:00"/>
    <d v="1899-12-30T06:09:00"/>
    <s v="Mesero_2"/>
    <x v="1"/>
    <s v="Tarjeta de crédito"/>
    <n v="12.75"/>
    <s v="Libre"/>
    <n v="92"/>
    <s v="Venezuela"/>
    <d v="1899-12-30T02:34:00"/>
    <n v="42"/>
    <s v="0:42"/>
    <d v="1899-12-30T01:52:00"/>
    <n v="82"/>
    <n v="31"/>
    <d v="2023-04-01T00:00:00"/>
    <x v="0"/>
    <x v="0"/>
    <s v="Tarjeta de crédito"/>
    <n v="12.75"/>
    <n v="94.75"/>
  </r>
  <r>
    <n v="2"/>
    <s v="Cliente_612"/>
    <n v="2"/>
    <d v="2023-04-01T00:00:00"/>
    <d v="1899-12-30T01:39:00"/>
    <d v="2023-04-01T00:00:00"/>
    <d v="1899-12-30T03:48:00"/>
    <s v="Mesero_2"/>
    <x v="0"/>
    <s v="Tarjeta de crédito"/>
    <n v="45.66"/>
    <s v="Libre"/>
    <n v="93"/>
    <s v="Perú"/>
    <d v="1899-12-30T02:09:00"/>
    <n v="18"/>
    <s v="0:18"/>
    <d v="1899-12-30T01:51:00"/>
    <n v="29"/>
    <n v="17"/>
    <d v="2023-04-01T00:00:00"/>
    <x v="0"/>
    <x v="0"/>
    <s v="Tarjeta de crédito"/>
    <n v="45.66"/>
    <n v="74.66"/>
  </r>
  <r>
    <n v="12"/>
    <s v="Cliente_452"/>
    <n v="1"/>
    <d v="2023-04-01T00:00:00"/>
    <d v="1899-12-30T01:52:00"/>
    <d v="2023-04-01T00:00:00"/>
    <d v="1899-12-30T04:53:00"/>
    <s v="Mesero_4"/>
    <x v="0"/>
    <s v="Tarjeta de crédito"/>
    <n v="28.36"/>
    <s v="Ocupada"/>
    <n v="94"/>
    <s v="Chile"/>
    <d v="1899-12-30T03:16:00"/>
    <n v="129"/>
    <s v="2:09"/>
    <d v="1899-12-30T01:07:00"/>
    <n v="253"/>
    <n v="57"/>
    <d v="2023-04-01T00:00:00"/>
    <x v="0"/>
    <x v="0"/>
    <s v="Tarjeta de crédito"/>
    <n v="28.36"/>
    <n v="281.36"/>
  </r>
  <r>
    <n v="12"/>
    <s v="Cliente_244"/>
    <n v="5"/>
    <d v="2023-04-01T00:00:00"/>
    <d v="1899-12-30T03:19:00"/>
    <d v="2023-04-01T00:00:00"/>
    <d v="1899-12-30T06:07:00"/>
    <s v="Mesero_2"/>
    <x v="2"/>
    <s v="Tarjeta de crédito"/>
    <n v="24.68"/>
    <s v="Ocupada"/>
    <n v="95"/>
    <s v="España"/>
    <d v="1899-12-30T03:03:00"/>
    <n v="41"/>
    <s v="0:41"/>
    <d v="1899-12-30T02:22:00"/>
    <n v="153"/>
    <n v="30"/>
    <d v="2023-04-01T00:00:00"/>
    <x v="0"/>
    <x v="0"/>
    <s v="Tarjeta de crédito"/>
    <n v="24.68"/>
    <n v="177.68"/>
  </r>
  <r>
    <n v="16"/>
    <s v="Cliente_840"/>
    <n v="5"/>
    <d v="2023-04-01T00:00:00"/>
    <d v="1899-12-30T01:59:00"/>
    <d v="2023-04-01T00:00:00"/>
    <d v="1899-12-30T05:26:00"/>
    <s v="Mesero_4"/>
    <x v="1"/>
    <s v="Tarjeta de crédito"/>
    <n v="33.630000000000003"/>
    <s v="Libre"/>
    <n v="96"/>
    <s v="Bolivia"/>
    <d v="1899-12-30T03:27:00"/>
    <n v="76"/>
    <s v="1:16"/>
    <d v="1899-12-30T02:11:00"/>
    <n v="176"/>
    <n v="45"/>
    <d v="2023-04-01T00:00:00"/>
    <x v="0"/>
    <x v="0"/>
    <s v="Tarjeta de crédito"/>
    <n v="33.630000000000003"/>
    <n v="209.63"/>
  </r>
  <r>
    <n v="14"/>
    <s v="Cliente_993"/>
    <n v="2"/>
    <d v="2023-04-01T00:00:00"/>
    <d v="1899-12-30T01:46:00"/>
    <d v="2023-04-01T00:00:00"/>
    <d v="1899-12-30T03:03:00"/>
    <s v="Mesero_2"/>
    <x v="2"/>
    <s v="Tarjeta de crédito"/>
    <n v="19.22"/>
    <s v="Ocupada"/>
    <n v="97"/>
    <s v="Ecuador"/>
    <d v="1899-12-30T01:32:00"/>
    <n v="79"/>
    <s v="1:19"/>
    <d v="1899-12-30T00:13:00"/>
    <n v="188"/>
    <n v="47"/>
    <d v="2023-04-01T00:00:00"/>
    <x v="0"/>
    <x v="0"/>
    <s v="Tarjeta de crédito"/>
    <n v="19.22"/>
    <n v="207.22"/>
  </r>
  <r>
    <n v="7"/>
    <s v="Cliente_29"/>
    <n v="3"/>
    <d v="2023-04-01T00:00:00"/>
    <d v="1899-12-30T01:01:00"/>
    <d v="2023-04-01T00:00:00"/>
    <d v="1899-12-30T03:22:00"/>
    <s v="Mesero_5"/>
    <x v="0"/>
    <s v="Tarjeta de crédito"/>
    <n v="17.149999999999999"/>
    <s v="Ocupada"/>
    <n v="98"/>
    <s v="Bolivia"/>
    <d v="1899-12-30T02:36:00"/>
    <n v="140"/>
    <s v="2:20"/>
    <d v="1899-12-30T00:16:00"/>
    <n v="166"/>
    <n v="40"/>
    <d v="2023-04-01T00:00:00"/>
    <x v="0"/>
    <x v="0"/>
    <s v="Tarjeta de crédito"/>
    <n v="17.149999999999999"/>
    <n v="183.15"/>
  </r>
  <r>
    <n v="2"/>
    <s v="Cliente_873"/>
    <n v="6"/>
    <d v="2023-04-01T00:00:00"/>
    <d v="1899-12-30T02:22:00"/>
    <d v="2023-04-01T00:00:00"/>
    <d v="1899-12-30T06:18:00"/>
    <s v="Mesero_2"/>
    <x v="0"/>
    <s v="Tarjeta de crédito"/>
    <n v="33.549999999999997"/>
    <s v="Ocupada"/>
    <n v="99"/>
    <s v="Chile"/>
    <d v="1899-12-30T04:11:00"/>
    <n v="86"/>
    <s v="1:26"/>
    <d v="1899-12-30T02:45:00"/>
    <n v="139"/>
    <n v="65"/>
    <d v="2023-04-01T00:00:00"/>
    <x v="0"/>
    <x v="0"/>
    <s v="Tarjeta de crédito"/>
    <n v="33.549999999999997"/>
    <n v="172.55"/>
  </r>
  <r>
    <n v="18"/>
    <s v="Cliente_965"/>
    <n v="1"/>
    <d v="2023-04-01T00:00:00"/>
    <d v="1899-12-30T03:32:00"/>
    <d v="2023-04-01T00:00:00"/>
    <d v="1899-12-30T06:45:00"/>
    <s v="Mesero_1"/>
    <x v="0"/>
    <s v="Tarjeta de crédito"/>
    <n v="15.15"/>
    <s v="Reservada"/>
    <n v="100"/>
    <s v="Paraguay"/>
    <d v="1899-12-30T03:13:00"/>
    <n v="103"/>
    <s v="1:43"/>
    <d v="1899-12-30T01:30:00"/>
    <n v="166"/>
    <n v="42"/>
    <d v="2023-04-01T00:00:00"/>
    <x v="0"/>
    <x v="0"/>
    <s v="Tarjeta de crédito"/>
    <n v="15.15"/>
    <n v="181.15"/>
  </r>
  <r>
    <n v="1"/>
    <s v="Cliente_313"/>
    <n v="5"/>
    <d v="2023-04-01T00:00:00"/>
    <d v="1899-12-30T00:14:00"/>
    <d v="2023-04-01T00:00:00"/>
    <d v="1899-12-30T02:15:00"/>
    <s v="Mesero_4"/>
    <x v="0"/>
    <s v="Tarjeta de crédito"/>
    <n v="15.09"/>
    <s v="Libre"/>
    <n v="101"/>
    <s v="Venezuela"/>
    <d v="1899-12-30T02:01:00"/>
    <n v="134"/>
    <s v="2:14"/>
    <d v="1899-12-30T00:00:00"/>
    <n v="138"/>
    <n v="68"/>
    <d v="2023-04-01T00:00:00"/>
    <x v="0"/>
    <x v="1"/>
    <s v="Impago"/>
    <n v="0"/>
    <n v="0"/>
  </r>
  <r>
    <n v="19"/>
    <s v="Cliente_520"/>
    <n v="2"/>
    <d v="2023-04-01T00:00:00"/>
    <d v="1899-12-30T01:33:00"/>
    <d v="2023-04-01T00:00:00"/>
    <d v="1899-12-30T04:14:00"/>
    <s v="Mesero_3"/>
    <x v="0"/>
    <s v="Tarjeta de crédito"/>
    <n v="12.65"/>
    <s v="Reservada"/>
    <n v="102"/>
    <s v="Venezuela"/>
    <d v="1899-12-30T02:41:00"/>
    <n v="46"/>
    <s v="0:46"/>
    <d v="1899-12-30T01:55:00"/>
    <n v="171"/>
    <n v="33"/>
    <d v="2023-04-01T00:00:00"/>
    <x v="0"/>
    <x v="0"/>
    <s v="Tarjeta de crédito"/>
    <n v="12.65"/>
    <n v="183.65"/>
  </r>
  <r>
    <n v="13"/>
    <s v="Cliente_388"/>
    <n v="3"/>
    <d v="2023-04-01T00:00:00"/>
    <d v="1899-12-30T01:42:00"/>
    <d v="2023-04-01T00:00:00"/>
    <d v="1899-12-30T05:10:00"/>
    <s v="Mesero_4"/>
    <x v="0"/>
    <s v="Tarjeta de débito"/>
    <n v="26.75"/>
    <s v="Reservada"/>
    <n v="103"/>
    <s v="Brasil"/>
    <d v="1899-12-30T03:28:00"/>
    <n v="99"/>
    <s v="1:39"/>
    <d v="1899-12-30T01:49:00"/>
    <n v="73"/>
    <n v="43"/>
    <d v="2023-04-01T00:00:00"/>
    <x v="0"/>
    <x v="0"/>
    <s v="Tarjeta de débito"/>
    <n v="26.75"/>
    <n v="99.75"/>
  </r>
  <r>
    <n v="14"/>
    <s v="Cliente_384"/>
    <n v="4"/>
    <d v="2023-04-01T00:00:00"/>
    <d v="1899-12-30T01:28:00"/>
    <d v="2023-04-01T00:00:00"/>
    <d v="1899-12-30T02:44:00"/>
    <s v="Mesero_3"/>
    <x v="1"/>
    <s v="Tarjeta de débito"/>
    <n v="11.12"/>
    <s v="Reservada"/>
    <n v="104"/>
    <s v="Uruguay"/>
    <d v="1899-12-30T01:16:00"/>
    <n v="55"/>
    <s v="0:55"/>
    <d v="1899-12-30T00:21:00"/>
    <n v="77"/>
    <n v="33"/>
    <d v="2023-04-01T00:00:00"/>
    <x v="0"/>
    <x v="0"/>
    <s v="Tarjeta de débito"/>
    <n v="11.12"/>
    <n v="88.12"/>
  </r>
  <r>
    <n v="14"/>
    <s v="Cliente_517"/>
    <n v="6"/>
    <d v="2023-04-01T00:00:00"/>
    <d v="1899-12-30T01:18:00"/>
    <d v="2023-04-01T00:00:00"/>
    <d v="1899-12-30T04:00:00"/>
    <s v="Mesero_3"/>
    <x v="0"/>
    <s v="Tarjeta de crédito"/>
    <n v="15.64"/>
    <s v="Libre"/>
    <n v="105"/>
    <s v="Brasil"/>
    <d v="1899-12-30T02:42:00"/>
    <n v="43"/>
    <s v="0:43"/>
    <d v="1899-12-30T01:59:00"/>
    <n v="141"/>
    <n v="28"/>
    <d v="2023-04-01T00:00:00"/>
    <x v="0"/>
    <x v="0"/>
    <s v="Tarjeta de crédito"/>
    <n v="15.64"/>
    <n v="156.63999999999999"/>
  </r>
  <r>
    <n v="15"/>
    <s v="Cliente_711"/>
    <n v="3"/>
    <d v="2023-04-01T00:00:00"/>
    <d v="1899-12-30T02:00:00"/>
    <d v="2023-04-01T00:00:00"/>
    <d v="1899-12-30T05:08:00"/>
    <s v="Mesero_4"/>
    <x v="1"/>
    <s v="Efectivo"/>
    <n v="22.72"/>
    <s v="Libre"/>
    <n v="106"/>
    <s v="Uruguay"/>
    <d v="1899-12-30T03:08:00"/>
    <n v="29"/>
    <s v="0:29"/>
    <d v="1899-12-30T02:39:00"/>
    <n v="68"/>
    <n v="20"/>
    <d v="2023-04-01T00:00:00"/>
    <x v="0"/>
    <x v="0"/>
    <s v="Efectivo"/>
    <n v="22.72"/>
    <n v="90.72"/>
  </r>
  <r>
    <n v="11"/>
    <s v="Cliente_651"/>
    <n v="5"/>
    <d v="2023-04-01T00:00:00"/>
    <d v="1899-12-30T01:29:00"/>
    <d v="2023-04-01T00:00:00"/>
    <d v="1899-12-30T02:58:00"/>
    <s v="Mesero_2"/>
    <x v="0"/>
    <s v="Tarjeta de débito"/>
    <n v="48.77"/>
    <s v="Reservada"/>
    <n v="107"/>
    <s v="Bolivia"/>
    <d v="1899-12-30T01:29:00"/>
    <n v="141"/>
    <s v="2:21"/>
    <d v="1899-12-30T00:00:00"/>
    <n v="253"/>
    <n v="56"/>
    <d v="2023-04-01T00:00:00"/>
    <x v="0"/>
    <x v="1"/>
    <s v="Impago"/>
    <n v="0"/>
    <n v="0"/>
  </r>
  <r>
    <n v="3"/>
    <s v="Cliente_545"/>
    <n v="3"/>
    <d v="2023-04-01T00:00:00"/>
    <d v="1899-12-30T01:32:00"/>
    <d v="2023-04-01T00:00:00"/>
    <d v="1899-12-30T03:37:00"/>
    <s v="Mesero_4"/>
    <x v="1"/>
    <s v="Tarjeta de débito"/>
    <n v="23.26"/>
    <s v="Reservada"/>
    <n v="108"/>
    <s v="Paraguay"/>
    <d v="1899-12-30T02:05:00"/>
    <n v="115"/>
    <s v="1:55"/>
    <d v="1899-12-30T00:10:00"/>
    <n v="124"/>
    <n v="55"/>
    <d v="2023-04-01T00:00:00"/>
    <x v="0"/>
    <x v="0"/>
    <s v="Tarjeta de débito"/>
    <n v="23.26"/>
    <n v="147.26"/>
  </r>
  <r>
    <n v="10"/>
    <s v="Cliente_116"/>
    <n v="2"/>
    <d v="2023-04-01T00:00:00"/>
    <d v="1899-12-30T01:25:00"/>
    <d v="2023-04-01T00:00:00"/>
    <d v="1899-12-30T02:26:00"/>
    <s v="Mesero_4"/>
    <x v="1"/>
    <s v="Tarjeta de crédito"/>
    <n v="42.95"/>
    <s v="Libre"/>
    <n v="109"/>
    <s v="Ecuador"/>
    <d v="1899-12-30T01:01:00"/>
    <n v="118"/>
    <s v="1:58"/>
    <d v="1899-12-30T00:00:00"/>
    <n v="169"/>
    <n v="47"/>
    <d v="2023-04-01T00:00:00"/>
    <x v="0"/>
    <x v="1"/>
    <s v="Impago"/>
    <n v="0"/>
    <n v="0"/>
  </r>
  <r>
    <n v="5"/>
    <s v="Cliente_170"/>
    <n v="1"/>
    <d v="2023-04-01T00:00:00"/>
    <d v="1899-12-30T03:32:00"/>
    <d v="2023-04-01T00:00:00"/>
    <d v="1899-12-30T06:37:00"/>
    <s v="Mesero_1"/>
    <x v="0"/>
    <s v="Tarjeta de crédito"/>
    <n v="47.91"/>
    <s v="Reservada"/>
    <n v="110"/>
    <s v="Paraguay"/>
    <d v="1899-12-30T03:05:00"/>
    <n v="121"/>
    <s v="2:01"/>
    <d v="1899-12-30T01:04:00"/>
    <n v="163"/>
    <n v="48"/>
    <d v="2023-04-01T00:00:00"/>
    <x v="0"/>
    <x v="0"/>
    <s v="Tarjeta de crédito"/>
    <n v="47.91"/>
    <n v="210.91"/>
  </r>
  <r>
    <n v="3"/>
    <s v="Cliente_92"/>
    <n v="2"/>
    <d v="2023-04-01T00:00:00"/>
    <d v="1899-12-30T01:48:00"/>
    <d v="2023-04-01T00:00:00"/>
    <d v="1899-12-30T05:07:00"/>
    <s v="Mesero_3"/>
    <x v="1"/>
    <s v="Tarjeta de crédito"/>
    <n v="18.82"/>
    <s v="Reservada"/>
    <n v="111"/>
    <s v="Ecuador"/>
    <d v="1899-12-30T03:19:00"/>
    <n v="137"/>
    <s v="2:17"/>
    <d v="1899-12-30T01:02:00"/>
    <n v="204"/>
    <n v="63"/>
    <d v="2023-04-01T00:00:00"/>
    <x v="0"/>
    <x v="0"/>
    <s v="Tarjeta de crédito"/>
    <n v="18.82"/>
    <n v="222.82"/>
  </r>
  <r>
    <n v="6"/>
    <s v="Cliente_552"/>
    <n v="2"/>
    <d v="2023-04-01T00:00:00"/>
    <d v="1899-12-30T01:49:00"/>
    <d v="2023-04-01T00:00:00"/>
    <d v="1899-12-30T04:01:00"/>
    <s v="Mesero_2"/>
    <x v="2"/>
    <s v="Efectivo"/>
    <n v="35.36"/>
    <s v="Ocupada"/>
    <n v="112"/>
    <s v="Perú"/>
    <d v="1899-12-30T02:27:00"/>
    <n v="16"/>
    <s v="0:16"/>
    <d v="1899-12-30T02:11:00"/>
    <n v="20"/>
    <n v="12"/>
    <d v="2023-04-01T00:00:00"/>
    <x v="0"/>
    <x v="0"/>
    <s v="Efectivo"/>
    <n v="35.36"/>
    <n v="55.36"/>
  </r>
  <r>
    <n v="4"/>
    <s v="Cliente_627"/>
    <n v="2"/>
    <d v="2023-04-01T00:00:00"/>
    <d v="1899-12-30T01:12:00"/>
    <d v="2023-04-01T00:00:00"/>
    <d v="1899-12-30T04:21:00"/>
    <s v="Mesero_3"/>
    <x v="0"/>
    <s v="Tarjeta de crédito"/>
    <n v="29.74"/>
    <s v="Ocupada"/>
    <n v="113"/>
    <s v="Brasil"/>
    <d v="1899-12-30T03:24:00"/>
    <n v="51"/>
    <s v="0:51"/>
    <d v="1899-12-30T02:33:00"/>
    <n v="68"/>
    <n v="20"/>
    <d v="2023-04-01T00:00:00"/>
    <x v="0"/>
    <x v="0"/>
    <s v="Tarjeta de crédito"/>
    <n v="29.74"/>
    <n v="97.74"/>
  </r>
  <r>
    <n v="7"/>
    <s v="Cliente_588"/>
    <n v="6"/>
    <d v="2023-04-01T00:00:00"/>
    <d v="1899-12-30T00:49:00"/>
    <d v="2023-04-01T00:00:00"/>
    <d v="1899-12-30T03:30:00"/>
    <s v="Mesero_1"/>
    <x v="0"/>
    <s v="Tarjeta de crédito"/>
    <n v="38.81"/>
    <s v="Ocupada"/>
    <n v="114"/>
    <s v="Chile"/>
    <d v="1899-12-30T02:56:00"/>
    <n v="131"/>
    <s v="2:11"/>
    <d v="1899-12-30T00:45:00"/>
    <n v="253"/>
    <n v="58"/>
    <d v="2023-04-01T00:00:00"/>
    <x v="0"/>
    <x v="0"/>
    <s v="Tarjeta de crédito"/>
    <n v="38.81"/>
    <n v="291.81"/>
  </r>
  <r>
    <n v="12"/>
    <s v="Cliente_313"/>
    <n v="6"/>
    <d v="2023-04-01T00:00:00"/>
    <d v="1899-12-30T03:43:00"/>
    <d v="2023-04-01T00:00:00"/>
    <d v="1899-12-30T06:26:00"/>
    <s v="Mesero_1"/>
    <x v="2"/>
    <s v="Tarjeta de débito"/>
    <n v="46.46"/>
    <s v="Ocupada"/>
    <n v="115"/>
    <s v="Uruguay"/>
    <d v="1899-12-30T02:58:00"/>
    <n v="98"/>
    <s v="1:38"/>
    <d v="1899-12-30T01:20:00"/>
    <n v="237"/>
    <n v="53"/>
    <d v="2023-04-01T00:00:00"/>
    <x v="0"/>
    <x v="0"/>
    <s v="Tarjeta de débito"/>
    <n v="46.46"/>
    <n v="283.45999999999998"/>
  </r>
  <r>
    <n v="8"/>
    <s v="Cliente_949"/>
    <n v="5"/>
    <d v="2023-04-01T00:00:00"/>
    <d v="1899-12-30T03:15:00"/>
    <d v="2023-04-01T00:00:00"/>
    <d v="1899-12-30T06:33:00"/>
    <s v="Mesero_1"/>
    <x v="0"/>
    <s v="Tarjeta de crédito"/>
    <n v="47.69"/>
    <s v="Ocupada"/>
    <n v="116"/>
    <s v="Chile"/>
    <d v="1899-12-30T03:33:00"/>
    <n v="129"/>
    <s v="2:09"/>
    <d v="1899-12-30T01:24:00"/>
    <n v="269"/>
    <n v="82"/>
    <d v="2023-04-01T00:00:00"/>
    <x v="0"/>
    <x v="0"/>
    <s v="Tarjeta de crédito"/>
    <n v="47.69"/>
    <n v="316.69"/>
  </r>
  <r>
    <n v="8"/>
    <s v="Cliente_863"/>
    <n v="4"/>
    <d v="2023-04-01T00:00:00"/>
    <d v="1899-12-30T02:55:00"/>
    <d v="2023-04-01T00:00:00"/>
    <d v="1899-12-30T05:45:00"/>
    <s v="Mesero_3"/>
    <x v="1"/>
    <s v="Tarjeta de crédito"/>
    <n v="11.65"/>
    <s v="Ocupada"/>
    <n v="117"/>
    <s v="Chile"/>
    <d v="1899-12-30T03:05:00"/>
    <n v="8"/>
    <s v="0:08"/>
    <d v="1899-12-30T02:57:00"/>
    <n v="70"/>
    <n v="21"/>
    <d v="2023-04-01T00:00:00"/>
    <x v="0"/>
    <x v="0"/>
    <s v="Tarjeta de crédito"/>
    <n v="11.65"/>
    <n v="81.650000000000006"/>
  </r>
  <r>
    <n v="13"/>
    <s v="Cliente_140"/>
    <n v="1"/>
    <d v="2023-04-01T00:00:00"/>
    <d v="1899-12-30T00:34:00"/>
    <d v="2023-04-01T00:00:00"/>
    <d v="1899-12-30T01:45:00"/>
    <s v="Mesero_5"/>
    <x v="2"/>
    <s v="Tarjeta de débito"/>
    <n v="49.32"/>
    <s v="Libre"/>
    <n v="118"/>
    <s v="Bolivia"/>
    <d v="1899-12-30T01:11:00"/>
    <n v="136"/>
    <s v="2:16"/>
    <d v="1899-12-30T00:00:00"/>
    <n v="209"/>
    <n v="59"/>
    <d v="2023-04-01T00:00:00"/>
    <x v="0"/>
    <x v="1"/>
    <s v="Impago"/>
    <n v="0"/>
    <n v="0"/>
  </r>
  <r>
    <n v="17"/>
    <s v="Cliente_523"/>
    <n v="3"/>
    <d v="2023-04-02T00:00:00"/>
    <d v="1899-12-30T03:24:00"/>
    <d v="2023-04-02T00:00:00"/>
    <d v="1899-12-30T05:03:00"/>
    <s v="Mesero_2"/>
    <x v="1"/>
    <s v="Tarjeta de crédito"/>
    <n v="11.5"/>
    <s v="Reservada"/>
    <n v="119"/>
    <s v="Perú"/>
    <d v="1899-12-30T01:39:00"/>
    <n v="54"/>
    <s v="0:54"/>
    <d v="1899-12-30T00:45:00"/>
    <n v="134"/>
    <n v="47"/>
    <d v="2023-04-02T00:00:00"/>
    <x v="1"/>
    <x v="0"/>
    <s v="Tarjeta de crédito"/>
    <n v="11.5"/>
    <n v="145.5"/>
  </r>
  <r>
    <n v="4"/>
    <s v="Cliente_916"/>
    <n v="2"/>
    <d v="2023-04-02T00:00:00"/>
    <d v="1899-12-30T00:38:00"/>
    <d v="2023-04-02T00:00:00"/>
    <d v="1899-12-30T01:42:00"/>
    <s v="Mesero_1"/>
    <x v="0"/>
    <s v="Efectivo"/>
    <n v="12.51"/>
    <s v="Reservada"/>
    <n v="120"/>
    <s v="Uruguay"/>
    <d v="1899-12-30T01:04:00"/>
    <n v="97"/>
    <s v="1:37"/>
    <d v="1899-12-30T00:00:00"/>
    <n v="145"/>
    <n v="34"/>
    <d v="2023-04-02T00:00:00"/>
    <x v="1"/>
    <x v="1"/>
    <s v="Impago"/>
    <n v="0"/>
    <n v="0"/>
  </r>
  <r>
    <n v="5"/>
    <s v="Cliente_416"/>
    <n v="4"/>
    <d v="2023-04-02T00:00:00"/>
    <d v="1899-12-30T03:45:00"/>
    <d v="2023-04-02T00:00:00"/>
    <d v="1899-12-30T06:13:00"/>
    <s v="Mesero_4"/>
    <x v="0"/>
    <s v="Tarjeta de crédito"/>
    <n v="12.3"/>
    <s v="Reservada"/>
    <n v="121"/>
    <s v="Paraguay"/>
    <d v="1899-12-30T02:28:00"/>
    <n v="38"/>
    <s v="0:38"/>
    <d v="1899-12-30T01:50:00"/>
    <n v="52"/>
    <n v="15"/>
    <d v="2023-04-02T00:00:00"/>
    <x v="1"/>
    <x v="0"/>
    <s v="Tarjeta de crédito"/>
    <n v="12.3"/>
    <n v="64.3"/>
  </r>
  <r>
    <n v="6"/>
    <s v="Cliente_346"/>
    <n v="6"/>
    <d v="2023-04-02T00:00:00"/>
    <d v="1899-12-30T01:23:00"/>
    <d v="2023-04-02T00:00:00"/>
    <d v="1899-12-30T02:48:00"/>
    <s v="Mesero_1"/>
    <x v="0"/>
    <s v="Tarjeta de débito"/>
    <n v="20.38"/>
    <s v="Ocupada"/>
    <n v="122"/>
    <s v="Colombia"/>
    <d v="1899-12-30T01:40:00"/>
    <n v="32"/>
    <s v="0:32"/>
    <d v="1899-12-30T01:08:00"/>
    <n v="105"/>
    <n v="21"/>
    <d v="2023-04-02T00:00:00"/>
    <x v="1"/>
    <x v="0"/>
    <s v="Tarjeta de débito"/>
    <n v="20.38"/>
    <n v="125.38"/>
  </r>
  <r>
    <n v="16"/>
    <s v="Cliente_381"/>
    <n v="6"/>
    <d v="2023-04-02T00:00:00"/>
    <d v="1899-12-30T03:09:00"/>
    <d v="2023-04-02T00:00:00"/>
    <d v="1899-12-30T04:10:00"/>
    <s v="Mesero_4"/>
    <x v="0"/>
    <s v="Tarjeta de débito"/>
    <n v="46.88"/>
    <s v="Reservada"/>
    <n v="123"/>
    <s v="Argentina"/>
    <d v="1899-12-30T01:01:00"/>
    <n v="33"/>
    <s v="0:33"/>
    <d v="1899-12-30T00:28:00"/>
    <n v="24"/>
    <n v="14"/>
    <d v="2023-04-02T00:00:00"/>
    <x v="1"/>
    <x v="0"/>
    <s v="Tarjeta de débito"/>
    <n v="46.88"/>
    <n v="70.88"/>
  </r>
  <r>
    <n v="16"/>
    <s v="Cliente_791"/>
    <n v="5"/>
    <d v="2023-04-02T00:00:00"/>
    <d v="1899-12-30T03:39:00"/>
    <d v="2023-04-02T00:00:00"/>
    <d v="1899-12-30T05:22:00"/>
    <s v="Mesero_3"/>
    <x v="0"/>
    <s v="Tarjeta de débito"/>
    <n v="10.85"/>
    <s v="Libre"/>
    <n v="124"/>
    <s v="España"/>
    <d v="1899-12-30T01:43:00"/>
    <n v="138"/>
    <s v="2:18"/>
    <d v="1899-12-30T00:00:00"/>
    <n v="222"/>
    <n v="64"/>
    <d v="2023-04-02T00:00:00"/>
    <x v="1"/>
    <x v="1"/>
    <s v="Impago"/>
    <n v="0"/>
    <n v="0"/>
  </r>
  <r>
    <n v="14"/>
    <s v="Cliente_697"/>
    <n v="2"/>
    <d v="2023-04-02T00:00:00"/>
    <d v="1899-12-30T02:56:00"/>
    <d v="2023-04-02T00:00:00"/>
    <d v="1899-12-30T06:13:00"/>
    <s v="Mesero_3"/>
    <x v="0"/>
    <s v="Tarjeta de crédito"/>
    <n v="24.66"/>
    <s v="Libre"/>
    <n v="125"/>
    <s v="Bolivia"/>
    <d v="1899-12-30T03:17:00"/>
    <n v="84"/>
    <s v="1:24"/>
    <d v="1899-12-30T01:53:00"/>
    <n v="184"/>
    <n v="48"/>
    <d v="2023-04-02T00:00:00"/>
    <x v="1"/>
    <x v="0"/>
    <s v="Tarjeta de crédito"/>
    <n v="24.66"/>
    <n v="208.66"/>
  </r>
  <r>
    <n v="18"/>
    <s v="Cliente_516"/>
    <n v="3"/>
    <d v="2023-04-02T00:00:00"/>
    <d v="1899-12-30T02:45:00"/>
    <d v="2023-04-02T00:00:00"/>
    <d v="1899-12-30T05:12:00"/>
    <s v="Mesero_1"/>
    <x v="0"/>
    <s v="Tarjeta de crédito"/>
    <n v="41.82"/>
    <s v="Libre"/>
    <n v="126"/>
    <s v="Perú"/>
    <d v="1899-12-30T02:27:00"/>
    <n v="139"/>
    <s v="2:19"/>
    <d v="1899-12-30T00:08:00"/>
    <n v="165"/>
    <n v="69"/>
    <d v="2023-04-02T00:00:00"/>
    <x v="1"/>
    <x v="0"/>
    <s v="Tarjeta de crédito"/>
    <n v="41.82"/>
    <n v="206.82"/>
  </r>
  <r>
    <n v="6"/>
    <s v="Cliente_541"/>
    <n v="4"/>
    <d v="2023-04-02T00:00:00"/>
    <d v="1899-12-30T00:42:00"/>
    <d v="2023-04-02T00:00:00"/>
    <d v="1899-12-30T02:28:00"/>
    <s v="Mesero_4"/>
    <x v="0"/>
    <s v="Tarjeta de crédito"/>
    <n v="32.82"/>
    <s v="Libre"/>
    <n v="127"/>
    <s v="Argentina"/>
    <d v="1899-12-30T01:46:00"/>
    <n v="30"/>
    <s v="0:30"/>
    <d v="1899-12-30T01:16:00"/>
    <n v="72"/>
    <n v="22"/>
    <d v="2023-04-02T00:00:00"/>
    <x v="1"/>
    <x v="0"/>
    <s v="Tarjeta de crédito"/>
    <n v="32.82"/>
    <n v="104.82"/>
  </r>
  <r>
    <n v="2"/>
    <s v="Cliente_830"/>
    <n v="5"/>
    <d v="2023-04-02T00:00:00"/>
    <d v="1899-12-30T01:31:00"/>
    <d v="2023-04-02T00:00:00"/>
    <d v="1899-12-30T03:28:00"/>
    <s v="Mesero_2"/>
    <x v="0"/>
    <s v="Efectivo"/>
    <n v="49.36"/>
    <s v="Ocupada"/>
    <n v="128"/>
    <s v="Uruguay"/>
    <d v="1899-12-30T02:12:00"/>
    <n v="172"/>
    <s v="2:52"/>
    <d v="1899-12-30T00:00:00"/>
    <n v="239"/>
    <n v="58"/>
    <d v="2023-04-02T00:00:00"/>
    <x v="1"/>
    <x v="1"/>
    <s v="Impago"/>
    <n v="0"/>
    <n v="0"/>
  </r>
  <r>
    <n v="16"/>
    <s v="Cliente_656"/>
    <n v="5"/>
    <d v="2023-04-02T00:00:00"/>
    <d v="1899-12-30T00:41:00"/>
    <d v="2023-04-02T00:00:00"/>
    <d v="1899-12-30T02:41:00"/>
    <s v="Mesero_2"/>
    <x v="0"/>
    <s v="Tarjeta de crédito"/>
    <n v="49.3"/>
    <s v="Reservada"/>
    <n v="129"/>
    <s v="Perú"/>
    <d v="1899-12-30T02:00:00"/>
    <n v="80"/>
    <s v="1:20"/>
    <d v="1899-12-30T00:40:00"/>
    <n v="106"/>
    <n v="40"/>
    <d v="2023-04-02T00:00:00"/>
    <x v="1"/>
    <x v="0"/>
    <s v="Tarjeta de crédito"/>
    <n v="49.3"/>
    <n v="155.30000000000001"/>
  </r>
  <r>
    <n v="10"/>
    <s v="Cliente_486"/>
    <n v="4"/>
    <d v="2023-04-02T00:00:00"/>
    <d v="1899-12-30T00:26:00"/>
    <d v="2023-04-02T00:00:00"/>
    <d v="1899-12-30T01:32:00"/>
    <s v="Mesero_2"/>
    <x v="0"/>
    <s v="Tarjeta de crédito"/>
    <n v="38.130000000000003"/>
    <s v="Libre"/>
    <n v="130"/>
    <s v="Colombia"/>
    <d v="1899-12-30T01:06:00"/>
    <n v="25"/>
    <s v="0:25"/>
    <d v="1899-12-30T00:41:00"/>
    <n v="35"/>
    <n v="21"/>
    <d v="2023-04-02T00:00:00"/>
    <x v="1"/>
    <x v="0"/>
    <s v="Tarjeta de crédito"/>
    <n v="38.130000000000003"/>
    <n v="73.13"/>
  </r>
  <r>
    <n v="7"/>
    <s v="Cliente_728"/>
    <n v="5"/>
    <d v="2023-04-02T00:00:00"/>
    <d v="1899-12-30T00:43:00"/>
    <d v="2023-04-02T00:00:00"/>
    <d v="1899-12-30T04:18:00"/>
    <s v="Mesero_4"/>
    <x v="0"/>
    <s v="Tarjeta de crédito"/>
    <n v="42.41"/>
    <s v="Ocupada"/>
    <n v="131"/>
    <s v="Ecuador"/>
    <d v="1899-12-30T03:50:00"/>
    <n v="120"/>
    <s v="2:00"/>
    <d v="1899-12-30T01:50:00"/>
    <n v="157"/>
    <n v="48"/>
    <d v="2023-04-02T00:00:00"/>
    <x v="1"/>
    <x v="0"/>
    <s v="Tarjeta de crédito"/>
    <n v="42.41"/>
    <n v="199.41"/>
  </r>
  <r>
    <n v="9"/>
    <s v="Cliente_774"/>
    <n v="2"/>
    <d v="2023-04-02T00:00:00"/>
    <d v="1899-12-30T01:26:00"/>
    <d v="2023-04-02T00:00:00"/>
    <d v="1899-12-30T02:43:00"/>
    <s v="Mesero_3"/>
    <x v="2"/>
    <s v="Tarjeta de débito"/>
    <n v="30.96"/>
    <s v="Reservada"/>
    <n v="132"/>
    <s v="Bolivia"/>
    <d v="1899-12-30T01:17:00"/>
    <n v="102"/>
    <s v="1:42"/>
    <d v="1899-12-30T00:00:00"/>
    <n v="206"/>
    <n v="70"/>
    <d v="2023-04-02T00:00:00"/>
    <x v="1"/>
    <x v="1"/>
    <s v="Impago"/>
    <n v="0"/>
    <n v="0"/>
  </r>
  <r>
    <n v="20"/>
    <s v="Cliente_26"/>
    <n v="6"/>
    <d v="2023-04-02T00:00:00"/>
    <d v="1899-12-30T00:54:00"/>
    <d v="2023-04-02T00:00:00"/>
    <d v="1899-12-30T03:52:00"/>
    <s v="Mesero_2"/>
    <x v="0"/>
    <s v="Tarjeta de crédito"/>
    <n v="39.74"/>
    <s v="Ocupada"/>
    <n v="133"/>
    <s v="Chile"/>
    <d v="1899-12-30T03:13:00"/>
    <n v="107"/>
    <s v="1:47"/>
    <d v="1899-12-30T01:26:00"/>
    <n v="182"/>
    <n v="68"/>
    <d v="2023-04-02T00:00:00"/>
    <x v="1"/>
    <x v="0"/>
    <s v="Tarjeta de crédito"/>
    <n v="39.74"/>
    <n v="221.74"/>
  </r>
  <r>
    <n v="3"/>
    <s v="Cliente_273"/>
    <n v="6"/>
    <d v="2023-04-02T00:00:00"/>
    <d v="1899-12-30T00:07:00"/>
    <d v="2023-04-02T00:00:00"/>
    <d v="1899-12-30T03:52:00"/>
    <s v="Mesero_1"/>
    <x v="2"/>
    <s v="Tarjeta de crédito"/>
    <n v="30.1"/>
    <s v="Libre"/>
    <n v="134"/>
    <s v="Uruguay"/>
    <d v="1899-12-30T03:45:00"/>
    <n v="48"/>
    <s v="0:48"/>
    <d v="1899-12-30T02:57:00"/>
    <n v="120"/>
    <n v="33"/>
    <d v="2023-04-02T00:00:00"/>
    <x v="1"/>
    <x v="0"/>
    <s v="Tarjeta de crédito"/>
    <n v="30.1"/>
    <n v="150.1"/>
  </r>
  <r>
    <n v="11"/>
    <s v="Cliente_798"/>
    <n v="1"/>
    <d v="2023-04-02T00:00:00"/>
    <d v="1899-12-30T01:00:00"/>
    <d v="2023-04-02T00:00:00"/>
    <d v="1899-12-30T03:01:00"/>
    <s v="Mesero_5"/>
    <x v="2"/>
    <s v="Tarjeta de crédito"/>
    <n v="34.700000000000003"/>
    <s v="Ocupada"/>
    <n v="135"/>
    <s v="Brasil"/>
    <d v="1899-12-30T02:16:00"/>
    <n v="88"/>
    <s v="1:28"/>
    <d v="1899-12-30T00:48:00"/>
    <n v="260"/>
    <n v="61"/>
    <d v="2023-04-02T00:00:00"/>
    <x v="1"/>
    <x v="0"/>
    <s v="Tarjeta de crédito"/>
    <n v="34.700000000000003"/>
    <n v="294.7"/>
  </r>
  <r>
    <n v="6"/>
    <s v="Cliente_8"/>
    <n v="1"/>
    <d v="2023-04-02T00:00:00"/>
    <d v="1899-12-30T01:50:00"/>
    <d v="2023-04-02T00:00:00"/>
    <d v="1899-12-30T05:01:00"/>
    <s v="Mesero_1"/>
    <x v="0"/>
    <s v="Tarjeta de crédito"/>
    <n v="30.25"/>
    <s v="Ocupada"/>
    <n v="136"/>
    <s v="Bolivia"/>
    <d v="1899-12-30T03:26:00"/>
    <n v="13"/>
    <s v="0:13"/>
    <d v="1899-12-30T03:13:00"/>
    <n v="80"/>
    <n v="25"/>
    <d v="2023-04-02T00:00:00"/>
    <x v="1"/>
    <x v="0"/>
    <s v="Tarjeta de crédito"/>
    <n v="30.25"/>
    <n v="110.25"/>
  </r>
  <r>
    <n v="13"/>
    <s v="Cliente_31"/>
    <n v="3"/>
    <d v="2023-04-02T00:00:00"/>
    <d v="1899-12-30T01:21:00"/>
    <d v="2023-04-02T00:00:00"/>
    <d v="1899-12-30T04:11:00"/>
    <s v="Mesero_4"/>
    <x v="1"/>
    <s v="Tarjeta de crédito"/>
    <n v="12.4"/>
    <s v="Ocupada"/>
    <n v="137"/>
    <s v="Colombia"/>
    <d v="1899-12-30T03:05:00"/>
    <n v="41"/>
    <s v="0:41"/>
    <d v="1899-12-30T02:24:00"/>
    <n v="63"/>
    <n v="13"/>
    <d v="2023-04-02T00:00:00"/>
    <x v="1"/>
    <x v="0"/>
    <s v="Tarjeta de crédito"/>
    <n v="12.4"/>
    <n v="75.400000000000006"/>
  </r>
  <r>
    <n v="6"/>
    <s v="Cliente_658"/>
    <n v="2"/>
    <d v="2023-04-02T00:00:00"/>
    <d v="1899-12-30T03:48:00"/>
    <d v="2023-04-02T00:00:00"/>
    <d v="1899-12-30T05:09:00"/>
    <s v="Mesero_2"/>
    <x v="1"/>
    <s v="Tarjeta de débito"/>
    <n v="32.79"/>
    <s v="Ocupada"/>
    <n v="138"/>
    <s v="Venezuela"/>
    <d v="1899-12-30T01:36:00"/>
    <n v="97"/>
    <s v="1:37"/>
    <d v="1899-12-30T00:00:00"/>
    <n v="238"/>
    <n v="63"/>
    <d v="2023-04-02T00:00:00"/>
    <x v="1"/>
    <x v="1"/>
    <s v="Impago"/>
    <n v="0"/>
    <n v="0"/>
  </r>
  <r>
    <n v="16"/>
    <s v="Cliente_773"/>
    <n v="3"/>
    <d v="2023-04-02T00:00:00"/>
    <d v="1899-12-30T00:40:00"/>
    <d v="2023-04-02T00:00:00"/>
    <d v="1899-12-30T04:39:00"/>
    <s v="Mesero_2"/>
    <x v="0"/>
    <s v="Tarjeta de crédito"/>
    <n v="47.2"/>
    <s v="Libre"/>
    <n v="139"/>
    <s v="Chile"/>
    <d v="1899-12-30T03:59:00"/>
    <n v="26"/>
    <s v="0:26"/>
    <d v="1899-12-30T03:33:00"/>
    <n v="35"/>
    <n v="21"/>
    <d v="2023-04-02T00:00:00"/>
    <x v="1"/>
    <x v="0"/>
    <s v="Tarjeta de crédito"/>
    <n v="47.2"/>
    <n v="82.2"/>
  </r>
  <r>
    <n v="11"/>
    <s v="Cliente_158"/>
    <n v="4"/>
    <d v="2023-04-02T00:00:00"/>
    <d v="1899-12-30T03:49:00"/>
    <d v="2023-04-02T00:00:00"/>
    <d v="1899-12-30T06:29:00"/>
    <s v="Mesero_2"/>
    <x v="0"/>
    <s v="Efectivo"/>
    <n v="32.130000000000003"/>
    <s v="Libre"/>
    <n v="140"/>
    <s v="Paraguay"/>
    <d v="1899-12-30T02:40:00"/>
    <n v="118"/>
    <s v="1:58"/>
    <d v="1899-12-30T00:42:00"/>
    <n v="191"/>
    <n v="46"/>
    <d v="2023-04-02T00:00:00"/>
    <x v="1"/>
    <x v="0"/>
    <s v="Efectivo"/>
    <n v="32.130000000000003"/>
    <n v="223.13"/>
  </r>
  <r>
    <n v="4"/>
    <s v="Cliente_569"/>
    <n v="4"/>
    <d v="2023-04-02T00:00:00"/>
    <d v="1899-12-30T01:58:00"/>
    <d v="2023-04-02T00:00:00"/>
    <d v="1899-12-30T05:45:00"/>
    <s v="Mesero_3"/>
    <x v="1"/>
    <s v="Tarjeta de crédito"/>
    <n v="41.56"/>
    <s v="Reservada"/>
    <n v="141"/>
    <s v="Ecuador"/>
    <d v="1899-12-30T03:47:00"/>
    <n v="28"/>
    <s v="0:28"/>
    <d v="1899-12-30T03:19:00"/>
    <n v="21"/>
    <n v="13"/>
    <d v="2023-04-02T00:00:00"/>
    <x v="1"/>
    <x v="0"/>
    <s v="Tarjeta de crédito"/>
    <n v="41.56"/>
    <n v="62.56"/>
  </r>
  <r>
    <n v="14"/>
    <s v="Cliente_286"/>
    <n v="3"/>
    <d v="2023-04-02T00:00:00"/>
    <d v="1899-12-30T02:05:00"/>
    <d v="2023-04-02T00:00:00"/>
    <d v="1899-12-30T04:05:00"/>
    <s v="Mesero_4"/>
    <x v="0"/>
    <s v="Tarjeta de crédito"/>
    <n v="16.29"/>
    <s v="Ocupada"/>
    <n v="142"/>
    <s v="Argentina"/>
    <d v="1899-12-30T02:15:00"/>
    <n v="70"/>
    <s v="1:10"/>
    <d v="1899-12-30T01:05:00"/>
    <n v="181"/>
    <n v="53"/>
    <d v="2023-04-02T00:00:00"/>
    <x v="1"/>
    <x v="0"/>
    <s v="Tarjeta de crédito"/>
    <n v="16.29"/>
    <n v="197.29"/>
  </r>
  <r>
    <n v="9"/>
    <s v="Cliente_199"/>
    <n v="4"/>
    <d v="2023-04-02T00:00:00"/>
    <d v="1899-12-30T00:32:00"/>
    <d v="2023-04-02T00:00:00"/>
    <d v="1899-12-30T04:30:00"/>
    <s v="Mesero_4"/>
    <x v="0"/>
    <s v="Efectivo"/>
    <n v="48.26"/>
    <s v="Libre"/>
    <n v="143"/>
    <s v="Perú"/>
    <d v="1899-12-30T03:58:00"/>
    <n v="16"/>
    <s v="0:16"/>
    <d v="1899-12-30T03:42:00"/>
    <n v="50"/>
    <n v="15"/>
    <d v="2023-04-02T00:00:00"/>
    <x v="1"/>
    <x v="0"/>
    <s v="Efectivo"/>
    <n v="48.26"/>
    <n v="98.259999999999991"/>
  </r>
  <r>
    <n v="18"/>
    <s v="Cliente_712"/>
    <n v="1"/>
    <d v="2023-04-02T00:00:00"/>
    <d v="1899-12-30T02:58:00"/>
    <d v="2023-04-02T00:00:00"/>
    <d v="1899-12-30T05:32:00"/>
    <s v="Mesero_4"/>
    <x v="2"/>
    <s v="Tarjeta de crédito"/>
    <n v="11.22"/>
    <s v="Ocupada"/>
    <n v="144"/>
    <s v="Perú"/>
    <d v="1899-12-30T02:49:00"/>
    <n v="150"/>
    <s v="2:30"/>
    <d v="1899-12-30T00:19:00"/>
    <n v="185"/>
    <n v="70"/>
    <d v="2023-04-02T00:00:00"/>
    <x v="1"/>
    <x v="0"/>
    <s v="Tarjeta de crédito"/>
    <n v="11.22"/>
    <n v="196.22"/>
  </r>
  <r>
    <n v="2"/>
    <s v="Cliente_56"/>
    <n v="5"/>
    <d v="2023-04-02T00:00:00"/>
    <d v="1899-12-30T00:37:00"/>
    <d v="2023-04-02T00:00:00"/>
    <d v="1899-12-30T01:42:00"/>
    <s v="Mesero_2"/>
    <x v="2"/>
    <s v="Tarjeta de crédito"/>
    <n v="11.32"/>
    <s v="Ocupada"/>
    <n v="145"/>
    <s v="Venezuela"/>
    <d v="1899-12-30T01:20:00"/>
    <n v="106"/>
    <s v="1:46"/>
    <d v="1899-12-30T00:00:00"/>
    <n v="126"/>
    <n v="31"/>
    <d v="2023-04-02T00:00:00"/>
    <x v="1"/>
    <x v="1"/>
    <s v="Impago"/>
    <n v="0"/>
    <n v="0"/>
  </r>
  <r>
    <n v="8"/>
    <s v="Cliente_670"/>
    <n v="6"/>
    <d v="2023-04-02T00:00:00"/>
    <d v="1899-12-30T01:40:00"/>
    <d v="2023-04-02T00:00:00"/>
    <d v="1899-12-30T02:54:00"/>
    <s v="Mesero_3"/>
    <x v="0"/>
    <s v="Tarjeta de crédito"/>
    <n v="38.4"/>
    <s v="Reservada"/>
    <n v="146"/>
    <s v="Paraguay"/>
    <d v="1899-12-30T01:14:00"/>
    <n v="47"/>
    <s v="0:47"/>
    <d v="1899-12-30T00:27:00"/>
    <n v="62"/>
    <n v="19"/>
    <d v="2023-04-02T00:00:00"/>
    <x v="1"/>
    <x v="0"/>
    <s v="Tarjeta de crédito"/>
    <n v="38.4"/>
    <n v="100.4"/>
  </r>
  <r>
    <n v="5"/>
    <s v="Cliente_909"/>
    <n v="4"/>
    <d v="2023-04-02T00:00:00"/>
    <d v="1899-12-30T03:18:00"/>
    <d v="2023-04-02T00:00:00"/>
    <d v="1899-12-30T04:58:00"/>
    <s v="Mesero_3"/>
    <x v="1"/>
    <s v="Tarjeta de crédito"/>
    <n v="27.14"/>
    <s v="Reservada"/>
    <n v="147"/>
    <s v="Colombia"/>
    <d v="1899-12-30T01:40:00"/>
    <n v="33"/>
    <s v="0:33"/>
    <d v="1899-12-30T01:07:00"/>
    <n v="84"/>
    <n v="38"/>
    <d v="2023-04-02T00:00:00"/>
    <x v="1"/>
    <x v="0"/>
    <s v="Tarjeta de crédito"/>
    <n v="27.14"/>
    <n v="111.14"/>
  </r>
  <r>
    <n v="10"/>
    <s v="Cliente_402"/>
    <n v="6"/>
    <d v="2023-04-02T00:00:00"/>
    <d v="1899-12-30T03:52:00"/>
    <d v="2023-04-02T00:00:00"/>
    <d v="1899-12-30T05:59:00"/>
    <s v="Mesero_3"/>
    <x v="0"/>
    <s v="Tarjeta de débito"/>
    <n v="46.26"/>
    <s v="Ocupada"/>
    <n v="148"/>
    <s v="Colombia"/>
    <d v="1899-12-30T02:22:00"/>
    <n v="159"/>
    <s v="2:39"/>
    <d v="1899-12-30T00:00:00"/>
    <n v="212"/>
    <n v="64"/>
    <d v="2023-04-02T00:00:00"/>
    <x v="1"/>
    <x v="1"/>
    <s v="Impago"/>
    <n v="0"/>
    <n v="0"/>
  </r>
  <r>
    <n v="18"/>
    <s v="Cliente_709"/>
    <n v="4"/>
    <d v="2023-04-02T00:00:00"/>
    <d v="1899-12-30T01:35:00"/>
    <d v="2023-04-02T00:00:00"/>
    <d v="1899-12-30T04:50:00"/>
    <s v="Mesero_5"/>
    <x v="1"/>
    <s v="Tarjeta de crédito"/>
    <n v="15.92"/>
    <s v="Ocupada"/>
    <n v="149"/>
    <s v="Brasil"/>
    <d v="1899-12-30T03:30:00"/>
    <n v="139"/>
    <s v="2:19"/>
    <d v="1899-12-30T01:11:00"/>
    <n v="226"/>
    <n v="65"/>
    <d v="2023-04-02T00:00:00"/>
    <x v="1"/>
    <x v="0"/>
    <s v="Tarjeta de crédito"/>
    <n v="15.92"/>
    <n v="241.92"/>
  </r>
  <r>
    <n v="18"/>
    <s v="Cliente_533"/>
    <n v="6"/>
    <d v="2023-04-02T00:00:00"/>
    <d v="1899-12-30T00:37:00"/>
    <d v="2023-04-02T00:00:00"/>
    <d v="1899-12-30T03:10:00"/>
    <s v="Mesero_1"/>
    <x v="0"/>
    <s v="Tarjeta de débito"/>
    <n v="48.43"/>
    <s v="Libre"/>
    <n v="150"/>
    <s v="Argentina"/>
    <d v="1899-12-30T02:33:00"/>
    <n v="106"/>
    <s v="1:46"/>
    <d v="1899-12-30T00:47:00"/>
    <n v="150"/>
    <n v="45"/>
    <d v="2023-04-02T00:00:00"/>
    <x v="1"/>
    <x v="0"/>
    <s v="Tarjeta de débito"/>
    <n v="48.43"/>
    <n v="198.43"/>
  </r>
  <r>
    <n v="6"/>
    <s v="Cliente_953"/>
    <n v="2"/>
    <d v="2023-04-02T00:00:00"/>
    <d v="1899-12-30T03:15:00"/>
    <d v="2023-04-02T00:00:00"/>
    <d v="1899-12-30T06:53:00"/>
    <s v="Mesero_4"/>
    <x v="2"/>
    <s v="Tarjeta de crédito"/>
    <n v="41.51"/>
    <s v="Ocupada"/>
    <n v="151"/>
    <s v="Ecuador"/>
    <d v="1899-12-30T03:53:00"/>
    <n v="19"/>
    <s v="0:19"/>
    <d v="1899-12-30T03:34:00"/>
    <n v="132"/>
    <n v="27"/>
    <d v="2023-04-02T00:00:00"/>
    <x v="1"/>
    <x v="0"/>
    <s v="Tarjeta de crédito"/>
    <n v="41.51"/>
    <n v="173.51"/>
  </r>
  <r>
    <n v="5"/>
    <s v="Cliente_380"/>
    <n v="6"/>
    <d v="2023-04-02T00:00:00"/>
    <d v="1899-12-30T01:14:00"/>
    <d v="2023-04-02T00:00:00"/>
    <d v="1899-12-30T02:52:00"/>
    <s v="Mesero_4"/>
    <x v="0"/>
    <s v="Tarjeta de débito"/>
    <n v="25.57"/>
    <s v="Reservada"/>
    <n v="152"/>
    <s v="Ecuador"/>
    <d v="1899-12-30T01:38:00"/>
    <n v="12"/>
    <s v="0:12"/>
    <d v="1899-12-30T01:26:00"/>
    <n v="56"/>
    <n v="16"/>
    <d v="2023-04-02T00:00:00"/>
    <x v="1"/>
    <x v="0"/>
    <s v="Tarjeta de débito"/>
    <n v="25.57"/>
    <n v="81.569999999999993"/>
  </r>
  <r>
    <n v="10"/>
    <s v="Cliente_870"/>
    <n v="1"/>
    <d v="2023-04-02T00:00:00"/>
    <d v="1899-12-30T03:06:00"/>
    <d v="2023-04-02T00:00:00"/>
    <d v="1899-12-30T05:26:00"/>
    <s v="Mesero_2"/>
    <x v="1"/>
    <s v="Tarjeta de débito"/>
    <n v="42.84"/>
    <s v="Ocupada"/>
    <n v="153"/>
    <s v="Paraguay"/>
    <d v="1899-12-30T02:35:00"/>
    <n v="89"/>
    <s v="1:29"/>
    <d v="1899-12-30T01:06:00"/>
    <n v="203"/>
    <n v="59"/>
    <d v="2023-04-02T00:00:00"/>
    <x v="1"/>
    <x v="0"/>
    <s v="Tarjeta de débito"/>
    <n v="42.84"/>
    <n v="245.84"/>
  </r>
  <r>
    <n v="11"/>
    <s v="Cliente_964"/>
    <n v="6"/>
    <d v="2023-04-02T00:00:00"/>
    <d v="1899-12-30T02:09:00"/>
    <d v="2023-04-02T00:00:00"/>
    <d v="1899-12-30T03:36:00"/>
    <s v="Mesero_1"/>
    <x v="1"/>
    <s v="Tarjeta de crédito"/>
    <n v="17.2"/>
    <s v="Libre"/>
    <n v="154"/>
    <s v="Ecuador"/>
    <d v="1899-12-30T01:27:00"/>
    <n v="82"/>
    <s v="1:22"/>
    <d v="1899-12-30T00:05:00"/>
    <n v="144"/>
    <n v="32"/>
    <d v="2023-04-02T00:00:00"/>
    <x v="1"/>
    <x v="0"/>
    <s v="Tarjeta de crédito"/>
    <n v="17.2"/>
    <n v="161.19999999999999"/>
  </r>
  <r>
    <n v="7"/>
    <s v="Cliente_939"/>
    <n v="2"/>
    <d v="2023-04-02T00:00:00"/>
    <d v="1899-12-30T01:53:00"/>
    <d v="2023-04-02T00:00:00"/>
    <d v="1899-12-30T04:44:00"/>
    <s v="Mesero_5"/>
    <x v="0"/>
    <s v="Tarjeta de crédito"/>
    <n v="25.72"/>
    <s v="Reservada"/>
    <n v="155"/>
    <s v="Venezuela"/>
    <d v="1899-12-30T02:51:00"/>
    <n v="100"/>
    <s v="1:40"/>
    <d v="1899-12-30T01:11:00"/>
    <n v="136"/>
    <n v="47"/>
    <d v="2023-04-02T00:00:00"/>
    <x v="1"/>
    <x v="0"/>
    <s v="Tarjeta de crédito"/>
    <n v="25.72"/>
    <n v="161.72"/>
  </r>
  <r>
    <n v="6"/>
    <s v="Cliente_536"/>
    <n v="4"/>
    <d v="2023-04-02T00:00:00"/>
    <d v="1899-12-30T00:40:00"/>
    <d v="2023-04-02T00:00:00"/>
    <d v="1899-12-30T04:17:00"/>
    <s v="Mesero_3"/>
    <x v="2"/>
    <s v="Tarjeta de crédito"/>
    <n v="19.03"/>
    <s v="Libre"/>
    <n v="156"/>
    <s v="España"/>
    <d v="1899-12-30T03:37:00"/>
    <n v="6"/>
    <s v="0:06"/>
    <d v="1899-12-30T03:31:00"/>
    <n v="56"/>
    <n v="16"/>
    <d v="2023-04-02T00:00:00"/>
    <x v="1"/>
    <x v="0"/>
    <s v="Tarjeta de crédito"/>
    <n v="19.03"/>
    <n v="75.03"/>
  </r>
  <r>
    <n v="13"/>
    <s v="Cliente_5"/>
    <n v="5"/>
    <d v="2023-04-02T00:00:00"/>
    <d v="1899-12-30T03:22:00"/>
    <d v="2023-04-02T00:00:00"/>
    <d v="1899-12-30T06:15:00"/>
    <s v="Mesero_3"/>
    <x v="1"/>
    <s v="Tarjeta de crédito"/>
    <n v="28.48"/>
    <s v="Ocupada"/>
    <n v="157"/>
    <s v="Perú"/>
    <d v="1899-12-30T03:08:00"/>
    <n v="150"/>
    <s v="2:30"/>
    <d v="1899-12-30T00:38:00"/>
    <n v="271"/>
    <n v="71"/>
    <d v="2023-04-02T00:00:00"/>
    <x v="1"/>
    <x v="0"/>
    <s v="Tarjeta de crédito"/>
    <n v="28.48"/>
    <n v="299.48"/>
  </r>
  <r>
    <n v="5"/>
    <s v="Cliente_115"/>
    <n v="5"/>
    <d v="2023-04-02T00:00:00"/>
    <d v="1899-12-30T02:45:00"/>
    <d v="2023-04-02T00:00:00"/>
    <d v="1899-12-30T03:59:00"/>
    <s v="Mesero_3"/>
    <x v="0"/>
    <s v="Tarjeta de crédito"/>
    <n v="48.75"/>
    <s v="Libre"/>
    <n v="158"/>
    <s v="Chile"/>
    <d v="1899-12-30T01:14:00"/>
    <n v="135"/>
    <s v="2:15"/>
    <d v="1899-12-30T00:00:00"/>
    <n v="310"/>
    <n v="69"/>
    <d v="2023-04-02T00:00:00"/>
    <x v="1"/>
    <x v="1"/>
    <s v="Impago"/>
    <n v="0"/>
    <n v="0"/>
  </r>
  <r>
    <n v="16"/>
    <s v="Cliente_580"/>
    <n v="1"/>
    <d v="2023-04-02T00:00:00"/>
    <d v="1899-12-30T00:10:00"/>
    <d v="2023-04-02T00:00:00"/>
    <d v="1899-12-30T01:15:00"/>
    <s v="Mesero_3"/>
    <x v="1"/>
    <s v="Tarjeta de crédito"/>
    <n v="47.81"/>
    <s v="Ocupada"/>
    <n v="159"/>
    <s v="Brasil"/>
    <d v="1899-12-30T01:20:00"/>
    <n v="74"/>
    <s v="1:14"/>
    <d v="1899-12-30T00:06:00"/>
    <n v="253"/>
    <n v="66"/>
    <d v="2023-04-02T00:00:00"/>
    <x v="1"/>
    <x v="0"/>
    <s v="Tarjeta de crédito"/>
    <n v="47.81"/>
    <n v="300.81"/>
  </r>
  <r>
    <n v="19"/>
    <s v="Cliente_788"/>
    <n v="6"/>
    <d v="2023-04-02T00:00:00"/>
    <d v="1899-12-30T01:06:00"/>
    <d v="2023-04-02T00:00:00"/>
    <d v="1899-12-30T04:33:00"/>
    <s v="Mesero_2"/>
    <x v="0"/>
    <s v="Tarjeta de crédito"/>
    <n v="26.02"/>
    <s v="Reservada"/>
    <n v="160"/>
    <s v="Colombia"/>
    <d v="1899-12-30T03:27:00"/>
    <n v="67"/>
    <s v="1:07"/>
    <d v="1899-12-30T02:20:00"/>
    <n v="156"/>
    <n v="36"/>
    <d v="2023-04-02T00:00:00"/>
    <x v="1"/>
    <x v="0"/>
    <s v="Tarjeta de crédito"/>
    <n v="26.02"/>
    <n v="182.02"/>
  </r>
  <r>
    <n v="13"/>
    <s v="Cliente_892"/>
    <n v="6"/>
    <d v="2023-04-02T00:00:00"/>
    <d v="1899-12-30T00:45:00"/>
    <d v="2023-04-02T00:00:00"/>
    <d v="1899-12-30T04:23:00"/>
    <s v="Mesero_2"/>
    <x v="0"/>
    <s v="Tarjeta de crédito"/>
    <n v="18.86"/>
    <s v="Reservada"/>
    <n v="161"/>
    <s v="Paraguay"/>
    <d v="1899-12-30T03:38:00"/>
    <n v="57"/>
    <s v="0:57"/>
    <d v="1899-12-30T02:41:00"/>
    <n v="84"/>
    <n v="16"/>
    <d v="2023-04-02T00:00:00"/>
    <x v="1"/>
    <x v="0"/>
    <s v="Tarjeta de crédito"/>
    <n v="18.86"/>
    <n v="102.86"/>
  </r>
  <r>
    <n v="14"/>
    <s v="Cliente_406"/>
    <n v="4"/>
    <d v="2023-04-02T00:00:00"/>
    <d v="1899-12-30T00:57:00"/>
    <d v="2023-04-02T00:00:00"/>
    <d v="1899-12-30T02:34:00"/>
    <s v="Mesero_1"/>
    <x v="0"/>
    <s v="Tarjeta de crédito"/>
    <n v="17.55"/>
    <s v="Reservada"/>
    <n v="162"/>
    <s v="Paraguay"/>
    <d v="1899-12-30T01:37:00"/>
    <n v="25"/>
    <s v="0:25"/>
    <d v="1899-12-30T01:12:00"/>
    <n v="72"/>
    <n v="14"/>
    <d v="2023-04-02T00:00:00"/>
    <x v="1"/>
    <x v="0"/>
    <s v="Tarjeta de crédito"/>
    <n v="17.55"/>
    <n v="89.55"/>
  </r>
  <r>
    <n v="6"/>
    <s v="Cliente_295"/>
    <n v="1"/>
    <d v="2023-04-02T00:00:00"/>
    <d v="1899-12-30T01:35:00"/>
    <d v="2023-04-02T00:00:00"/>
    <d v="1899-12-30T04:09:00"/>
    <s v="Mesero_5"/>
    <x v="0"/>
    <s v="Tarjeta de crédito"/>
    <n v="14.94"/>
    <s v="Ocupada"/>
    <n v="163"/>
    <s v="Chile"/>
    <d v="1899-12-30T02:49:00"/>
    <n v="71"/>
    <s v="1:11"/>
    <d v="1899-12-30T01:38:00"/>
    <n v="271"/>
    <n v="70"/>
    <d v="2023-04-02T00:00:00"/>
    <x v="1"/>
    <x v="0"/>
    <s v="Tarjeta de crédito"/>
    <n v="14.94"/>
    <n v="285.94"/>
  </r>
  <r>
    <n v="8"/>
    <s v="Cliente_547"/>
    <n v="2"/>
    <d v="2023-04-02T00:00:00"/>
    <d v="1899-12-30T02:34:00"/>
    <d v="2023-04-02T00:00:00"/>
    <d v="1899-12-30T06:02:00"/>
    <s v="Mesero_4"/>
    <x v="2"/>
    <s v="Tarjeta de crédito"/>
    <n v="47.53"/>
    <s v="Reservada"/>
    <n v="164"/>
    <s v="Colombia"/>
    <d v="1899-12-30T03:28:00"/>
    <n v="105"/>
    <s v="1:45"/>
    <d v="1899-12-30T01:43:00"/>
    <n v="170"/>
    <n v="68"/>
    <d v="2023-04-02T00:00:00"/>
    <x v="1"/>
    <x v="0"/>
    <s v="Tarjeta de crédito"/>
    <n v="47.53"/>
    <n v="217.53"/>
  </r>
  <r>
    <n v="10"/>
    <s v="Cliente_156"/>
    <n v="3"/>
    <d v="2023-04-02T00:00:00"/>
    <d v="1899-12-30T02:21:00"/>
    <d v="2023-04-02T00:00:00"/>
    <d v="1899-12-30T05:12:00"/>
    <s v="Mesero_3"/>
    <x v="2"/>
    <s v="Tarjeta de crédito"/>
    <n v="41.9"/>
    <s v="Ocupada"/>
    <n v="165"/>
    <s v="Perú"/>
    <d v="1899-12-30T03:06:00"/>
    <n v="56"/>
    <s v="0:56"/>
    <d v="1899-12-30T02:10:00"/>
    <n v="90"/>
    <n v="27"/>
    <d v="2023-04-02T00:00:00"/>
    <x v="1"/>
    <x v="0"/>
    <s v="Tarjeta de crédito"/>
    <n v="41.9"/>
    <n v="131.9"/>
  </r>
  <r>
    <n v="12"/>
    <s v="Cliente_768"/>
    <n v="1"/>
    <d v="2023-04-02T00:00:00"/>
    <d v="1899-12-30T01:18:00"/>
    <d v="2023-04-02T00:00:00"/>
    <d v="1899-12-30T02:44:00"/>
    <s v="Mesero_4"/>
    <x v="0"/>
    <s v="Efectivo"/>
    <n v="43.95"/>
    <s v="Ocupada"/>
    <n v="166"/>
    <s v="Perú"/>
    <d v="1899-12-30T01:41:00"/>
    <n v="22"/>
    <s v="0:22"/>
    <d v="1899-12-30T01:19:00"/>
    <n v="46"/>
    <n v="14"/>
    <d v="2023-04-02T00:00:00"/>
    <x v="1"/>
    <x v="0"/>
    <s v="Efectivo"/>
    <n v="43.95"/>
    <n v="89.95"/>
  </r>
  <r>
    <n v="5"/>
    <s v="Cliente_359"/>
    <n v="6"/>
    <d v="2023-04-02T00:00:00"/>
    <d v="1899-12-30T01:19:00"/>
    <d v="2023-04-02T00:00:00"/>
    <d v="1899-12-30T02:46:00"/>
    <s v="Mesero_2"/>
    <x v="0"/>
    <s v="Tarjeta de débito"/>
    <n v="42.74"/>
    <s v="Reservada"/>
    <n v="167"/>
    <s v="Argentina"/>
    <d v="1899-12-30T01:27:00"/>
    <n v="76"/>
    <s v="1:16"/>
    <d v="1899-12-30T00:11:00"/>
    <n v="152"/>
    <n v="50"/>
    <d v="2023-04-02T00:00:00"/>
    <x v="1"/>
    <x v="0"/>
    <s v="Tarjeta de débito"/>
    <n v="42.74"/>
    <n v="194.74"/>
  </r>
  <r>
    <n v="17"/>
    <s v="Cliente_131"/>
    <n v="4"/>
    <d v="2023-04-02T00:00:00"/>
    <d v="1899-12-30T02:05:00"/>
    <d v="2023-04-02T00:00:00"/>
    <d v="1899-12-30T03:23:00"/>
    <s v="Mesero_1"/>
    <x v="0"/>
    <s v="Tarjeta de crédito"/>
    <n v="17.09"/>
    <s v="Reservada"/>
    <n v="168"/>
    <s v="Venezuela"/>
    <d v="1899-12-30T01:18:00"/>
    <n v="7"/>
    <s v="0:07"/>
    <d v="1899-12-30T01:11:00"/>
    <n v="44"/>
    <n v="13"/>
    <d v="2023-04-02T00:00:00"/>
    <x v="1"/>
    <x v="0"/>
    <s v="Tarjeta de crédito"/>
    <n v="17.09"/>
    <n v="61.09"/>
  </r>
  <r>
    <n v="19"/>
    <s v="Cliente_485"/>
    <n v="1"/>
    <d v="2023-04-02T00:00:00"/>
    <d v="1899-12-30T01:56:00"/>
    <d v="2023-04-02T00:00:00"/>
    <d v="1899-12-30T05:14:00"/>
    <s v="Mesero_3"/>
    <x v="0"/>
    <s v="Tarjeta de débito"/>
    <n v="16.62"/>
    <s v="Libre"/>
    <n v="169"/>
    <s v="Paraguay"/>
    <d v="1899-12-30T03:18:00"/>
    <n v="110"/>
    <s v="1:50"/>
    <d v="1899-12-30T01:28:00"/>
    <n v="154"/>
    <n v="46"/>
    <d v="2023-04-02T00:00:00"/>
    <x v="1"/>
    <x v="0"/>
    <s v="Tarjeta de débito"/>
    <n v="16.62"/>
    <n v="170.62"/>
  </r>
  <r>
    <n v="12"/>
    <s v="Cliente_493"/>
    <n v="2"/>
    <d v="2023-04-02T00:00:00"/>
    <d v="1899-12-30T02:37:00"/>
    <d v="2023-04-02T00:00:00"/>
    <d v="1899-12-30T05:26:00"/>
    <s v="Mesero_2"/>
    <x v="2"/>
    <s v="Tarjeta de crédito"/>
    <n v="25.98"/>
    <s v="Libre"/>
    <n v="170"/>
    <s v="Colombia"/>
    <d v="1899-12-30T02:49:00"/>
    <n v="73"/>
    <s v="1:13"/>
    <d v="1899-12-30T01:36:00"/>
    <n v="243"/>
    <n v="69"/>
    <d v="2023-04-02T00:00:00"/>
    <x v="1"/>
    <x v="0"/>
    <s v="Tarjeta de crédito"/>
    <n v="25.98"/>
    <n v="268.98"/>
  </r>
  <r>
    <n v="16"/>
    <s v="Cliente_282"/>
    <n v="6"/>
    <d v="2023-04-02T00:00:00"/>
    <d v="1899-12-30T01:53:00"/>
    <d v="2023-04-02T00:00:00"/>
    <d v="1899-12-30T03:04:00"/>
    <s v="Mesero_2"/>
    <x v="2"/>
    <s v="Tarjeta de crédito"/>
    <n v="46.56"/>
    <s v="Libre"/>
    <n v="171"/>
    <s v="Brasil"/>
    <d v="1899-12-30T01:11:00"/>
    <n v="51"/>
    <s v="0:51"/>
    <d v="1899-12-30T00:20:00"/>
    <n v="139"/>
    <n v="32"/>
    <d v="2023-04-02T00:00:00"/>
    <x v="1"/>
    <x v="0"/>
    <s v="Tarjeta de crédito"/>
    <n v="46.56"/>
    <n v="185.56"/>
  </r>
  <r>
    <n v="12"/>
    <s v="Cliente_850"/>
    <n v="3"/>
    <d v="2023-04-02T00:00:00"/>
    <d v="1899-12-30T02:49:00"/>
    <d v="2023-04-02T00:00:00"/>
    <d v="1899-12-30T06:06:00"/>
    <s v="Mesero_1"/>
    <x v="0"/>
    <s v="Tarjeta de crédito"/>
    <n v="45.17"/>
    <s v="Ocupada"/>
    <n v="172"/>
    <s v="Bolivia"/>
    <d v="1899-12-30T03:32:00"/>
    <n v="27"/>
    <s v="0:27"/>
    <d v="1899-12-30T03:05:00"/>
    <n v="68"/>
    <n v="20"/>
    <d v="2023-04-02T00:00:00"/>
    <x v="1"/>
    <x v="0"/>
    <s v="Tarjeta de crédito"/>
    <n v="45.17"/>
    <n v="113.17"/>
  </r>
  <r>
    <n v="11"/>
    <s v="Cliente_301"/>
    <n v="3"/>
    <d v="2023-04-02T00:00:00"/>
    <d v="1899-12-30T00:18:00"/>
    <d v="2023-04-02T00:00:00"/>
    <d v="1899-12-30T03:43:00"/>
    <s v="Mesero_4"/>
    <x v="0"/>
    <s v="Tarjeta de crédito"/>
    <n v="48.73"/>
    <s v="Ocupada"/>
    <n v="173"/>
    <s v="Chile"/>
    <d v="1899-12-30T03:40:00"/>
    <n v="67"/>
    <s v="1:07"/>
    <d v="1899-12-30T02:33:00"/>
    <n v="177"/>
    <n v="35"/>
    <d v="2023-04-02T00:00:00"/>
    <x v="1"/>
    <x v="0"/>
    <s v="Tarjeta de crédito"/>
    <n v="48.73"/>
    <n v="225.73"/>
  </r>
  <r>
    <n v="10"/>
    <s v="Cliente_124"/>
    <n v="5"/>
    <d v="2023-04-02T00:00:00"/>
    <d v="1899-12-30T00:09:00"/>
    <d v="2023-04-02T00:00:00"/>
    <d v="1899-12-30T01:12:00"/>
    <s v="Mesero_4"/>
    <x v="0"/>
    <s v="Tarjeta de crédito"/>
    <n v="48.24"/>
    <s v="Reservada"/>
    <n v="174"/>
    <s v="Venezuela"/>
    <d v="1899-12-30T01:03:00"/>
    <n v="12"/>
    <s v="0:12"/>
    <d v="1899-12-30T00:51:00"/>
    <n v="60"/>
    <n v="18"/>
    <d v="2023-04-02T00:00:00"/>
    <x v="1"/>
    <x v="0"/>
    <s v="Tarjeta de crédito"/>
    <n v="48.24"/>
    <n v="108.24000000000001"/>
  </r>
  <r>
    <n v="14"/>
    <s v="Cliente_747"/>
    <n v="3"/>
    <d v="2023-04-02T00:00:00"/>
    <d v="1899-12-30T01:27:00"/>
    <d v="2023-04-02T00:00:00"/>
    <d v="1899-12-30T03:04:00"/>
    <s v="Mesero_3"/>
    <x v="0"/>
    <s v="Tarjeta de crédito"/>
    <n v="27.94"/>
    <s v="Reservada"/>
    <n v="175"/>
    <s v="Colombia"/>
    <d v="1899-12-30T01:37:00"/>
    <n v="47"/>
    <s v="0:47"/>
    <d v="1899-12-30T00:50:00"/>
    <n v="144"/>
    <n v="33"/>
    <d v="2023-04-02T00:00:00"/>
    <x v="1"/>
    <x v="0"/>
    <s v="Tarjeta de crédito"/>
    <n v="27.94"/>
    <n v="171.94"/>
  </r>
  <r>
    <n v="20"/>
    <s v="Cliente_741"/>
    <n v="4"/>
    <d v="2023-04-02T00:00:00"/>
    <d v="1899-12-30T02:27:00"/>
    <d v="2023-04-02T00:00:00"/>
    <d v="1899-12-30T04:32:00"/>
    <s v="Mesero_2"/>
    <x v="0"/>
    <s v="Tarjeta de crédito"/>
    <n v="30.5"/>
    <s v="Ocupada"/>
    <n v="176"/>
    <s v="Chile"/>
    <d v="1899-12-30T02:20:00"/>
    <n v="48"/>
    <s v="0:48"/>
    <d v="1899-12-30T01:32:00"/>
    <n v="63"/>
    <n v="13"/>
    <d v="2023-04-02T00:00:00"/>
    <x v="1"/>
    <x v="0"/>
    <s v="Tarjeta de crédito"/>
    <n v="30.5"/>
    <n v="93.5"/>
  </r>
  <r>
    <n v="4"/>
    <s v="Cliente_610"/>
    <n v="1"/>
    <d v="2023-04-02T00:00:00"/>
    <d v="1899-12-30T00:14:00"/>
    <d v="2023-04-02T00:00:00"/>
    <d v="1899-12-30T01:14:00"/>
    <s v="Mesero_4"/>
    <x v="2"/>
    <s v="Tarjeta de crédito"/>
    <n v="10.39"/>
    <s v="Ocupada"/>
    <n v="177"/>
    <s v="Perú"/>
    <d v="1899-12-30T01:15:00"/>
    <n v="142"/>
    <s v="2:22"/>
    <d v="1899-12-30T00:00:00"/>
    <n v="173"/>
    <n v="53"/>
    <d v="2023-04-02T00:00:00"/>
    <x v="1"/>
    <x v="1"/>
    <s v="Impago"/>
    <n v="0"/>
    <n v="0"/>
  </r>
  <r>
    <n v="11"/>
    <s v="Cliente_681"/>
    <n v="6"/>
    <d v="2023-04-02T00:00:00"/>
    <d v="1899-12-30T01:53:00"/>
    <d v="2023-04-02T00:00:00"/>
    <d v="1899-12-30T05:18:00"/>
    <s v="Mesero_3"/>
    <x v="2"/>
    <s v="Tarjeta de crédito"/>
    <n v="31.6"/>
    <s v="Reservada"/>
    <n v="178"/>
    <s v="Venezuela"/>
    <d v="1899-12-30T03:25:00"/>
    <n v="146"/>
    <s v="2:26"/>
    <d v="1899-12-30T00:59:00"/>
    <n v="208"/>
    <n v="72"/>
    <d v="2023-04-02T00:00:00"/>
    <x v="1"/>
    <x v="0"/>
    <s v="Tarjeta de crédito"/>
    <n v="31.6"/>
    <n v="239.6"/>
  </r>
  <r>
    <n v="12"/>
    <s v="Cliente_173"/>
    <n v="2"/>
    <d v="2023-04-02T00:00:00"/>
    <d v="1899-12-30T00:44:00"/>
    <d v="2023-04-02T00:00:00"/>
    <d v="1899-12-30T03:08:00"/>
    <s v="Mesero_4"/>
    <x v="1"/>
    <s v="Tarjeta de crédito"/>
    <n v="13.3"/>
    <s v="Reservada"/>
    <n v="179"/>
    <s v="Colombia"/>
    <d v="1899-12-30T02:24:00"/>
    <n v="26"/>
    <s v="0:26"/>
    <d v="1899-12-30T01:58:00"/>
    <n v="62"/>
    <n v="19"/>
    <d v="2023-04-02T00:00:00"/>
    <x v="1"/>
    <x v="0"/>
    <s v="Tarjeta de crédito"/>
    <n v="13.3"/>
    <n v="75.3"/>
  </r>
  <r>
    <n v="10"/>
    <s v="Cliente_55"/>
    <n v="1"/>
    <d v="2023-04-02T00:00:00"/>
    <d v="1899-12-30T02:21:00"/>
    <d v="2023-04-02T00:00:00"/>
    <d v="1899-12-30T05:09:00"/>
    <s v="Mesero_2"/>
    <x v="2"/>
    <s v="Tarjeta de crédito"/>
    <n v="46.61"/>
    <s v="Reservada"/>
    <n v="180"/>
    <s v="Brasil"/>
    <d v="1899-12-30T02:48:00"/>
    <n v="161"/>
    <s v="2:41"/>
    <d v="1899-12-30T00:07:00"/>
    <n v="166"/>
    <n v="63"/>
    <d v="2023-04-02T00:00:00"/>
    <x v="1"/>
    <x v="0"/>
    <s v="Tarjeta de crédito"/>
    <n v="46.61"/>
    <n v="212.61"/>
  </r>
  <r>
    <n v="15"/>
    <s v="Cliente_653"/>
    <n v="1"/>
    <d v="2023-04-02T00:00:00"/>
    <d v="1899-12-30T02:45:00"/>
    <d v="2023-04-02T00:00:00"/>
    <d v="1899-12-30T03:54:00"/>
    <s v="Mesero_1"/>
    <x v="2"/>
    <s v="Tarjeta de crédito"/>
    <n v="42.58"/>
    <s v="Ocupada"/>
    <n v="181"/>
    <s v="Paraguay"/>
    <d v="1899-12-30T01:24:00"/>
    <n v="55"/>
    <s v="0:55"/>
    <d v="1899-12-30T00:29:00"/>
    <n v="27"/>
    <n v="16"/>
    <d v="2023-04-02T00:00:00"/>
    <x v="1"/>
    <x v="0"/>
    <s v="Tarjeta de crédito"/>
    <n v="42.58"/>
    <n v="69.58"/>
  </r>
  <r>
    <n v="18"/>
    <s v="Cliente_628"/>
    <n v="2"/>
    <d v="2023-04-02T00:00:00"/>
    <d v="1899-12-30T03:53:00"/>
    <d v="2023-04-02T00:00:00"/>
    <d v="1899-12-30T06:30:00"/>
    <s v="Mesero_3"/>
    <x v="0"/>
    <s v="Tarjeta de débito"/>
    <n v="38.36"/>
    <s v="Libre"/>
    <n v="182"/>
    <s v="Paraguay"/>
    <d v="1899-12-30T02:37:00"/>
    <n v="11"/>
    <s v="0:11"/>
    <d v="1899-12-30T02:26:00"/>
    <n v="38"/>
    <n v="11"/>
    <d v="2023-04-02T00:00:00"/>
    <x v="1"/>
    <x v="0"/>
    <s v="Tarjeta de débito"/>
    <n v="38.36"/>
    <n v="76.36"/>
  </r>
  <r>
    <n v="18"/>
    <s v="Cliente_715"/>
    <n v="1"/>
    <d v="2023-04-02T00:00:00"/>
    <d v="1899-12-30T02:46:00"/>
    <d v="2023-04-02T00:00:00"/>
    <d v="1899-12-30T06:28:00"/>
    <s v="Mesero_1"/>
    <x v="0"/>
    <s v="Tarjeta de crédito"/>
    <n v="11.69"/>
    <s v="Ocupada"/>
    <n v="183"/>
    <s v="Uruguay"/>
    <d v="1899-12-30T03:57:00"/>
    <n v="166"/>
    <s v="2:46"/>
    <d v="1899-12-30T01:11:00"/>
    <n v="255"/>
    <n v="67"/>
    <d v="2023-04-02T00:00:00"/>
    <x v="1"/>
    <x v="0"/>
    <s v="Tarjeta de crédito"/>
    <n v="11.69"/>
    <n v="266.69"/>
  </r>
  <r>
    <n v="4"/>
    <s v="Cliente_321"/>
    <n v="6"/>
    <d v="2023-04-02T00:00:00"/>
    <d v="1899-12-30T03:55:00"/>
    <d v="2023-04-02T00:00:00"/>
    <d v="1899-12-30T07:01:00"/>
    <s v="Mesero_5"/>
    <x v="0"/>
    <s v="Tarjeta de crédito"/>
    <n v="24.24"/>
    <s v="Ocupada"/>
    <n v="184"/>
    <s v="Chile"/>
    <d v="1899-12-30T03:21:00"/>
    <n v="29"/>
    <s v="0:29"/>
    <d v="1899-12-30T02:52:00"/>
    <n v="205"/>
    <n v="44"/>
    <d v="2023-04-02T00:00:00"/>
    <x v="1"/>
    <x v="0"/>
    <s v="Tarjeta de crédito"/>
    <n v="24.24"/>
    <n v="229.24"/>
  </r>
  <r>
    <n v="16"/>
    <s v="Cliente_670"/>
    <n v="2"/>
    <d v="2023-04-02T00:00:00"/>
    <d v="1899-12-30T02:47:00"/>
    <d v="2023-04-02T00:00:00"/>
    <d v="1899-12-30T06:26:00"/>
    <s v="Mesero_1"/>
    <x v="1"/>
    <s v="Tarjeta de crédito"/>
    <n v="28.07"/>
    <s v="Libre"/>
    <n v="185"/>
    <s v="Uruguay"/>
    <d v="1899-12-30T03:39:00"/>
    <n v="40"/>
    <s v="0:40"/>
    <d v="1899-12-30T02:59:00"/>
    <n v="91"/>
    <n v="29"/>
    <d v="2023-04-02T00:00:00"/>
    <x v="1"/>
    <x v="0"/>
    <s v="Tarjeta de crédito"/>
    <n v="28.07"/>
    <n v="119.07"/>
  </r>
  <r>
    <n v="13"/>
    <s v="Cliente_442"/>
    <n v="6"/>
    <d v="2023-04-02T00:00:00"/>
    <d v="1899-12-30T00:40:00"/>
    <d v="2023-04-02T00:00:00"/>
    <d v="1899-12-30T04:14:00"/>
    <s v="Mesero_1"/>
    <x v="0"/>
    <s v="Tarjeta de crédito"/>
    <n v="17.55"/>
    <s v="Reservada"/>
    <n v="186"/>
    <s v="Colombia"/>
    <d v="1899-12-30T03:34:00"/>
    <n v="93"/>
    <s v="1:33"/>
    <d v="1899-12-30T02:01:00"/>
    <n v="270"/>
    <n v="54"/>
    <d v="2023-04-02T00:00:00"/>
    <x v="1"/>
    <x v="0"/>
    <s v="Tarjeta de crédito"/>
    <n v="17.55"/>
    <n v="287.55"/>
  </r>
  <r>
    <n v="5"/>
    <s v="Cliente_752"/>
    <n v="1"/>
    <d v="2023-04-02T00:00:00"/>
    <d v="1899-12-30T02:23:00"/>
    <d v="2023-04-02T00:00:00"/>
    <d v="1899-12-30T05:28:00"/>
    <s v="Mesero_4"/>
    <x v="0"/>
    <s v="Tarjeta de crédito"/>
    <n v="17.399999999999999"/>
    <s v="Libre"/>
    <n v="187"/>
    <s v="Venezuela"/>
    <d v="1899-12-30T03:05:00"/>
    <n v="126"/>
    <s v="2:06"/>
    <d v="1899-12-30T00:59:00"/>
    <n v="208"/>
    <n v="68"/>
    <d v="2023-04-02T00:00:00"/>
    <x v="1"/>
    <x v="0"/>
    <s v="Tarjeta de crédito"/>
    <n v="17.399999999999999"/>
    <n v="225.4"/>
  </r>
  <r>
    <n v="20"/>
    <s v="Cliente_727"/>
    <n v="4"/>
    <d v="2023-04-02T00:00:00"/>
    <d v="1899-12-30T03:40:00"/>
    <d v="2023-04-02T00:00:00"/>
    <d v="1899-12-30T05:21:00"/>
    <s v="Mesero_3"/>
    <x v="1"/>
    <s v="Tarjeta de crédito"/>
    <n v="13.95"/>
    <s v="Reservada"/>
    <n v="188"/>
    <s v="Colombia"/>
    <d v="1899-12-30T01:41:00"/>
    <n v="105"/>
    <s v="1:45"/>
    <d v="1899-12-30T00:00:00"/>
    <n v="83"/>
    <n v="34"/>
    <d v="2023-04-02T00:00:00"/>
    <x v="1"/>
    <x v="1"/>
    <s v="Impago"/>
    <n v="0"/>
    <n v="0"/>
  </r>
  <r>
    <n v="11"/>
    <s v="Cliente_548"/>
    <n v="4"/>
    <d v="2023-04-02T00:00:00"/>
    <d v="1899-12-30T03:48:00"/>
    <d v="2023-04-02T00:00:00"/>
    <d v="1899-12-30T06:10:00"/>
    <s v="Mesero_2"/>
    <x v="0"/>
    <s v="Tarjeta de crédito"/>
    <n v="41.66"/>
    <s v="Reservada"/>
    <n v="189"/>
    <s v="España"/>
    <d v="1899-12-30T02:22:00"/>
    <n v="117"/>
    <s v="1:57"/>
    <d v="1899-12-30T00:25:00"/>
    <n v="192"/>
    <n v="49"/>
    <d v="2023-04-02T00:00:00"/>
    <x v="1"/>
    <x v="0"/>
    <s v="Tarjeta de crédito"/>
    <n v="41.66"/>
    <n v="233.66"/>
  </r>
  <r>
    <n v="5"/>
    <s v="Cliente_709"/>
    <n v="2"/>
    <d v="2023-04-02T00:00:00"/>
    <d v="1899-12-30T01:31:00"/>
    <d v="2023-04-02T00:00:00"/>
    <d v="1899-12-30T03:22:00"/>
    <s v="Mesero_2"/>
    <x v="0"/>
    <s v="Tarjeta de crédito"/>
    <n v="38.880000000000003"/>
    <s v="Libre"/>
    <n v="190"/>
    <s v="Colombia"/>
    <d v="1899-12-30T01:51:00"/>
    <n v="102"/>
    <s v="1:42"/>
    <d v="1899-12-30T00:09:00"/>
    <n v="202"/>
    <n v="70"/>
    <d v="2023-04-02T00:00:00"/>
    <x v="1"/>
    <x v="0"/>
    <s v="Tarjeta de crédito"/>
    <n v="38.880000000000003"/>
    <n v="240.88"/>
  </r>
  <r>
    <n v="12"/>
    <s v="Cliente_30"/>
    <n v="6"/>
    <d v="2023-04-02T00:00:00"/>
    <d v="1899-12-30T00:00:00"/>
    <d v="2023-04-02T00:00:00"/>
    <d v="1899-12-30T02:36:00"/>
    <s v="Mesero_2"/>
    <x v="0"/>
    <s v="Tarjeta de crédito"/>
    <n v="24.36"/>
    <s v="Ocupada"/>
    <n v="191"/>
    <s v="Paraguay"/>
    <d v="1899-12-30T02:51:00"/>
    <n v="87"/>
    <s v="1:27"/>
    <d v="1899-12-30T01:24:00"/>
    <n v="162"/>
    <n v="32"/>
    <d v="2023-04-02T00:00:00"/>
    <x v="1"/>
    <x v="0"/>
    <s v="Tarjeta de crédito"/>
    <n v="24.36"/>
    <n v="186.36"/>
  </r>
  <r>
    <n v="17"/>
    <s v="Cliente_412"/>
    <n v="4"/>
    <d v="2023-04-02T00:00:00"/>
    <d v="1899-12-30T02:36:00"/>
    <d v="2023-04-02T00:00:00"/>
    <d v="1899-12-30T04:53:00"/>
    <s v="Mesero_2"/>
    <x v="1"/>
    <s v="Efectivo"/>
    <n v="15.99"/>
    <s v="Libre"/>
    <n v="192"/>
    <s v="Chile"/>
    <d v="1899-12-30T02:17:00"/>
    <n v="26"/>
    <s v="0:26"/>
    <d v="1899-12-30T01:51:00"/>
    <n v="75"/>
    <n v="15"/>
    <d v="2023-04-02T00:00:00"/>
    <x v="1"/>
    <x v="0"/>
    <s v="Efectivo"/>
    <n v="15.99"/>
    <n v="90.99"/>
  </r>
  <r>
    <n v="3"/>
    <s v="Cliente_646"/>
    <n v="5"/>
    <d v="2023-04-02T00:00:00"/>
    <d v="1899-12-30T00:12:00"/>
    <d v="2023-04-02T00:00:00"/>
    <d v="1899-12-30T03:04:00"/>
    <s v="Mesero_5"/>
    <x v="1"/>
    <s v="Tarjeta de crédito"/>
    <n v="24.85"/>
    <s v="Reservada"/>
    <n v="193"/>
    <s v="Argentina"/>
    <d v="1899-12-30T02:52:00"/>
    <n v="171"/>
    <s v="2:51"/>
    <d v="1899-12-30T00:01:00"/>
    <n v="220"/>
    <n v="67"/>
    <d v="2023-04-02T00:00:00"/>
    <x v="1"/>
    <x v="0"/>
    <s v="Tarjeta de crédito"/>
    <n v="24.85"/>
    <n v="244.85"/>
  </r>
  <r>
    <n v="3"/>
    <s v="Cliente_151"/>
    <n v="6"/>
    <d v="2023-04-02T00:00:00"/>
    <d v="1899-12-30T02:40:00"/>
    <d v="2023-04-02T00:00:00"/>
    <d v="1899-12-30T03:56:00"/>
    <s v="Mesero_5"/>
    <x v="0"/>
    <s v="Tarjeta de débito"/>
    <n v="11.41"/>
    <s v="Reservada"/>
    <n v="194"/>
    <s v="Perú"/>
    <d v="1899-12-30T01:16:00"/>
    <n v="68"/>
    <s v="1:08"/>
    <d v="1899-12-30T00:08:00"/>
    <n v="96"/>
    <n v="38"/>
    <d v="2023-04-02T00:00:00"/>
    <x v="1"/>
    <x v="0"/>
    <s v="Tarjeta de débito"/>
    <n v="11.41"/>
    <n v="107.41"/>
  </r>
  <r>
    <n v="2"/>
    <s v="Cliente_318"/>
    <n v="1"/>
    <d v="2023-04-02T00:00:00"/>
    <d v="1899-12-30T03:04:00"/>
    <d v="2023-04-02T00:00:00"/>
    <d v="1899-12-30T04:09:00"/>
    <s v="Mesero_3"/>
    <x v="0"/>
    <s v="Tarjeta de débito"/>
    <n v="10.06"/>
    <s v="Ocupada"/>
    <n v="195"/>
    <s v="Colombia"/>
    <d v="1899-12-30T01:20:00"/>
    <n v="51"/>
    <s v="0:51"/>
    <d v="1899-12-30T00:29:00"/>
    <n v="50"/>
    <n v="15"/>
    <d v="2023-04-02T00:00:00"/>
    <x v="1"/>
    <x v="0"/>
    <s v="Tarjeta de débito"/>
    <n v="10.06"/>
    <n v="60.06"/>
  </r>
  <r>
    <n v="4"/>
    <s v="Cliente_965"/>
    <n v="3"/>
    <d v="2023-04-02T00:00:00"/>
    <d v="1899-12-30T00:11:00"/>
    <d v="2023-04-02T00:00:00"/>
    <d v="1899-12-30T04:10:00"/>
    <s v="Mesero_2"/>
    <x v="0"/>
    <s v="Tarjeta de crédito"/>
    <n v="42.65"/>
    <s v="Reservada"/>
    <n v="196"/>
    <s v="España"/>
    <d v="1899-12-30T03:59:00"/>
    <n v="176"/>
    <s v="2:56"/>
    <d v="1899-12-30T01:03:00"/>
    <n v="191"/>
    <n v="59"/>
    <d v="2023-04-02T00:00:00"/>
    <x v="1"/>
    <x v="0"/>
    <s v="Tarjeta de crédito"/>
    <n v="42.65"/>
    <n v="233.65"/>
  </r>
  <r>
    <n v="5"/>
    <s v="Cliente_336"/>
    <n v="6"/>
    <d v="2023-04-02T00:00:00"/>
    <d v="1899-12-30T02:46:00"/>
    <d v="2023-04-02T00:00:00"/>
    <d v="1899-12-30T04:54:00"/>
    <s v="Mesero_2"/>
    <x v="1"/>
    <s v="Tarjeta de débito"/>
    <n v="20.11"/>
    <s v="Ocupada"/>
    <n v="197"/>
    <s v="Colombia"/>
    <d v="1899-12-30T02:23:00"/>
    <n v="72"/>
    <s v="1:12"/>
    <d v="1899-12-30T01:11:00"/>
    <n v="129"/>
    <n v="36"/>
    <d v="2023-04-02T00:00:00"/>
    <x v="1"/>
    <x v="0"/>
    <s v="Tarjeta de débito"/>
    <n v="20.11"/>
    <n v="149.11000000000001"/>
  </r>
  <r>
    <n v="9"/>
    <s v="Cliente_560"/>
    <n v="4"/>
    <d v="2023-04-02T00:00:00"/>
    <d v="1899-12-30T00:36:00"/>
    <d v="2023-04-02T00:00:00"/>
    <d v="1899-12-30T03:05:00"/>
    <s v="Mesero_1"/>
    <x v="0"/>
    <s v="Tarjeta de crédito"/>
    <n v="36.72"/>
    <s v="Reservada"/>
    <n v="198"/>
    <s v="España"/>
    <d v="1899-12-30T02:29:00"/>
    <n v="33"/>
    <s v="0:33"/>
    <d v="1899-12-30T01:56:00"/>
    <n v="54"/>
    <n v="16"/>
    <d v="2023-04-02T00:00:00"/>
    <x v="1"/>
    <x v="0"/>
    <s v="Tarjeta de crédito"/>
    <n v="36.72"/>
    <n v="90.72"/>
  </r>
  <r>
    <n v="11"/>
    <s v="Cliente_367"/>
    <n v="5"/>
    <d v="2023-04-02T00:00:00"/>
    <d v="1899-12-30T01:56:00"/>
    <d v="2023-04-02T00:00:00"/>
    <d v="1899-12-30T05:40:00"/>
    <s v="Mesero_2"/>
    <x v="2"/>
    <s v="Tarjeta de débito"/>
    <n v="13.26"/>
    <s v="Libre"/>
    <n v="199"/>
    <s v="Paraguay"/>
    <d v="1899-12-30T03:44:00"/>
    <n v="142"/>
    <s v="2:22"/>
    <d v="1899-12-30T01:22:00"/>
    <n v="261"/>
    <n v="67"/>
    <d v="2023-04-02T00:00:00"/>
    <x v="1"/>
    <x v="0"/>
    <s v="Tarjeta de débito"/>
    <n v="13.26"/>
    <n v="274.26"/>
  </r>
  <r>
    <n v="11"/>
    <s v="Cliente_765"/>
    <n v="4"/>
    <d v="2023-04-02T00:00:00"/>
    <d v="1899-12-30T02:35:00"/>
    <d v="2023-04-02T00:00:00"/>
    <d v="1899-12-30T05:26:00"/>
    <s v="Mesero_3"/>
    <x v="0"/>
    <s v="Tarjeta de crédito"/>
    <n v="48.73"/>
    <s v="Reservada"/>
    <n v="200"/>
    <s v="Colombia"/>
    <d v="1899-12-30T02:51:00"/>
    <n v="67"/>
    <s v="1:07"/>
    <d v="1899-12-30T01:44:00"/>
    <n v="88"/>
    <n v="26"/>
    <d v="2023-04-02T00:00:00"/>
    <x v="1"/>
    <x v="0"/>
    <s v="Tarjeta de crédito"/>
    <n v="48.73"/>
    <n v="136.72999999999999"/>
  </r>
  <r>
    <n v="3"/>
    <s v="Cliente_679"/>
    <n v="5"/>
    <d v="2023-04-02T00:00:00"/>
    <d v="1899-12-30T00:18:00"/>
    <d v="2023-04-02T00:00:00"/>
    <d v="1899-12-30T01:50:00"/>
    <s v="Mesero_1"/>
    <x v="2"/>
    <s v="Tarjeta de crédito"/>
    <n v="19.84"/>
    <s v="Reservada"/>
    <n v="201"/>
    <s v="Perú"/>
    <d v="1899-12-30T01:32:00"/>
    <n v="58"/>
    <s v="0:58"/>
    <d v="1899-12-30T00:34:00"/>
    <n v="72"/>
    <n v="14"/>
    <d v="2023-04-02T00:00:00"/>
    <x v="1"/>
    <x v="0"/>
    <s v="Tarjeta de crédito"/>
    <n v="19.84"/>
    <n v="91.84"/>
  </r>
  <r>
    <n v="16"/>
    <s v="Cliente_512"/>
    <n v="5"/>
    <d v="2023-04-02T00:00:00"/>
    <d v="1899-12-30T00:58:00"/>
    <d v="2023-04-02T00:00:00"/>
    <d v="1899-12-30T02:00:00"/>
    <s v="Mesero_3"/>
    <x v="0"/>
    <s v="Tarjeta de crédito"/>
    <n v="24.19"/>
    <s v="Ocupada"/>
    <n v="202"/>
    <s v="Bolivia"/>
    <d v="1899-12-30T01:17:00"/>
    <n v="156"/>
    <s v="2:36"/>
    <d v="1899-12-30T00:00:00"/>
    <n v="206"/>
    <n v="79"/>
    <d v="2023-04-02T00:00:00"/>
    <x v="1"/>
    <x v="1"/>
    <s v="Impago"/>
    <n v="0"/>
    <n v="0"/>
  </r>
  <r>
    <n v="5"/>
    <s v="Cliente_701"/>
    <n v="2"/>
    <d v="2023-04-02T00:00:00"/>
    <d v="1899-12-30T03:57:00"/>
    <d v="2023-04-02T00:00:00"/>
    <d v="1899-12-30T05:21:00"/>
    <s v="Mesero_1"/>
    <x v="0"/>
    <s v="Tarjeta de crédito"/>
    <n v="40.19"/>
    <s v="Libre"/>
    <n v="203"/>
    <s v="Perú"/>
    <d v="1899-12-30T01:24:00"/>
    <n v="85"/>
    <s v="1:25"/>
    <d v="1899-12-30T00:00:00"/>
    <n v="156"/>
    <n v="32"/>
    <d v="2023-04-02T00:00:00"/>
    <x v="1"/>
    <x v="1"/>
    <s v="Impago"/>
    <n v="0"/>
    <n v="0"/>
  </r>
  <r>
    <n v="16"/>
    <s v="Cliente_331"/>
    <n v="5"/>
    <d v="2023-04-02T00:00:00"/>
    <d v="1899-12-30T00:17:00"/>
    <d v="2023-04-02T00:00:00"/>
    <d v="1899-12-30T02:25:00"/>
    <s v="Mesero_1"/>
    <x v="0"/>
    <s v="Efectivo"/>
    <n v="49.56"/>
    <s v="Libre"/>
    <n v="204"/>
    <s v="Uruguay"/>
    <d v="1899-12-30T02:08:00"/>
    <n v="21"/>
    <s v="0:21"/>
    <d v="1899-12-30T01:47:00"/>
    <n v="48"/>
    <n v="14"/>
    <d v="2023-04-02T00:00:00"/>
    <x v="1"/>
    <x v="0"/>
    <s v="Efectivo"/>
    <n v="49.56"/>
    <n v="97.56"/>
  </r>
  <r>
    <n v="14"/>
    <s v="Cliente_83"/>
    <n v="1"/>
    <d v="2023-04-02T00:00:00"/>
    <d v="1899-12-30T02:15:00"/>
    <d v="2023-04-02T00:00:00"/>
    <d v="1899-12-30T06:14:00"/>
    <s v="Mesero_2"/>
    <x v="0"/>
    <s v="Tarjeta de débito"/>
    <n v="26.49"/>
    <s v="Libre"/>
    <n v="205"/>
    <s v="Chile"/>
    <d v="1899-12-30T03:59:00"/>
    <n v="86"/>
    <s v="1:26"/>
    <d v="1899-12-30T02:33:00"/>
    <n v="61"/>
    <n v="36"/>
    <d v="2023-04-02T00:00:00"/>
    <x v="1"/>
    <x v="0"/>
    <s v="Tarjeta de débito"/>
    <n v="26.49"/>
    <n v="87.49"/>
  </r>
  <r>
    <n v="4"/>
    <s v="Cliente_339"/>
    <n v="6"/>
    <d v="2023-04-02T00:00:00"/>
    <d v="1899-12-30T03:27:00"/>
    <d v="2023-04-02T00:00:00"/>
    <d v="1899-12-30T06:09:00"/>
    <s v="Mesero_4"/>
    <x v="0"/>
    <s v="Tarjeta de crédito"/>
    <n v="36.96"/>
    <s v="Ocupada"/>
    <n v="206"/>
    <s v="Bolivia"/>
    <d v="1899-12-30T02:57:00"/>
    <n v="58"/>
    <s v="0:58"/>
    <d v="1899-12-30T01:59:00"/>
    <n v="30"/>
    <n v="18"/>
    <d v="2023-04-02T00:00:00"/>
    <x v="1"/>
    <x v="0"/>
    <s v="Tarjeta de crédito"/>
    <n v="36.96"/>
    <n v="66.960000000000008"/>
  </r>
  <r>
    <n v="20"/>
    <s v="Cliente_323"/>
    <n v="3"/>
    <d v="2023-04-02T00:00:00"/>
    <d v="1899-12-30T02:49:00"/>
    <d v="2023-04-02T00:00:00"/>
    <d v="1899-12-30T04:02:00"/>
    <s v="Mesero_5"/>
    <x v="2"/>
    <s v="Tarjeta de crédito"/>
    <n v="46.54"/>
    <s v="Reservada"/>
    <n v="207"/>
    <s v="Brasil"/>
    <d v="1899-12-30T01:13:00"/>
    <n v="111"/>
    <s v="1:51"/>
    <d v="1899-12-30T00:00:00"/>
    <n v="180"/>
    <n v="55"/>
    <d v="2023-04-02T00:00:00"/>
    <x v="1"/>
    <x v="1"/>
    <s v="Impago"/>
    <n v="0"/>
    <n v="0"/>
  </r>
  <r>
    <n v="16"/>
    <s v="Cliente_678"/>
    <n v="4"/>
    <d v="2023-04-02T00:00:00"/>
    <d v="1899-12-30T03:33:00"/>
    <d v="2023-04-02T00:00:00"/>
    <d v="1899-12-30T06:36:00"/>
    <s v="Mesero_1"/>
    <x v="0"/>
    <s v="Tarjeta de débito"/>
    <n v="36.700000000000003"/>
    <s v="Ocupada"/>
    <n v="208"/>
    <s v="Perú"/>
    <d v="1899-12-30T03:18:00"/>
    <n v="100"/>
    <s v="1:40"/>
    <d v="1899-12-30T01:38:00"/>
    <n v="180"/>
    <n v="53"/>
    <d v="2023-04-02T00:00:00"/>
    <x v="1"/>
    <x v="0"/>
    <s v="Tarjeta de débito"/>
    <n v="36.700000000000003"/>
    <n v="216.7"/>
  </r>
  <r>
    <n v="9"/>
    <s v="Cliente_74"/>
    <n v="6"/>
    <d v="2023-04-02T00:00:00"/>
    <d v="1899-12-30T01:31:00"/>
    <d v="2023-04-02T00:00:00"/>
    <d v="1899-12-30T04:06:00"/>
    <s v="Mesero_1"/>
    <x v="2"/>
    <s v="Efectivo"/>
    <n v="34.49"/>
    <s v="Reservada"/>
    <n v="209"/>
    <s v="Bolivia"/>
    <d v="1899-12-30T02:35:00"/>
    <n v="171"/>
    <s v="2:51"/>
    <d v="1899-12-30T00:00:00"/>
    <n v="214"/>
    <n v="64"/>
    <d v="2023-04-02T00:00:00"/>
    <x v="1"/>
    <x v="1"/>
    <s v="Impago"/>
    <n v="0"/>
    <n v="0"/>
  </r>
  <r>
    <n v="10"/>
    <s v="Cliente_146"/>
    <n v="4"/>
    <d v="2023-04-02T00:00:00"/>
    <d v="1899-12-30T02:43:00"/>
    <d v="2023-04-02T00:00:00"/>
    <d v="1899-12-30T04:29:00"/>
    <s v="Mesero_2"/>
    <x v="1"/>
    <s v="Tarjeta de crédito"/>
    <n v="14.67"/>
    <s v="Libre"/>
    <n v="210"/>
    <s v="Venezuela"/>
    <d v="1899-12-30T01:46:00"/>
    <n v="158"/>
    <s v="2:38"/>
    <d v="1899-12-30T00:00:00"/>
    <n v="195"/>
    <n v="70"/>
    <d v="2023-04-02T00:00:00"/>
    <x v="1"/>
    <x v="1"/>
    <s v="Impago"/>
    <n v="0"/>
    <n v="0"/>
  </r>
  <r>
    <n v="1"/>
    <s v="Cliente_212"/>
    <n v="2"/>
    <d v="2023-04-02T00:00:00"/>
    <d v="1899-12-30T03:40:00"/>
    <d v="2023-04-02T00:00:00"/>
    <d v="1899-12-30T05:26:00"/>
    <s v="Mesero_1"/>
    <x v="0"/>
    <s v="Tarjeta de débito"/>
    <n v="11.13"/>
    <s v="Reservada"/>
    <n v="211"/>
    <s v="Argentina"/>
    <d v="1899-12-30T01:46:00"/>
    <n v="135"/>
    <s v="2:15"/>
    <d v="1899-12-30T00:00:00"/>
    <n v="169"/>
    <n v="50"/>
    <d v="2023-04-02T00:00:00"/>
    <x v="1"/>
    <x v="1"/>
    <s v="Impago"/>
    <n v="0"/>
    <n v="0"/>
  </r>
  <r>
    <n v="14"/>
    <s v="Cliente_36"/>
    <n v="6"/>
    <d v="2023-04-02T00:00:00"/>
    <d v="1899-12-30T02:35:00"/>
    <d v="2023-04-02T00:00:00"/>
    <d v="1899-12-30T03:40:00"/>
    <s v="Mesero_4"/>
    <x v="0"/>
    <s v="Tarjeta de débito"/>
    <n v="18.850000000000001"/>
    <s v="Ocupada"/>
    <n v="212"/>
    <s v="Perú"/>
    <d v="1899-12-30T01:20:00"/>
    <n v="164"/>
    <s v="2:44"/>
    <d v="1899-12-30T00:00:00"/>
    <n v="245"/>
    <n v="62"/>
    <d v="2023-04-02T00:00:00"/>
    <x v="1"/>
    <x v="1"/>
    <s v="Impago"/>
    <n v="0"/>
    <n v="0"/>
  </r>
  <r>
    <n v="13"/>
    <s v="Cliente_3"/>
    <n v="6"/>
    <d v="2023-04-02T00:00:00"/>
    <d v="1899-12-30T01:46:00"/>
    <d v="2023-04-02T00:00:00"/>
    <d v="1899-12-30T04:58:00"/>
    <s v="Mesero_5"/>
    <x v="0"/>
    <s v="Tarjeta de crédito"/>
    <n v="28.1"/>
    <s v="Libre"/>
    <n v="213"/>
    <s v="Perú"/>
    <d v="1899-12-30T03:12:00"/>
    <n v="100"/>
    <s v="1:40"/>
    <d v="1899-12-30T01:32:00"/>
    <n v="87"/>
    <n v="34"/>
    <d v="2023-04-02T00:00:00"/>
    <x v="1"/>
    <x v="0"/>
    <s v="Tarjeta de crédito"/>
    <n v="28.1"/>
    <n v="115.1"/>
  </r>
  <r>
    <n v="2"/>
    <s v="Cliente_176"/>
    <n v="4"/>
    <d v="2023-04-02T00:00:00"/>
    <d v="1899-12-30T03:18:00"/>
    <d v="2023-04-02T00:00:00"/>
    <d v="1899-12-30T05:09:00"/>
    <s v="Mesero_1"/>
    <x v="0"/>
    <s v="Tarjeta de débito"/>
    <n v="33.39"/>
    <s v="Ocupada"/>
    <n v="214"/>
    <s v="Argentina"/>
    <d v="1899-12-30T02:06:00"/>
    <n v="38"/>
    <s v="0:38"/>
    <d v="1899-12-30T01:28:00"/>
    <n v="228"/>
    <n v="57"/>
    <d v="2023-04-02T00:00:00"/>
    <x v="1"/>
    <x v="0"/>
    <s v="Tarjeta de débito"/>
    <n v="33.39"/>
    <n v="261.39"/>
  </r>
  <r>
    <n v="6"/>
    <s v="Cliente_551"/>
    <n v="4"/>
    <d v="2023-04-02T00:00:00"/>
    <d v="1899-12-30T03:52:00"/>
    <d v="2023-04-02T00:00:00"/>
    <d v="1899-12-30T06:25:00"/>
    <s v="Mesero_3"/>
    <x v="0"/>
    <s v="Tarjeta de débito"/>
    <n v="35.64"/>
    <s v="Ocupada"/>
    <n v="215"/>
    <s v="Uruguay"/>
    <d v="1899-12-30T02:48:00"/>
    <n v="46"/>
    <s v="0:46"/>
    <d v="1899-12-30T02:02:00"/>
    <n v="158"/>
    <n v="38"/>
    <d v="2023-04-02T00:00:00"/>
    <x v="1"/>
    <x v="0"/>
    <s v="Tarjeta de débito"/>
    <n v="35.64"/>
    <n v="193.64"/>
  </r>
  <r>
    <n v="17"/>
    <s v="Cliente_240"/>
    <n v="6"/>
    <d v="2023-04-02T00:00:00"/>
    <d v="1899-12-30T01:46:00"/>
    <d v="2023-04-02T00:00:00"/>
    <d v="1899-12-30T05:36:00"/>
    <s v="Mesero_2"/>
    <x v="0"/>
    <s v="Tarjeta de crédito"/>
    <n v="35.69"/>
    <s v="Libre"/>
    <n v="216"/>
    <s v="Uruguay"/>
    <d v="1899-12-30T03:50:00"/>
    <n v="120"/>
    <s v="2:00"/>
    <d v="1899-12-30T01:50:00"/>
    <n v="142"/>
    <n v="44"/>
    <d v="2023-04-02T00:00:00"/>
    <x v="1"/>
    <x v="0"/>
    <s v="Tarjeta de crédito"/>
    <n v="35.69"/>
    <n v="177.69"/>
  </r>
  <r>
    <n v="1"/>
    <s v="Cliente_124"/>
    <n v="2"/>
    <d v="2023-04-02T00:00:00"/>
    <d v="1899-12-30T00:54:00"/>
    <d v="2023-04-02T00:00:00"/>
    <d v="1899-12-30T04:45:00"/>
    <s v="Mesero_3"/>
    <x v="2"/>
    <s v="Tarjeta de crédito"/>
    <n v="31.17"/>
    <s v="Ocupada"/>
    <n v="217"/>
    <s v="Colombia"/>
    <d v="1899-12-30T04:06:00"/>
    <n v="13"/>
    <s v="0:13"/>
    <d v="1899-12-30T03:53:00"/>
    <n v="96"/>
    <n v="19"/>
    <d v="2023-04-02T00:00:00"/>
    <x v="1"/>
    <x v="0"/>
    <s v="Tarjeta de crédito"/>
    <n v="31.17"/>
    <n v="127.17"/>
  </r>
  <r>
    <n v="13"/>
    <s v="Cliente_759"/>
    <n v="3"/>
    <d v="2023-04-02T00:00:00"/>
    <d v="1899-12-30T00:27:00"/>
    <d v="2023-04-02T00:00:00"/>
    <d v="1899-12-30T03:41:00"/>
    <s v="Mesero_5"/>
    <x v="0"/>
    <s v="Tarjeta de crédito"/>
    <n v="23.34"/>
    <s v="Ocupada"/>
    <n v="218"/>
    <s v="Argentina"/>
    <d v="1899-12-30T03:29:00"/>
    <n v="46"/>
    <s v="0:46"/>
    <d v="1899-12-30T02:43:00"/>
    <n v="184"/>
    <n v="41"/>
    <d v="2023-04-02T00:00:00"/>
    <x v="1"/>
    <x v="0"/>
    <s v="Tarjeta de crédito"/>
    <n v="23.34"/>
    <n v="207.34"/>
  </r>
  <r>
    <n v="1"/>
    <s v="Cliente_959"/>
    <n v="5"/>
    <d v="2023-04-02T00:00:00"/>
    <d v="1899-12-30T02:33:00"/>
    <d v="2023-04-02T00:00:00"/>
    <d v="1899-12-30T04:49:00"/>
    <s v="Mesero_3"/>
    <x v="0"/>
    <s v="Tarjeta de crédito"/>
    <n v="46.96"/>
    <s v="Libre"/>
    <n v="219"/>
    <s v="Venezuela"/>
    <d v="1899-12-30T02:16:00"/>
    <n v="23"/>
    <s v="0:23"/>
    <d v="1899-12-30T01:53:00"/>
    <n v="139"/>
    <n v="33"/>
    <d v="2023-04-02T00:00:00"/>
    <x v="1"/>
    <x v="0"/>
    <s v="Tarjeta de crédito"/>
    <n v="46.96"/>
    <n v="185.96"/>
  </r>
  <r>
    <n v="15"/>
    <s v="Cliente_151"/>
    <n v="6"/>
    <d v="2023-04-02T00:00:00"/>
    <d v="1899-12-30T01:01:00"/>
    <d v="2023-04-02T00:00:00"/>
    <d v="1899-12-30T04:57:00"/>
    <s v="Mesero_5"/>
    <x v="0"/>
    <s v="Tarjeta de crédito"/>
    <n v="48.5"/>
    <s v="Reservada"/>
    <n v="220"/>
    <s v="Ecuador"/>
    <d v="1899-12-30T03:56:00"/>
    <n v="13"/>
    <s v="0:13"/>
    <d v="1899-12-30T03:43:00"/>
    <n v="24"/>
    <n v="14"/>
    <d v="2023-04-02T00:00:00"/>
    <x v="1"/>
    <x v="0"/>
    <s v="Tarjeta de crédito"/>
    <n v="48.5"/>
    <n v="72.5"/>
  </r>
  <r>
    <n v="16"/>
    <s v="Cliente_744"/>
    <n v="1"/>
    <d v="2023-04-02T00:00:00"/>
    <d v="1899-12-30T01:51:00"/>
    <d v="2023-04-02T00:00:00"/>
    <d v="1899-12-30T03:05:00"/>
    <s v="Mesero_3"/>
    <x v="0"/>
    <s v="Tarjeta de crédito"/>
    <n v="17.829999999999998"/>
    <s v="Libre"/>
    <n v="221"/>
    <s v="Chile"/>
    <d v="1899-12-30T01:14:00"/>
    <n v="108"/>
    <s v="1:48"/>
    <d v="1899-12-30T00:00:00"/>
    <n v="193"/>
    <n v="56"/>
    <d v="2023-04-02T00:00:00"/>
    <x v="1"/>
    <x v="1"/>
    <s v="Impago"/>
    <n v="0"/>
    <n v="0"/>
  </r>
  <r>
    <n v="3"/>
    <s v="Cliente_189"/>
    <n v="3"/>
    <d v="2023-04-02T00:00:00"/>
    <d v="1899-12-30T03:38:00"/>
    <d v="2023-04-02T00:00:00"/>
    <d v="1899-12-30T06:42:00"/>
    <s v="Mesero_5"/>
    <x v="2"/>
    <s v="Tarjeta de débito"/>
    <n v="32.58"/>
    <s v="Libre"/>
    <n v="222"/>
    <s v="Ecuador"/>
    <d v="1899-12-30T03:04:00"/>
    <n v="85"/>
    <s v="1:25"/>
    <d v="1899-12-30T01:39:00"/>
    <n v="97"/>
    <n v="30"/>
    <d v="2023-04-02T00:00:00"/>
    <x v="1"/>
    <x v="0"/>
    <s v="Tarjeta de débito"/>
    <n v="32.58"/>
    <n v="129.57999999999998"/>
  </r>
  <r>
    <n v="19"/>
    <s v="Cliente_576"/>
    <n v="2"/>
    <d v="2023-04-02T00:00:00"/>
    <d v="1899-12-30T01:16:00"/>
    <d v="2023-04-02T00:00:00"/>
    <d v="1899-12-30T02:50:00"/>
    <s v="Mesero_5"/>
    <x v="2"/>
    <s v="Tarjeta de crédito"/>
    <n v="49.62"/>
    <s v="Reservada"/>
    <n v="223"/>
    <s v="Argentina"/>
    <d v="1899-12-30T01:34:00"/>
    <n v="53"/>
    <s v="0:53"/>
    <d v="1899-12-30T00:41:00"/>
    <n v="32"/>
    <n v="19"/>
    <d v="2023-04-02T00:00:00"/>
    <x v="1"/>
    <x v="0"/>
    <s v="Tarjeta de crédito"/>
    <n v="49.62"/>
    <n v="81.62"/>
  </r>
  <r>
    <n v="7"/>
    <s v="Cliente_474"/>
    <n v="6"/>
    <d v="2023-04-02T00:00:00"/>
    <d v="1899-12-30T02:07:00"/>
    <d v="2023-04-02T00:00:00"/>
    <d v="1899-12-30T05:47:00"/>
    <s v="Mesero_3"/>
    <x v="0"/>
    <s v="Tarjeta de crédito"/>
    <n v="17.61"/>
    <s v="Ocupada"/>
    <n v="224"/>
    <s v="Bolivia"/>
    <d v="1899-12-30T03:55:00"/>
    <n v="20"/>
    <s v="0:20"/>
    <d v="1899-12-30T03:35:00"/>
    <n v="52"/>
    <n v="15"/>
    <d v="2023-04-02T00:00:00"/>
    <x v="1"/>
    <x v="0"/>
    <s v="Tarjeta de crédito"/>
    <n v="17.61"/>
    <n v="69.61"/>
  </r>
  <r>
    <n v="19"/>
    <s v="Cliente_990"/>
    <n v="4"/>
    <d v="2023-04-02T00:00:00"/>
    <d v="1899-12-30T00:14:00"/>
    <d v="2023-04-02T00:00:00"/>
    <d v="1899-12-30T01:24:00"/>
    <s v="Mesero_3"/>
    <x v="1"/>
    <s v="Tarjeta de crédito"/>
    <n v="35.020000000000003"/>
    <s v="Reservada"/>
    <n v="225"/>
    <s v="Perú"/>
    <d v="1899-12-30T01:10:00"/>
    <n v="94"/>
    <s v="1:34"/>
    <d v="1899-12-30T00:00:00"/>
    <n v="168"/>
    <n v="34"/>
    <d v="2023-04-02T00:00:00"/>
    <x v="1"/>
    <x v="1"/>
    <s v="Impago"/>
    <n v="0"/>
    <n v="0"/>
  </r>
  <r>
    <n v="7"/>
    <s v="Cliente_67"/>
    <n v="6"/>
    <d v="2023-04-02T00:00:00"/>
    <d v="1899-12-30T00:58:00"/>
    <d v="2023-04-02T00:00:00"/>
    <d v="1899-12-30T04:09:00"/>
    <s v="Mesero_1"/>
    <x v="2"/>
    <s v="Tarjeta de crédito"/>
    <n v="39.479999999999997"/>
    <s v="Reservada"/>
    <n v="226"/>
    <s v="Venezuela"/>
    <d v="1899-12-30T03:11:00"/>
    <n v="146"/>
    <s v="2:26"/>
    <d v="1899-12-30T00:45:00"/>
    <n v="171"/>
    <n v="58"/>
    <d v="2023-04-02T00:00:00"/>
    <x v="1"/>
    <x v="0"/>
    <s v="Tarjeta de crédito"/>
    <n v="39.479999999999997"/>
    <n v="210.48"/>
  </r>
  <r>
    <n v="17"/>
    <s v="Cliente_378"/>
    <n v="6"/>
    <d v="2023-04-02T00:00:00"/>
    <d v="1899-12-30T01:49:00"/>
    <d v="2023-04-02T00:00:00"/>
    <d v="1899-12-30T04:52:00"/>
    <s v="Mesero_5"/>
    <x v="0"/>
    <s v="Tarjeta de crédito"/>
    <n v="41.05"/>
    <s v="Libre"/>
    <n v="227"/>
    <s v="Chile"/>
    <d v="1899-12-30T03:03:00"/>
    <n v="119"/>
    <s v="1:59"/>
    <d v="1899-12-30T01:04:00"/>
    <n v="211"/>
    <n v="69"/>
    <d v="2023-04-02T00:00:00"/>
    <x v="1"/>
    <x v="0"/>
    <s v="Tarjeta de crédito"/>
    <n v="41.05"/>
    <n v="252.05"/>
  </r>
  <r>
    <n v="16"/>
    <s v="Cliente_445"/>
    <n v="4"/>
    <d v="2023-04-02T00:00:00"/>
    <d v="1899-12-30T01:40:00"/>
    <d v="2023-04-02T00:00:00"/>
    <d v="1899-12-30T04:02:00"/>
    <s v="Mesero_3"/>
    <x v="0"/>
    <s v="Tarjeta de crédito"/>
    <n v="10.66"/>
    <s v="Ocupada"/>
    <n v="228"/>
    <s v="Ecuador"/>
    <d v="1899-12-30T02:37:00"/>
    <n v="35"/>
    <s v="0:35"/>
    <d v="1899-12-30T02:02:00"/>
    <n v="69"/>
    <n v="14"/>
    <d v="2023-04-02T00:00:00"/>
    <x v="1"/>
    <x v="0"/>
    <s v="Tarjeta de crédito"/>
    <n v="10.66"/>
    <n v="79.66"/>
  </r>
  <r>
    <n v="14"/>
    <s v="Cliente_984"/>
    <n v="3"/>
    <d v="2023-04-02T00:00:00"/>
    <d v="1899-12-30T02:34:00"/>
    <d v="2023-04-02T00:00:00"/>
    <d v="1899-12-30T04:30:00"/>
    <s v="Mesero_2"/>
    <x v="2"/>
    <s v="Tarjeta de crédito"/>
    <n v="28.58"/>
    <s v="Reservada"/>
    <n v="229"/>
    <s v="Bolivia"/>
    <d v="1899-12-30T01:56:00"/>
    <n v="117"/>
    <s v="1:57"/>
    <d v="1899-12-30T00:00:00"/>
    <n v="124"/>
    <n v="74"/>
    <d v="2023-04-02T00:00:00"/>
    <x v="1"/>
    <x v="1"/>
    <s v="Impago"/>
    <n v="0"/>
    <n v="0"/>
  </r>
  <r>
    <n v="5"/>
    <s v="Cliente_167"/>
    <n v="5"/>
    <d v="2023-04-02T00:00:00"/>
    <d v="1899-12-30T02:15:00"/>
    <d v="2023-04-02T00:00:00"/>
    <d v="1899-12-30T04:48:00"/>
    <s v="Mesero_2"/>
    <x v="0"/>
    <s v="Tarjeta de crédito"/>
    <n v="15.84"/>
    <s v="Libre"/>
    <n v="230"/>
    <s v="Venezuela"/>
    <d v="1899-12-30T02:33:00"/>
    <n v="91"/>
    <s v="1:31"/>
    <d v="1899-12-30T01:02:00"/>
    <n v="214"/>
    <n v="54"/>
    <d v="2023-04-02T00:00:00"/>
    <x v="1"/>
    <x v="0"/>
    <s v="Tarjeta de crédito"/>
    <n v="15.84"/>
    <n v="229.84"/>
  </r>
  <r>
    <n v="8"/>
    <s v="Cliente_877"/>
    <n v="2"/>
    <d v="2023-04-02T00:00:00"/>
    <d v="1899-12-30T01:12:00"/>
    <d v="2023-04-02T00:00:00"/>
    <d v="1899-12-30T03:10:00"/>
    <s v="Mesero_2"/>
    <x v="0"/>
    <s v="Tarjeta de crédito"/>
    <n v="49.1"/>
    <s v="Ocupada"/>
    <n v="231"/>
    <s v="Perú"/>
    <d v="1899-12-30T02:13:00"/>
    <n v="150"/>
    <s v="2:30"/>
    <d v="1899-12-30T00:00:00"/>
    <n v="208"/>
    <n v="72"/>
    <d v="2023-04-02T00:00:00"/>
    <x v="1"/>
    <x v="1"/>
    <s v="Impago"/>
    <n v="0"/>
    <n v="0"/>
  </r>
  <r>
    <n v="2"/>
    <s v="Cliente_494"/>
    <n v="2"/>
    <d v="2023-04-02T00:00:00"/>
    <d v="1899-12-30T02:04:00"/>
    <d v="2023-04-02T00:00:00"/>
    <d v="1899-12-30T03:25:00"/>
    <s v="Mesero_1"/>
    <x v="0"/>
    <s v="Tarjeta de crédito"/>
    <n v="15.43"/>
    <s v="Reservada"/>
    <n v="232"/>
    <s v="Argentina"/>
    <d v="1899-12-30T01:21:00"/>
    <n v="139"/>
    <s v="2:19"/>
    <d v="1899-12-30T00:00:00"/>
    <n v="190"/>
    <n v="63"/>
    <d v="2023-04-02T00:00:00"/>
    <x v="1"/>
    <x v="1"/>
    <s v="Impago"/>
    <n v="0"/>
    <n v="0"/>
  </r>
  <r>
    <n v="8"/>
    <s v="Cliente_881"/>
    <n v="1"/>
    <d v="2023-04-02T00:00:00"/>
    <d v="1899-12-30T00:52:00"/>
    <d v="2023-04-02T00:00:00"/>
    <d v="1899-12-30T02:39:00"/>
    <s v="Mesero_2"/>
    <x v="1"/>
    <s v="Tarjeta de débito"/>
    <n v="45.64"/>
    <s v="Libre"/>
    <n v="233"/>
    <s v="Argentina"/>
    <d v="1899-12-30T01:47:00"/>
    <n v="31"/>
    <s v="0:31"/>
    <d v="1899-12-30T01:16:00"/>
    <n v="38"/>
    <n v="11"/>
    <d v="2023-04-02T00:00:00"/>
    <x v="1"/>
    <x v="0"/>
    <s v="Tarjeta de débito"/>
    <n v="45.64"/>
    <n v="83.64"/>
  </r>
  <r>
    <n v="17"/>
    <s v="Cliente_264"/>
    <n v="6"/>
    <d v="2023-04-02T00:00:00"/>
    <d v="1899-12-30T02:46:00"/>
    <d v="2023-04-02T00:00:00"/>
    <d v="1899-12-30T05:28:00"/>
    <s v="Mesero_3"/>
    <x v="1"/>
    <s v="Tarjeta de crédito"/>
    <n v="10.220000000000001"/>
    <s v="Libre"/>
    <n v="234"/>
    <s v="Brasil"/>
    <d v="1899-12-30T02:42:00"/>
    <n v="99"/>
    <s v="1:39"/>
    <d v="1899-12-30T01:03:00"/>
    <n v="225"/>
    <n v="51"/>
    <d v="2023-04-02T00:00:00"/>
    <x v="1"/>
    <x v="0"/>
    <s v="Tarjeta de crédito"/>
    <n v="10.220000000000001"/>
    <n v="235.22"/>
  </r>
  <r>
    <n v="13"/>
    <s v="Cliente_230"/>
    <n v="5"/>
    <d v="2023-04-02T00:00:00"/>
    <d v="1899-12-30T00:22:00"/>
    <d v="2023-04-02T00:00:00"/>
    <d v="1899-12-30T02:48:00"/>
    <s v="Mesero_3"/>
    <x v="2"/>
    <s v="Tarjeta de crédito"/>
    <n v="26.37"/>
    <s v="Reservada"/>
    <n v="235"/>
    <s v="España"/>
    <d v="1899-12-30T02:26:00"/>
    <n v="25"/>
    <s v="0:25"/>
    <d v="1899-12-30T02:01:00"/>
    <n v="33"/>
    <n v="20"/>
    <d v="2023-04-02T00:00:00"/>
    <x v="1"/>
    <x v="0"/>
    <s v="Tarjeta de crédito"/>
    <n v="26.37"/>
    <n v="59.370000000000005"/>
  </r>
  <r>
    <n v="12"/>
    <s v="Cliente_142"/>
    <n v="2"/>
    <d v="2023-04-02T00:00:00"/>
    <d v="1899-12-30T00:52:00"/>
    <d v="2023-04-02T00:00:00"/>
    <d v="1899-12-30T02:26:00"/>
    <s v="Mesero_3"/>
    <x v="0"/>
    <s v="Tarjeta de crédito"/>
    <n v="39.81"/>
    <s v="Libre"/>
    <n v="236"/>
    <s v="Argentina"/>
    <d v="1899-12-30T01:34:00"/>
    <n v="101"/>
    <s v="1:41"/>
    <d v="1899-12-30T00:00:00"/>
    <n v="255"/>
    <n v="73"/>
    <d v="2023-04-02T00:00:00"/>
    <x v="1"/>
    <x v="1"/>
    <s v="Impago"/>
    <n v="0"/>
    <n v="0"/>
  </r>
  <r>
    <n v="4"/>
    <s v="Cliente_55"/>
    <n v="6"/>
    <d v="2023-04-02T00:00:00"/>
    <d v="1899-12-30T02:45:00"/>
    <d v="2023-04-02T00:00:00"/>
    <d v="1899-12-30T06:00:00"/>
    <s v="Mesero_2"/>
    <x v="0"/>
    <s v="Tarjeta de crédito"/>
    <n v="13.15"/>
    <s v="Ocupada"/>
    <n v="237"/>
    <s v="Perú"/>
    <d v="1899-12-30T03:30:00"/>
    <n v="37"/>
    <s v="0:37"/>
    <d v="1899-12-30T02:53:00"/>
    <n v="106"/>
    <n v="32"/>
    <d v="2023-04-02T00:00:00"/>
    <x v="1"/>
    <x v="0"/>
    <s v="Tarjeta de crédito"/>
    <n v="13.15"/>
    <n v="119.15"/>
  </r>
  <r>
    <n v="13"/>
    <s v="Cliente_599"/>
    <n v="6"/>
    <d v="2023-04-02T00:00:00"/>
    <d v="1899-12-30T02:17:00"/>
    <d v="2023-04-02T00:00:00"/>
    <d v="1899-12-30T04:56:00"/>
    <s v="Mesero_2"/>
    <x v="1"/>
    <s v="Tarjeta de crédito"/>
    <n v="33.020000000000003"/>
    <s v="Libre"/>
    <n v="238"/>
    <s v="Brasil"/>
    <d v="1899-12-30T02:39:00"/>
    <n v="45"/>
    <s v="0:45"/>
    <d v="1899-12-30T01:54:00"/>
    <n v="72"/>
    <n v="22"/>
    <d v="2023-04-02T00:00:00"/>
    <x v="1"/>
    <x v="0"/>
    <s v="Tarjeta de crédito"/>
    <n v="33.020000000000003"/>
    <n v="105.02000000000001"/>
  </r>
  <r>
    <n v="12"/>
    <s v="Cliente_856"/>
    <n v="6"/>
    <d v="2023-04-02T00:00:00"/>
    <d v="1899-12-30T02:46:00"/>
    <d v="2023-04-02T00:00:00"/>
    <d v="1899-12-30T06:07:00"/>
    <s v="Mesero_4"/>
    <x v="0"/>
    <s v="Efectivo"/>
    <n v="11.76"/>
    <s v="Reservada"/>
    <n v="239"/>
    <s v="Brasil"/>
    <d v="1899-12-30T03:21:00"/>
    <n v="73"/>
    <s v="1:13"/>
    <d v="1899-12-30T02:08:00"/>
    <n v="74"/>
    <n v="29"/>
    <d v="2023-04-02T00:00:00"/>
    <x v="1"/>
    <x v="0"/>
    <s v="Efectivo"/>
    <n v="11.76"/>
    <n v="85.76"/>
  </r>
  <r>
    <n v="9"/>
    <s v="Cliente_722"/>
    <n v="1"/>
    <d v="2023-04-02T00:00:00"/>
    <d v="1899-12-30T00:16:00"/>
    <d v="2023-04-02T00:00:00"/>
    <d v="1899-12-30T03:10:00"/>
    <s v="Mesero_3"/>
    <x v="0"/>
    <s v="Tarjeta de débito"/>
    <n v="33.81"/>
    <s v="Libre"/>
    <n v="240"/>
    <s v="Perú"/>
    <d v="1899-12-30T02:54:00"/>
    <n v="129"/>
    <s v="2:09"/>
    <d v="1899-12-30T00:45:00"/>
    <n v="294"/>
    <n v="62"/>
    <d v="2023-04-02T00:00:00"/>
    <x v="1"/>
    <x v="0"/>
    <s v="Tarjeta de débito"/>
    <n v="33.81"/>
    <n v="327.81"/>
  </r>
  <r>
    <n v="12"/>
    <s v="Cliente_935"/>
    <n v="4"/>
    <d v="2023-04-02T00:00:00"/>
    <d v="1899-12-30T00:04:00"/>
    <d v="2023-04-02T00:00:00"/>
    <d v="1899-12-30T01:04:00"/>
    <s v="Mesero_5"/>
    <x v="0"/>
    <s v="Tarjeta de crédito"/>
    <n v="38.97"/>
    <s v="Ocupada"/>
    <n v="241"/>
    <s v="Brasil"/>
    <d v="1899-12-30T01:15:00"/>
    <n v="11"/>
    <s v="0:11"/>
    <d v="1899-12-30T01:04:00"/>
    <n v="18"/>
    <n v="10"/>
    <d v="2023-04-02T00:00:00"/>
    <x v="1"/>
    <x v="0"/>
    <s v="Tarjeta de crédito"/>
    <n v="38.97"/>
    <n v="56.97"/>
  </r>
  <r>
    <n v="12"/>
    <s v="Cliente_961"/>
    <n v="2"/>
    <d v="2023-04-02T00:00:00"/>
    <d v="1899-12-30T03:42:00"/>
    <d v="2023-04-02T00:00:00"/>
    <d v="1899-12-30T05:09:00"/>
    <s v="Mesero_2"/>
    <x v="0"/>
    <s v="Tarjeta de crédito"/>
    <n v="31.29"/>
    <s v="Reservada"/>
    <n v="242"/>
    <s v="Venezuela"/>
    <d v="1899-12-30T01:27:00"/>
    <n v="99"/>
    <s v="1:39"/>
    <d v="1899-12-30T00:00:00"/>
    <n v="134"/>
    <n v="50"/>
    <d v="2023-04-02T00:00:00"/>
    <x v="1"/>
    <x v="1"/>
    <s v="Impago"/>
    <n v="0"/>
    <n v="0"/>
  </r>
  <r>
    <n v="4"/>
    <s v="Cliente_924"/>
    <n v="4"/>
    <d v="2023-04-02T00:00:00"/>
    <d v="1899-12-30T00:42:00"/>
    <d v="2023-04-02T00:00:00"/>
    <d v="1899-12-30T04:11:00"/>
    <s v="Mesero_2"/>
    <x v="0"/>
    <s v="Tarjeta de crédito"/>
    <n v="21.45"/>
    <s v="Libre"/>
    <n v="243"/>
    <s v="España"/>
    <d v="1899-12-30T03:29:00"/>
    <n v="22"/>
    <s v="0:22"/>
    <d v="1899-12-30T03:07:00"/>
    <n v="120"/>
    <n v="25"/>
    <d v="2023-04-02T00:00:00"/>
    <x v="1"/>
    <x v="0"/>
    <s v="Tarjeta de crédito"/>
    <n v="21.45"/>
    <n v="141.44999999999999"/>
  </r>
  <r>
    <n v="17"/>
    <s v="Cliente_390"/>
    <n v="6"/>
    <d v="2023-04-02T00:00:00"/>
    <d v="1899-12-30T03:44:00"/>
    <d v="2023-04-02T00:00:00"/>
    <d v="1899-12-30T06:01:00"/>
    <s v="Mesero_3"/>
    <x v="0"/>
    <s v="Efectivo"/>
    <n v="17.649999999999999"/>
    <s v="Reservada"/>
    <n v="244"/>
    <s v="Perú"/>
    <d v="1899-12-30T02:17:00"/>
    <n v="89"/>
    <s v="1:29"/>
    <d v="1899-12-30T00:48:00"/>
    <n v="158"/>
    <n v="36"/>
    <d v="2023-04-02T00:00:00"/>
    <x v="1"/>
    <x v="0"/>
    <s v="Efectivo"/>
    <n v="17.649999999999999"/>
    <n v="175.65"/>
  </r>
  <r>
    <n v="11"/>
    <s v="Cliente_579"/>
    <n v="1"/>
    <d v="2023-04-02T00:00:00"/>
    <d v="1899-12-30T03:31:00"/>
    <d v="2023-04-02T00:00:00"/>
    <d v="1899-12-30T06:57:00"/>
    <s v="Mesero_1"/>
    <x v="0"/>
    <s v="Tarjeta de crédito"/>
    <n v="14.82"/>
    <s v="Reservada"/>
    <n v="245"/>
    <s v="Bolivia"/>
    <d v="1899-12-30T03:26:00"/>
    <n v="116"/>
    <s v="1:56"/>
    <d v="1899-12-30T01:30:00"/>
    <n v="273"/>
    <n v="76"/>
    <d v="2023-04-02T00:00:00"/>
    <x v="1"/>
    <x v="0"/>
    <s v="Tarjeta de crédito"/>
    <n v="14.82"/>
    <n v="287.82"/>
  </r>
  <r>
    <n v="2"/>
    <s v="Cliente_961"/>
    <n v="6"/>
    <d v="2023-04-02T00:00:00"/>
    <d v="1899-12-30T01:50:00"/>
    <d v="2023-04-02T00:00:00"/>
    <d v="1899-12-30T04:09:00"/>
    <s v="Mesero_2"/>
    <x v="0"/>
    <s v="Tarjeta de crédito"/>
    <n v="42.75"/>
    <s v="Libre"/>
    <n v="246"/>
    <s v="Bolivia"/>
    <d v="1899-12-30T02:19:00"/>
    <n v="146"/>
    <s v="2:26"/>
    <d v="1899-12-30T00:00:00"/>
    <n v="327"/>
    <n v="70"/>
    <d v="2023-04-02T00:00:00"/>
    <x v="1"/>
    <x v="1"/>
    <s v="Impago"/>
    <n v="0"/>
    <n v="0"/>
  </r>
  <r>
    <n v="11"/>
    <s v="Cliente_788"/>
    <n v="6"/>
    <d v="2023-04-02T00:00:00"/>
    <d v="1899-12-30T02:34:00"/>
    <d v="2023-04-02T00:00:00"/>
    <d v="1899-12-30T05:21:00"/>
    <s v="Mesero_2"/>
    <x v="0"/>
    <s v="Tarjeta de crédito"/>
    <n v="49.07"/>
    <s v="Ocupada"/>
    <n v="247"/>
    <s v="Ecuador"/>
    <d v="1899-12-30T03:02:00"/>
    <n v="59"/>
    <s v="0:59"/>
    <d v="1899-12-30T02:03:00"/>
    <n v="66"/>
    <n v="20"/>
    <d v="2023-04-02T00:00:00"/>
    <x v="1"/>
    <x v="0"/>
    <s v="Tarjeta de crédito"/>
    <n v="49.07"/>
    <n v="115.07"/>
  </r>
  <r>
    <n v="12"/>
    <s v="Cliente_567"/>
    <n v="6"/>
    <d v="2023-04-02T00:00:00"/>
    <d v="1899-12-30T00:26:00"/>
    <d v="2023-04-02T00:00:00"/>
    <d v="1899-12-30T02:18:00"/>
    <s v="Mesero_2"/>
    <x v="0"/>
    <s v="Tarjeta de débito"/>
    <n v="18.690000000000001"/>
    <s v="Ocupada"/>
    <n v="248"/>
    <s v="Chile"/>
    <d v="1899-12-30T02:07:00"/>
    <n v="120"/>
    <s v="2:00"/>
    <d v="1899-12-30T00:07:00"/>
    <n v="225"/>
    <n v="68"/>
    <d v="2023-04-02T00:00:00"/>
    <x v="1"/>
    <x v="0"/>
    <s v="Tarjeta de débito"/>
    <n v="18.690000000000001"/>
    <n v="243.69"/>
  </r>
  <r>
    <n v="8"/>
    <s v="Cliente_927"/>
    <n v="6"/>
    <d v="2023-04-02T00:00:00"/>
    <d v="1899-12-30T00:58:00"/>
    <d v="2023-04-02T00:00:00"/>
    <d v="1899-12-30T03:55:00"/>
    <s v="Mesero_2"/>
    <x v="2"/>
    <s v="Tarjeta de crédito"/>
    <n v="47.71"/>
    <s v="Ocupada"/>
    <n v="249"/>
    <s v="España"/>
    <d v="1899-12-30T03:12:00"/>
    <n v="109"/>
    <s v="1:49"/>
    <d v="1899-12-30T01:23:00"/>
    <n v="80"/>
    <n v="23"/>
    <d v="2023-04-02T00:00:00"/>
    <x v="1"/>
    <x v="0"/>
    <s v="Tarjeta de crédito"/>
    <n v="47.71"/>
    <n v="127.71000000000001"/>
  </r>
  <r>
    <n v="8"/>
    <s v="Cliente_539"/>
    <n v="2"/>
    <d v="2023-04-02T00:00:00"/>
    <d v="1899-12-30T02:56:00"/>
    <d v="2023-04-02T00:00:00"/>
    <d v="1899-12-30T06:33:00"/>
    <s v="Mesero_4"/>
    <x v="0"/>
    <s v="Tarjeta de crédito"/>
    <n v="23.21"/>
    <s v="Libre"/>
    <n v="250"/>
    <s v="España"/>
    <d v="1899-12-30T03:37:00"/>
    <n v="29"/>
    <s v="0:29"/>
    <d v="1899-12-30T03:08:00"/>
    <n v="20"/>
    <n v="12"/>
    <d v="2023-04-02T00:00:00"/>
    <x v="1"/>
    <x v="0"/>
    <s v="Tarjeta de crédito"/>
    <n v="23.21"/>
    <n v="43.21"/>
  </r>
  <r>
    <n v="12"/>
    <s v="Cliente_872"/>
    <n v="6"/>
    <d v="2023-04-02T00:00:00"/>
    <d v="1899-12-30T01:20:00"/>
    <d v="2023-04-02T00:00:00"/>
    <d v="1899-12-30T04:24:00"/>
    <s v="Mesero_1"/>
    <x v="0"/>
    <s v="Tarjeta de crédito"/>
    <n v="13.69"/>
    <s v="Ocupada"/>
    <n v="251"/>
    <s v="Uruguay"/>
    <d v="1899-12-30T03:19:00"/>
    <n v="122"/>
    <s v="2:02"/>
    <d v="1899-12-30T01:17:00"/>
    <n v="109"/>
    <n v="53"/>
    <d v="2023-04-02T00:00:00"/>
    <x v="1"/>
    <x v="0"/>
    <s v="Tarjeta de crédito"/>
    <n v="13.69"/>
    <n v="122.69"/>
  </r>
  <r>
    <n v="4"/>
    <s v="Cliente_425"/>
    <n v="3"/>
    <d v="2023-04-02T00:00:00"/>
    <d v="1899-12-30T00:39:00"/>
    <d v="2023-04-02T00:00:00"/>
    <d v="1899-12-30T04:24:00"/>
    <s v="Mesero_4"/>
    <x v="0"/>
    <s v="Tarjeta de crédito"/>
    <n v="43.81"/>
    <s v="Libre"/>
    <n v="252"/>
    <s v="Colombia"/>
    <d v="1899-12-30T03:45:00"/>
    <n v="84"/>
    <s v="1:24"/>
    <d v="1899-12-30T02:21:00"/>
    <n v="102"/>
    <n v="30"/>
    <d v="2023-04-02T00:00:00"/>
    <x v="1"/>
    <x v="0"/>
    <s v="Tarjeta de crédito"/>
    <n v="43.81"/>
    <n v="145.81"/>
  </r>
  <r>
    <n v="8"/>
    <s v="Cliente_700"/>
    <n v="2"/>
    <d v="2023-04-02T00:00:00"/>
    <d v="1899-12-30T00:54:00"/>
    <d v="2023-04-02T00:00:00"/>
    <d v="1899-12-30T03:45:00"/>
    <s v="Mesero_3"/>
    <x v="2"/>
    <s v="Tarjeta de crédito"/>
    <n v="34.69"/>
    <s v="Ocupada"/>
    <n v="253"/>
    <s v="Argentina"/>
    <d v="1899-12-30T03:06:00"/>
    <n v="55"/>
    <s v="0:55"/>
    <d v="1899-12-30T02:11:00"/>
    <n v="154"/>
    <n v="45"/>
    <d v="2023-04-02T00:00:00"/>
    <x v="1"/>
    <x v="0"/>
    <s v="Tarjeta de crédito"/>
    <n v="34.69"/>
    <n v="188.69"/>
  </r>
  <r>
    <n v="10"/>
    <s v="Cliente_665"/>
    <n v="6"/>
    <d v="2023-04-02T00:00:00"/>
    <d v="1899-12-30T03:05:00"/>
    <d v="2023-04-02T00:00:00"/>
    <d v="1899-12-30T05:47:00"/>
    <s v="Mesero_1"/>
    <x v="2"/>
    <s v="Tarjeta de crédito"/>
    <n v="36.43"/>
    <s v="Reservada"/>
    <n v="254"/>
    <s v="Paraguay"/>
    <d v="1899-12-30T02:42:00"/>
    <n v="141"/>
    <s v="2:21"/>
    <d v="1899-12-30T00:21:00"/>
    <n v="297"/>
    <n v="70"/>
    <d v="2023-04-02T00:00:00"/>
    <x v="1"/>
    <x v="0"/>
    <s v="Tarjeta de crédito"/>
    <n v="36.43"/>
    <n v="333.43"/>
  </r>
  <r>
    <n v="8"/>
    <s v="Cliente_978"/>
    <n v="4"/>
    <d v="2023-04-02T00:00:00"/>
    <d v="1899-12-30T02:23:00"/>
    <d v="2023-04-02T00:00:00"/>
    <d v="1899-12-30T03:59:00"/>
    <s v="Mesero_2"/>
    <x v="2"/>
    <s v="Efectivo"/>
    <n v="13.34"/>
    <s v="Reservada"/>
    <n v="255"/>
    <s v="Uruguay"/>
    <d v="1899-12-30T01:36:00"/>
    <n v="37"/>
    <s v="0:37"/>
    <d v="1899-12-30T00:59:00"/>
    <n v="25"/>
    <n v="15"/>
    <d v="2023-04-02T00:00:00"/>
    <x v="1"/>
    <x v="0"/>
    <s v="Efectivo"/>
    <n v="13.34"/>
    <n v="38.340000000000003"/>
  </r>
  <r>
    <n v="5"/>
    <s v="Cliente_577"/>
    <n v="2"/>
    <d v="2023-04-02T00:00:00"/>
    <d v="1899-12-30T00:23:00"/>
    <d v="2023-04-02T00:00:00"/>
    <d v="1899-12-30T03:27:00"/>
    <s v="Mesero_5"/>
    <x v="1"/>
    <s v="Efectivo"/>
    <n v="49.88"/>
    <s v="Reservada"/>
    <n v="256"/>
    <s v="Argentina"/>
    <d v="1899-12-30T03:04:00"/>
    <n v="16"/>
    <s v="0:16"/>
    <d v="1899-12-30T02:48:00"/>
    <n v="21"/>
    <n v="13"/>
    <d v="2023-04-02T00:00:00"/>
    <x v="1"/>
    <x v="0"/>
    <s v="Efectivo"/>
    <n v="49.88"/>
    <n v="70.88"/>
  </r>
  <r>
    <n v="12"/>
    <s v="Cliente_429"/>
    <n v="5"/>
    <d v="2023-04-02T00:00:00"/>
    <d v="1899-12-30T02:08:00"/>
    <d v="2023-04-02T00:00:00"/>
    <d v="1899-12-30T03:17:00"/>
    <s v="Mesero_2"/>
    <x v="0"/>
    <s v="Tarjeta de crédito"/>
    <n v="26.78"/>
    <s v="Reservada"/>
    <n v="257"/>
    <s v="Ecuador"/>
    <d v="1899-12-30T01:09:00"/>
    <n v="28"/>
    <s v="0:28"/>
    <d v="1899-12-30T00:41:00"/>
    <n v="46"/>
    <n v="14"/>
    <d v="2023-04-02T00:00:00"/>
    <x v="1"/>
    <x v="0"/>
    <s v="Tarjeta de crédito"/>
    <n v="26.78"/>
    <n v="72.78"/>
  </r>
  <r>
    <n v="12"/>
    <s v="Cliente_811"/>
    <n v="1"/>
    <d v="2023-04-02T00:00:00"/>
    <d v="1899-12-30T00:39:00"/>
    <d v="2023-04-02T00:00:00"/>
    <d v="1899-12-30T04:32:00"/>
    <s v="Mesero_2"/>
    <x v="1"/>
    <s v="Tarjeta de crédito"/>
    <n v="47.99"/>
    <s v="Reservada"/>
    <n v="258"/>
    <s v="Bolivia"/>
    <d v="1899-12-30T03:53:00"/>
    <n v="105"/>
    <s v="1:45"/>
    <d v="1899-12-30T02:08:00"/>
    <n v="117"/>
    <n v="71"/>
    <d v="2023-04-02T00:00:00"/>
    <x v="1"/>
    <x v="0"/>
    <s v="Tarjeta de crédito"/>
    <n v="47.99"/>
    <n v="164.99"/>
  </r>
  <r>
    <n v="10"/>
    <s v="Cliente_553"/>
    <n v="5"/>
    <d v="2023-04-02T00:00:00"/>
    <d v="1899-12-30T03:27:00"/>
    <d v="2023-04-02T00:00:00"/>
    <d v="1899-12-30T06:16:00"/>
    <s v="Mesero_1"/>
    <x v="0"/>
    <s v="Tarjeta de crédito"/>
    <n v="46.72"/>
    <s v="Ocupada"/>
    <n v="259"/>
    <s v="Venezuela"/>
    <d v="1899-12-30T03:04:00"/>
    <n v="11"/>
    <s v="0:11"/>
    <d v="1899-12-30T02:53:00"/>
    <n v="81"/>
    <n v="16"/>
    <d v="2023-04-02T00:00:00"/>
    <x v="1"/>
    <x v="0"/>
    <s v="Tarjeta de crédito"/>
    <n v="46.72"/>
    <n v="127.72"/>
  </r>
  <r>
    <n v="20"/>
    <s v="Cliente_228"/>
    <n v="6"/>
    <d v="2023-04-02T00:00:00"/>
    <d v="1899-12-30T01:23:00"/>
    <d v="2023-04-02T00:00:00"/>
    <d v="1899-12-30T04:38:00"/>
    <s v="Mesero_5"/>
    <x v="0"/>
    <s v="Efectivo"/>
    <n v="47.55"/>
    <s v="Ocupada"/>
    <n v="260"/>
    <s v="Uruguay"/>
    <d v="1899-12-30T03:30:00"/>
    <n v="49"/>
    <s v="0:49"/>
    <d v="1899-12-30T02:41:00"/>
    <n v="69"/>
    <n v="14"/>
    <d v="2023-04-02T00:00:00"/>
    <x v="1"/>
    <x v="0"/>
    <s v="Efectivo"/>
    <n v="47.55"/>
    <n v="116.55"/>
  </r>
  <r>
    <n v="8"/>
    <s v="Cliente_249"/>
    <n v="1"/>
    <d v="2023-04-02T00:00:00"/>
    <d v="1899-12-30T01:08:00"/>
    <d v="2023-04-02T00:00:00"/>
    <d v="1899-12-30T02:55:00"/>
    <s v="Mesero_4"/>
    <x v="0"/>
    <s v="Tarjeta de crédito"/>
    <n v="32.42"/>
    <s v="Ocupada"/>
    <n v="261"/>
    <s v="Chile"/>
    <d v="1899-12-30T02:02:00"/>
    <n v="55"/>
    <s v="0:55"/>
    <d v="1899-12-30T01:07:00"/>
    <n v="154"/>
    <n v="36"/>
    <d v="2023-04-02T00:00:00"/>
    <x v="1"/>
    <x v="0"/>
    <s v="Tarjeta de crédito"/>
    <n v="32.42"/>
    <n v="186.42000000000002"/>
  </r>
  <r>
    <n v="18"/>
    <s v="Cliente_326"/>
    <n v="4"/>
    <d v="2023-04-02T00:00:00"/>
    <d v="1899-12-30T03:44:00"/>
    <d v="2023-04-02T00:00:00"/>
    <d v="1899-12-30T07:21:00"/>
    <s v="Mesero_2"/>
    <x v="0"/>
    <s v="Tarjeta de crédito"/>
    <n v="42.83"/>
    <s v="Ocupada"/>
    <n v="262"/>
    <s v="Venezuela"/>
    <d v="1899-12-30T03:52:00"/>
    <n v="48"/>
    <s v="0:48"/>
    <d v="1899-12-30T03:04:00"/>
    <n v="115"/>
    <n v="32"/>
    <d v="2023-04-02T00:00:00"/>
    <x v="1"/>
    <x v="0"/>
    <s v="Tarjeta de crédito"/>
    <n v="42.83"/>
    <n v="157.82999999999998"/>
  </r>
  <r>
    <n v="5"/>
    <s v="Cliente_697"/>
    <n v="1"/>
    <d v="2023-04-02T00:00:00"/>
    <d v="1899-12-30T02:53:00"/>
    <d v="2023-04-02T00:00:00"/>
    <d v="1899-12-30T05:26:00"/>
    <s v="Mesero_1"/>
    <x v="1"/>
    <s v="Tarjeta de crédito"/>
    <n v="42.96"/>
    <s v="Libre"/>
    <n v="263"/>
    <s v="Uruguay"/>
    <d v="1899-12-30T02:33:00"/>
    <n v="149"/>
    <s v="2:29"/>
    <d v="1899-12-30T00:04:00"/>
    <n v="121"/>
    <n v="72"/>
    <d v="2023-04-02T00:00:00"/>
    <x v="1"/>
    <x v="0"/>
    <s v="Tarjeta de crédito"/>
    <n v="42.96"/>
    <n v="163.96"/>
  </r>
  <r>
    <n v="2"/>
    <s v="Cliente_281"/>
    <n v="1"/>
    <d v="2023-04-02T00:00:00"/>
    <d v="1899-12-30T03:11:00"/>
    <d v="2023-04-02T00:00:00"/>
    <d v="1899-12-30T04:26:00"/>
    <s v="Mesero_1"/>
    <x v="0"/>
    <s v="Tarjeta de crédito"/>
    <n v="49.21"/>
    <s v="Libre"/>
    <n v="264"/>
    <s v="Bolivia"/>
    <d v="1899-12-30T01:15:00"/>
    <n v="117"/>
    <s v="1:57"/>
    <d v="1899-12-30T00:00:00"/>
    <n v="182"/>
    <n v="73"/>
    <d v="2023-04-02T00:00:00"/>
    <x v="1"/>
    <x v="1"/>
    <s v="Impago"/>
    <n v="0"/>
    <n v="0"/>
  </r>
  <r>
    <n v="6"/>
    <s v="Cliente_686"/>
    <n v="1"/>
    <d v="2023-04-02T00:00:00"/>
    <d v="1899-12-30T02:54:00"/>
    <d v="2023-04-02T00:00:00"/>
    <d v="1899-12-30T06:15:00"/>
    <s v="Mesero_2"/>
    <x v="1"/>
    <s v="Tarjeta de débito"/>
    <n v="21.48"/>
    <s v="Libre"/>
    <n v="265"/>
    <s v="Chile"/>
    <d v="1899-12-30T03:21:00"/>
    <n v="135"/>
    <s v="2:15"/>
    <d v="1899-12-30T01:06:00"/>
    <n v="171"/>
    <n v="67"/>
    <d v="2023-04-02T00:00:00"/>
    <x v="1"/>
    <x v="0"/>
    <s v="Tarjeta de débito"/>
    <n v="21.48"/>
    <n v="192.48"/>
  </r>
  <r>
    <n v="4"/>
    <s v="Cliente_418"/>
    <n v="4"/>
    <d v="2023-04-02T00:00:00"/>
    <d v="1899-12-30T00:30:00"/>
    <d v="2023-04-02T00:00:00"/>
    <d v="1899-12-30T02:04:00"/>
    <s v="Mesero_2"/>
    <x v="0"/>
    <s v="Tarjeta de crédito"/>
    <n v="24.75"/>
    <s v="Reservada"/>
    <n v="266"/>
    <s v="Paraguay"/>
    <d v="1899-12-30T01:34:00"/>
    <n v="106"/>
    <s v="1:46"/>
    <d v="1899-12-30T00:00:00"/>
    <n v="99"/>
    <n v="29"/>
    <d v="2023-04-02T00:00:00"/>
    <x v="1"/>
    <x v="1"/>
    <s v="Impago"/>
    <n v="0"/>
    <n v="0"/>
  </r>
  <r>
    <n v="7"/>
    <s v="Cliente_397"/>
    <n v="5"/>
    <d v="2023-04-03T00:00:00"/>
    <d v="1899-12-30T02:07:00"/>
    <d v="2023-04-03T00:00:00"/>
    <d v="1899-12-30T03:48:00"/>
    <s v="Mesero_2"/>
    <x v="2"/>
    <s v="Tarjeta de crédito"/>
    <n v="44.66"/>
    <s v="Ocupada"/>
    <n v="267"/>
    <s v="España"/>
    <d v="1899-12-30T01:56:00"/>
    <n v="96"/>
    <s v="1:36"/>
    <d v="1899-12-30T00:20:00"/>
    <n v="118"/>
    <n v="53"/>
    <d v="2023-04-03T00:00:00"/>
    <x v="2"/>
    <x v="0"/>
    <s v="Tarjeta de crédito"/>
    <n v="44.66"/>
    <n v="162.66"/>
  </r>
  <r>
    <n v="14"/>
    <s v="Cliente_477"/>
    <n v="1"/>
    <d v="2023-04-03T00:00:00"/>
    <d v="1899-12-30T00:46:00"/>
    <d v="2023-04-03T00:00:00"/>
    <d v="1899-12-30T03:44:00"/>
    <s v="Mesero_3"/>
    <x v="0"/>
    <s v="Tarjeta de débito"/>
    <n v="23.16"/>
    <s v="Libre"/>
    <n v="268"/>
    <s v="Uruguay"/>
    <d v="1899-12-30T02:58:00"/>
    <n v="83"/>
    <s v="1:23"/>
    <d v="1899-12-30T01:35:00"/>
    <n v="68"/>
    <n v="27"/>
    <d v="2023-04-03T00:00:00"/>
    <x v="2"/>
    <x v="0"/>
    <s v="Tarjeta de débito"/>
    <n v="23.16"/>
    <n v="91.16"/>
  </r>
  <r>
    <n v="11"/>
    <s v="Cliente_300"/>
    <n v="2"/>
    <d v="2023-04-03T00:00:00"/>
    <d v="1899-12-30T02:58:00"/>
    <d v="2023-04-03T00:00:00"/>
    <d v="1899-12-30T04:15:00"/>
    <s v="Mesero_2"/>
    <x v="0"/>
    <s v="Tarjeta de débito"/>
    <n v="39.17"/>
    <s v="Libre"/>
    <n v="269"/>
    <s v="Venezuela"/>
    <d v="1899-12-30T01:17:00"/>
    <n v="101"/>
    <s v="1:41"/>
    <d v="1899-12-30T00:00:00"/>
    <n v="250"/>
    <n v="67"/>
    <d v="2023-04-03T00:00:00"/>
    <x v="2"/>
    <x v="1"/>
    <s v="Impago"/>
    <n v="0"/>
    <n v="0"/>
  </r>
  <r>
    <n v="10"/>
    <s v="Cliente_775"/>
    <n v="1"/>
    <d v="2023-04-03T00:00:00"/>
    <d v="1899-12-30T01:11:00"/>
    <d v="2023-04-03T00:00:00"/>
    <d v="1899-12-30T04:59:00"/>
    <s v="Mesero_4"/>
    <x v="0"/>
    <s v="Tarjeta de crédito"/>
    <n v="10.130000000000001"/>
    <s v="Libre"/>
    <n v="270"/>
    <s v="Ecuador"/>
    <d v="1899-12-30T03:48:00"/>
    <n v="26"/>
    <s v="0:26"/>
    <d v="1899-12-30T03:22:00"/>
    <n v="102"/>
    <n v="20"/>
    <d v="2023-04-03T00:00:00"/>
    <x v="2"/>
    <x v="0"/>
    <s v="Tarjeta de crédito"/>
    <n v="10.130000000000001"/>
    <n v="112.13"/>
  </r>
  <r>
    <n v="3"/>
    <s v="Cliente_928"/>
    <n v="3"/>
    <d v="2023-04-03T00:00:00"/>
    <d v="1899-12-30T01:40:00"/>
    <d v="2023-04-03T00:00:00"/>
    <d v="1899-12-30T05:10:00"/>
    <s v="Mesero_3"/>
    <x v="0"/>
    <s v="Tarjeta de crédito"/>
    <n v="16.11"/>
    <s v="Ocupada"/>
    <n v="271"/>
    <s v="Bolivia"/>
    <d v="1899-12-30T03:45:00"/>
    <n v="55"/>
    <s v="0:55"/>
    <d v="1899-12-30T02:50:00"/>
    <n v="44"/>
    <n v="13"/>
    <d v="2023-04-03T00:00:00"/>
    <x v="2"/>
    <x v="0"/>
    <s v="Tarjeta de crédito"/>
    <n v="16.11"/>
    <n v="60.11"/>
  </r>
  <r>
    <n v="7"/>
    <s v="Cliente_132"/>
    <n v="1"/>
    <d v="2023-04-03T00:00:00"/>
    <d v="1899-12-30T00:34:00"/>
    <d v="2023-04-03T00:00:00"/>
    <d v="1899-12-30T04:24:00"/>
    <s v="Mesero_4"/>
    <x v="0"/>
    <s v="Tarjeta de crédito"/>
    <n v="42.73"/>
    <s v="Reservada"/>
    <n v="272"/>
    <s v="España"/>
    <d v="1899-12-30T03:50:00"/>
    <n v="83"/>
    <s v="1:23"/>
    <d v="1899-12-30T02:27:00"/>
    <n v="83"/>
    <n v="35"/>
    <d v="2023-04-03T00:00:00"/>
    <x v="2"/>
    <x v="0"/>
    <s v="Tarjeta de crédito"/>
    <n v="42.73"/>
    <n v="125.72999999999999"/>
  </r>
  <r>
    <n v="20"/>
    <s v="Cliente_709"/>
    <n v="5"/>
    <d v="2023-04-03T00:00:00"/>
    <d v="1899-12-30T01:47:00"/>
    <d v="2023-04-03T00:00:00"/>
    <d v="1899-12-30T03:29:00"/>
    <s v="Mesero_2"/>
    <x v="0"/>
    <s v="Efectivo"/>
    <n v="36.299999999999997"/>
    <s v="Ocupada"/>
    <n v="273"/>
    <s v="Colombia"/>
    <d v="1899-12-30T01:57:00"/>
    <n v="67"/>
    <s v="1:07"/>
    <d v="1899-12-30T00:50:00"/>
    <n v="123"/>
    <n v="47"/>
    <d v="2023-04-03T00:00:00"/>
    <x v="2"/>
    <x v="0"/>
    <s v="Efectivo"/>
    <n v="36.299999999999997"/>
    <n v="159.30000000000001"/>
  </r>
  <r>
    <n v="7"/>
    <s v="Cliente_53"/>
    <n v="1"/>
    <d v="2023-04-03T00:00:00"/>
    <d v="1899-12-30T03:15:00"/>
    <d v="2023-04-03T00:00:00"/>
    <d v="1899-12-30T05:52:00"/>
    <s v="Mesero_1"/>
    <x v="0"/>
    <s v="Tarjeta de débito"/>
    <n v="19.93"/>
    <s v="Ocupada"/>
    <n v="274"/>
    <s v="Brasil"/>
    <d v="1899-12-30T02:52:00"/>
    <n v="75"/>
    <s v="1:15"/>
    <d v="1899-12-30T01:37:00"/>
    <n v="116"/>
    <n v="26"/>
    <d v="2023-04-03T00:00:00"/>
    <x v="2"/>
    <x v="0"/>
    <s v="Tarjeta de débito"/>
    <n v="19.93"/>
    <n v="135.93"/>
  </r>
  <r>
    <n v="5"/>
    <s v="Cliente_765"/>
    <n v="3"/>
    <d v="2023-04-03T00:00:00"/>
    <d v="1899-12-30T02:13:00"/>
    <d v="2023-04-03T00:00:00"/>
    <d v="1899-12-30T05:58:00"/>
    <s v="Mesero_2"/>
    <x v="0"/>
    <s v="Tarjeta de crédito"/>
    <n v="49.67"/>
    <s v="Reservada"/>
    <n v="275"/>
    <s v="Bolivia"/>
    <d v="1899-12-30T03:45:00"/>
    <n v="122"/>
    <s v="2:02"/>
    <d v="1899-12-30T01:43:00"/>
    <n v="121"/>
    <n v="54"/>
    <d v="2023-04-03T00:00:00"/>
    <x v="2"/>
    <x v="0"/>
    <s v="Tarjeta de crédito"/>
    <n v="49.67"/>
    <n v="170.67000000000002"/>
  </r>
  <r>
    <n v="15"/>
    <s v="Cliente_673"/>
    <n v="6"/>
    <d v="2023-04-03T00:00:00"/>
    <d v="1899-12-30T02:35:00"/>
    <d v="2023-04-03T00:00:00"/>
    <d v="1899-12-30T05:34:00"/>
    <s v="Mesero_4"/>
    <x v="0"/>
    <s v="Tarjeta de débito"/>
    <n v="20.98"/>
    <s v="Reservada"/>
    <n v="276"/>
    <s v="Ecuador"/>
    <d v="1899-12-30T02:59:00"/>
    <n v="85"/>
    <s v="1:25"/>
    <d v="1899-12-30T01:34:00"/>
    <n v="70"/>
    <n v="28"/>
    <d v="2023-04-03T00:00:00"/>
    <x v="2"/>
    <x v="0"/>
    <s v="Tarjeta de débito"/>
    <n v="20.98"/>
    <n v="90.98"/>
  </r>
  <r>
    <n v="4"/>
    <s v="Cliente_243"/>
    <n v="2"/>
    <d v="2023-04-03T00:00:00"/>
    <d v="1899-12-30T01:28:00"/>
    <d v="2023-04-03T00:00:00"/>
    <d v="1899-12-30T03:56:00"/>
    <s v="Mesero_5"/>
    <x v="0"/>
    <s v="Tarjeta de crédito"/>
    <n v="10.29"/>
    <s v="Libre"/>
    <n v="277"/>
    <s v="España"/>
    <d v="1899-12-30T02:28:00"/>
    <n v="29"/>
    <s v="0:29"/>
    <d v="1899-12-30T01:59:00"/>
    <n v="93"/>
    <n v="19"/>
    <d v="2023-04-03T00:00:00"/>
    <x v="2"/>
    <x v="0"/>
    <s v="Tarjeta de crédito"/>
    <n v="10.29"/>
    <n v="103.28999999999999"/>
  </r>
  <r>
    <n v="5"/>
    <s v="Cliente_999"/>
    <n v="4"/>
    <d v="2023-04-03T00:00:00"/>
    <d v="1899-12-30T03:10:00"/>
    <d v="2023-04-03T00:00:00"/>
    <d v="1899-12-30T05:12:00"/>
    <s v="Mesero_3"/>
    <x v="0"/>
    <s v="Efectivo"/>
    <n v="41.36"/>
    <s v="Libre"/>
    <n v="278"/>
    <s v="Venezuela"/>
    <d v="1899-12-30T02:02:00"/>
    <n v="61"/>
    <s v="1:01"/>
    <d v="1899-12-30T01:01:00"/>
    <n v="141"/>
    <n v="33"/>
    <d v="2023-04-03T00:00:00"/>
    <x v="2"/>
    <x v="0"/>
    <s v="Efectivo"/>
    <n v="41.36"/>
    <n v="182.36"/>
  </r>
  <r>
    <n v="11"/>
    <s v="Cliente_510"/>
    <n v="5"/>
    <d v="2023-04-03T00:00:00"/>
    <d v="1899-12-30T00:15:00"/>
    <d v="2023-04-03T00:00:00"/>
    <d v="1899-12-30T02:35:00"/>
    <s v="Mesero_2"/>
    <x v="2"/>
    <s v="Tarjeta de crédito"/>
    <n v="43.53"/>
    <s v="Libre"/>
    <n v="279"/>
    <s v="Venezuela"/>
    <d v="1899-12-30T02:20:00"/>
    <n v="142"/>
    <s v="2:22"/>
    <d v="1899-12-30T00:00:00"/>
    <n v="201"/>
    <n v="72"/>
    <d v="2023-04-03T00:00:00"/>
    <x v="2"/>
    <x v="1"/>
    <s v="Impago"/>
    <n v="0"/>
    <n v="0"/>
  </r>
  <r>
    <n v="14"/>
    <s v="Cliente_730"/>
    <n v="6"/>
    <d v="2023-04-03T00:00:00"/>
    <d v="1899-12-30T00:30:00"/>
    <d v="2023-04-03T00:00:00"/>
    <d v="1899-12-30T02:41:00"/>
    <s v="Mesero_5"/>
    <x v="0"/>
    <s v="Tarjeta de crédito"/>
    <n v="36.08"/>
    <s v="Reservada"/>
    <n v="280"/>
    <s v="Ecuador"/>
    <d v="1899-12-30T02:11:00"/>
    <n v="86"/>
    <s v="1:26"/>
    <d v="1899-12-30T00:45:00"/>
    <n v="117"/>
    <n v="28"/>
    <d v="2023-04-03T00:00:00"/>
    <x v="2"/>
    <x v="0"/>
    <s v="Tarjeta de crédito"/>
    <n v="36.08"/>
    <n v="153.07999999999998"/>
  </r>
  <r>
    <n v="18"/>
    <s v="Cliente_617"/>
    <n v="2"/>
    <d v="2023-04-03T00:00:00"/>
    <d v="1899-12-30T03:52:00"/>
    <d v="2023-04-03T00:00:00"/>
    <d v="1899-12-30T07:50:00"/>
    <s v="Mesero_4"/>
    <x v="1"/>
    <s v="Efectivo"/>
    <n v="44.3"/>
    <s v="Ocupada"/>
    <n v="281"/>
    <s v="Perú"/>
    <d v="1899-12-30T04:13:00"/>
    <n v="9"/>
    <s v="0:09"/>
    <d v="1899-12-30T04:04:00"/>
    <n v="66"/>
    <n v="20"/>
    <d v="2023-04-03T00:00:00"/>
    <x v="2"/>
    <x v="0"/>
    <s v="Efectivo"/>
    <n v="44.3"/>
    <n v="110.3"/>
  </r>
  <r>
    <n v="6"/>
    <s v="Cliente_827"/>
    <n v="1"/>
    <d v="2023-04-03T00:00:00"/>
    <d v="1899-12-30T01:11:00"/>
    <d v="2023-04-03T00:00:00"/>
    <d v="1899-12-30T05:02:00"/>
    <s v="Mesero_4"/>
    <x v="0"/>
    <s v="Tarjeta de crédito"/>
    <n v="19.05"/>
    <s v="Libre"/>
    <n v="282"/>
    <s v="Uruguay"/>
    <d v="1899-12-30T03:51:00"/>
    <n v="114"/>
    <s v="1:54"/>
    <d v="1899-12-30T01:57:00"/>
    <n v="74"/>
    <n v="22"/>
    <d v="2023-04-03T00:00:00"/>
    <x v="2"/>
    <x v="0"/>
    <s v="Tarjeta de crédito"/>
    <n v="19.05"/>
    <n v="93.05"/>
  </r>
  <r>
    <n v="19"/>
    <s v="Cliente_184"/>
    <n v="5"/>
    <d v="2023-04-03T00:00:00"/>
    <d v="1899-12-30T01:04:00"/>
    <d v="2023-04-03T00:00:00"/>
    <d v="1899-12-30T04:48:00"/>
    <s v="Mesero_5"/>
    <x v="2"/>
    <s v="Tarjeta de crédito"/>
    <n v="43.07"/>
    <s v="Libre"/>
    <n v="283"/>
    <s v="Brasil"/>
    <d v="1899-12-30T03:44:00"/>
    <n v="6"/>
    <s v="0:06"/>
    <d v="1899-12-30T03:38:00"/>
    <n v="78"/>
    <n v="15"/>
    <d v="2023-04-03T00:00:00"/>
    <x v="2"/>
    <x v="0"/>
    <s v="Tarjeta de crédito"/>
    <n v="43.07"/>
    <n v="121.07"/>
  </r>
  <r>
    <n v="11"/>
    <s v="Cliente_345"/>
    <n v="4"/>
    <d v="2023-04-03T00:00:00"/>
    <d v="1899-12-30T02:28:00"/>
    <d v="2023-04-03T00:00:00"/>
    <d v="1899-12-30T04:37:00"/>
    <s v="Mesero_5"/>
    <x v="0"/>
    <s v="Tarjeta de débito"/>
    <n v="29.99"/>
    <s v="Ocupada"/>
    <n v="284"/>
    <s v="Perú"/>
    <d v="1899-12-30T02:24:00"/>
    <n v="195"/>
    <s v="3:15"/>
    <d v="1899-12-30T00:00:00"/>
    <n v="158"/>
    <n v="59"/>
    <d v="2023-04-03T00:00:00"/>
    <x v="2"/>
    <x v="1"/>
    <s v="Impago"/>
    <n v="0"/>
    <n v="0"/>
  </r>
  <r>
    <n v="18"/>
    <s v="Cliente_277"/>
    <n v="6"/>
    <d v="2023-04-03T00:00:00"/>
    <d v="1899-12-30T03:03:00"/>
    <d v="2023-04-03T00:00:00"/>
    <d v="1899-12-30T06:05:00"/>
    <s v="Mesero_4"/>
    <x v="0"/>
    <s v="Tarjeta de débito"/>
    <n v="10.94"/>
    <s v="Reservada"/>
    <n v="285"/>
    <s v="España"/>
    <d v="1899-12-30T03:02:00"/>
    <n v="12"/>
    <s v="0:12"/>
    <d v="1899-12-30T02:50:00"/>
    <n v="42"/>
    <n v="13"/>
    <d v="2023-04-03T00:00:00"/>
    <x v="2"/>
    <x v="0"/>
    <s v="Tarjeta de débito"/>
    <n v="10.94"/>
    <n v="52.94"/>
  </r>
  <r>
    <n v="15"/>
    <s v="Cliente_244"/>
    <n v="6"/>
    <d v="2023-04-03T00:00:00"/>
    <d v="1899-12-30T00:22:00"/>
    <d v="2023-04-03T00:00:00"/>
    <d v="1899-12-30T02:28:00"/>
    <s v="Mesero_3"/>
    <x v="0"/>
    <s v="Tarjeta de crédito"/>
    <n v="41.96"/>
    <s v="Ocupada"/>
    <n v="286"/>
    <s v="Argentina"/>
    <d v="1899-12-30T02:21:00"/>
    <n v="25"/>
    <s v="0:25"/>
    <d v="1899-12-30T01:56:00"/>
    <n v="68"/>
    <n v="20"/>
    <d v="2023-04-03T00:00:00"/>
    <x v="2"/>
    <x v="0"/>
    <s v="Tarjeta de crédito"/>
    <n v="41.96"/>
    <n v="109.96000000000001"/>
  </r>
  <r>
    <n v="20"/>
    <s v="Cliente_286"/>
    <n v="2"/>
    <d v="2023-04-03T00:00:00"/>
    <d v="1899-12-30T03:37:00"/>
    <d v="2023-04-03T00:00:00"/>
    <d v="1899-12-30T04:44:00"/>
    <s v="Mesero_5"/>
    <x v="0"/>
    <s v="Tarjeta de débito"/>
    <n v="31.67"/>
    <s v="Reservada"/>
    <n v="287"/>
    <s v="Colombia"/>
    <d v="1899-12-30T01:07:00"/>
    <n v="121"/>
    <s v="2:01"/>
    <d v="1899-12-30T00:00:00"/>
    <n v="202"/>
    <n v="51"/>
    <d v="2023-04-03T00:00:00"/>
    <x v="2"/>
    <x v="1"/>
    <s v="Impago"/>
    <n v="0"/>
    <n v="0"/>
  </r>
  <r>
    <n v="15"/>
    <s v="Cliente_981"/>
    <n v="3"/>
    <d v="2023-04-03T00:00:00"/>
    <d v="1899-12-30T02:08:00"/>
    <d v="2023-04-03T00:00:00"/>
    <d v="1899-12-30T05:33:00"/>
    <s v="Mesero_5"/>
    <x v="2"/>
    <s v="Tarjeta de crédito"/>
    <n v="13.3"/>
    <s v="Reservada"/>
    <n v="288"/>
    <s v="Uruguay"/>
    <d v="1899-12-30T03:25:00"/>
    <n v="38"/>
    <s v="0:38"/>
    <d v="1899-12-30T02:47:00"/>
    <n v="86"/>
    <n v="25"/>
    <d v="2023-04-03T00:00:00"/>
    <x v="2"/>
    <x v="0"/>
    <s v="Tarjeta de crédito"/>
    <n v="13.3"/>
    <n v="99.3"/>
  </r>
  <r>
    <n v="15"/>
    <s v="Cliente_24"/>
    <n v="5"/>
    <d v="2023-04-03T00:00:00"/>
    <d v="1899-12-30T03:08:00"/>
    <d v="2023-04-03T00:00:00"/>
    <d v="1899-12-30T06:23:00"/>
    <s v="Mesero_5"/>
    <x v="0"/>
    <s v="Tarjeta de débito"/>
    <n v="26.56"/>
    <s v="Libre"/>
    <n v="289"/>
    <s v="España"/>
    <d v="1899-12-30T03:15:00"/>
    <n v="68"/>
    <s v="1:08"/>
    <d v="1899-12-30T02:07:00"/>
    <n v="138"/>
    <n v="27"/>
    <d v="2023-04-03T00:00:00"/>
    <x v="2"/>
    <x v="0"/>
    <s v="Tarjeta de débito"/>
    <n v="26.56"/>
    <n v="164.56"/>
  </r>
  <r>
    <n v="19"/>
    <s v="Cliente_26"/>
    <n v="3"/>
    <d v="2023-04-03T00:00:00"/>
    <d v="1899-12-30T02:06:00"/>
    <d v="2023-04-03T00:00:00"/>
    <d v="1899-12-30T04:33:00"/>
    <s v="Mesero_3"/>
    <x v="0"/>
    <s v="Tarjeta de crédito"/>
    <n v="14.59"/>
    <s v="Ocupada"/>
    <n v="290"/>
    <s v="España"/>
    <d v="1899-12-30T02:42:00"/>
    <n v="57"/>
    <s v="0:57"/>
    <d v="1899-12-30T01:45:00"/>
    <n v="40"/>
    <n v="25"/>
    <d v="2023-04-03T00:00:00"/>
    <x v="2"/>
    <x v="0"/>
    <s v="Tarjeta de crédito"/>
    <n v="14.59"/>
    <n v="54.59"/>
  </r>
  <r>
    <n v="2"/>
    <s v="Cliente_463"/>
    <n v="6"/>
    <d v="2023-04-03T00:00:00"/>
    <d v="1899-12-30T03:18:00"/>
    <d v="2023-04-03T00:00:00"/>
    <d v="1899-12-30T06:09:00"/>
    <s v="Mesero_2"/>
    <x v="1"/>
    <s v="Efectivo"/>
    <n v="15.44"/>
    <s v="Ocupada"/>
    <n v="291"/>
    <s v="Bolivia"/>
    <d v="1899-12-30T03:06:00"/>
    <n v="95"/>
    <s v="1:35"/>
    <d v="1899-12-30T01:31:00"/>
    <n v="260"/>
    <n v="75"/>
    <d v="2023-04-03T00:00:00"/>
    <x v="2"/>
    <x v="0"/>
    <s v="Efectivo"/>
    <n v="15.44"/>
    <n v="275.44"/>
  </r>
  <r>
    <n v="10"/>
    <s v="Cliente_746"/>
    <n v="3"/>
    <d v="2023-04-03T00:00:00"/>
    <d v="1899-12-30T00:09:00"/>
    <d v="2023-04-03T00:00:00"/>
    <d v="1899-12-30T01:51:00"/>
    <s v="Mesero_3"/>
    <x v="2"/>
    <s v="Tarjeta de débito"/>
    <n v="29.72"/>
    <s v="Reservada"/>
    <n v="292"/>
    <s v="Argentina"/>
    <d v="1899-12-30T01:42:00"/>
    <n v="23"/>
    <s v="0:23"/>
    <d v="1899-12-30T01:19:00"/>
    <n v="84"/>
    <n v="16"/>
    <d v="2023-04-03T00:00:00"/>
    <x v="2"/>
    <x v="0"/>
    <s v="Tarjeta de débito"/>
    <n v="29.72"/>
    <n v="113.72"/>
  </r>
  <r>
    <n v="16"/>
    <s v="Cliente_409"/>
    <n v="4"/>
    <d v="2023-04-03T00:00:00"/>
    <d v="1899-12-30T02:55:00"/>
    <d v="2023-04-03T00:00:00"/>
    <d v="1899-12-30T04:35:00"/>
    <s v="Mesero_3"/>
    <x v="0"/>
    <s v="Tarjeta de débito"/>
    <n v="33.11"/>
    <s v="Reservada"/>
    <n v="293"/>
    <s v="Argentina"/>
    <d v="1899-12-30T01:40:00"/>
    <n v="120"/>
    <s v="2:00"/>
    <d v="1899-12-30T00:00:00"/>
    <n v="216"/>
    <n v="56"/>
    <d v="2023-04-03T00:00:00"/>
    <x v="2"/>
    <x v="1"/>
    <s v="Impago"/>
    <n v="0"/>
    <n v="0"/>
  </r>
  <r>
    <n v="17"/>
    <s v="Cliente_339"/>
    <n v="6"/>
    <d v="2023-04-03T00:00:00"/>
    <d v="1899-12-30T00:26:00"/>
    <d v="2023-04-03T00:00:00"/>
    <d v="1899-12-30T03:57:00"/>
    <s v="Mesero_2"/>
    <x v="1"/>
    <s v="Tarjeta de crédito"/>
    <n v="20.36"/>
    <s v="Libre"/>
    <n v="294"/>
    <s v="Colombia"/>
    <d v="1899-12-30T03:31:00"/>
    <n v="86"/>
    <s v="1:26"/>
    <d v="1899-12-30T02:05:00"/>
    <n v="326"/>
    <n v="71"/>
    <d v="2023-04-03T00:00:00"/>
    <x v="2"/>
    <x v="0"/>
    <s v="Tarjeta de crédito"/>
    <n v="20.36"/>
    <n v="346.36"/>
  </r>
  <r>
    <n v="3"/>
    <s v="Cliente_729"/>
    <n v="1"/>
    <d v="2023-04-03T00:00:00"/>
    <d v="1899-12-30T00:10:00"/>
    <d v="2023-04-03T00:00:00"/>
    <d v="1899-12-30T02:01:00"/>
    <s v="Mesero_2"/>
    <x v="0"/>
    <s v="Tarjeta de crédito"/>
    <n v="46.42"/>
    <s v="Reservada"/>
    <n v="295"/>
    <s v="Uruguay"/>
    <d v="1899-12-30T01:51:00"/>
    <n v="177"/>
    <s v="2:57"/>
    <d v="1899-12-30T00:00:00"/>
    <n v="247"/>
    <n v="69"/>
    <d v="2023-04-03T00:00:00"/>
    <x v="2"/>
    <x v="1"/>
    <s v="Impago"/>
    <n v="0"/>
    <n v="0"/>
  </r>
  <r>
    <n v="14"/>
    <s v="Cliente_565"/>
    <n v="1"/>
    <d v="2023-04-03T00:00:00"/>
    <d v="1899-12-30T02:49:00"/>
    <d v="2023-04-03T00:00:00"/>
    <d v="1899-12-30T05:58:00"/>
    <s v="Mesero_2"/>
    <x v="2"/>
    <s v="Tarjeta de crédito"/>
    <n v="29.07"/>
    <s v="Ocupada"/>
    <n v="296"/>
    <s v="España"/>
    <d v="1899-12-30T03:24:00"/>
    <n v="46"/>
    <s v="0:46"/>
    <d v="1899-12-30T02:38:00"/>
    <n v="59"/>
    <n v="36"/>
    <d v="2023-04-03T00:00:00"/>
    <x v="2"/>
    <x v="0"/>
    <s v="Tarjeta de crédito"/>
    <n v="29.07"/>
    <n v="88.07"/>
  </r>
  <r>
    <n v="4"/>
    <s v="Cliente_873"/>
    <n v="3"/>
    <d v="2023-04-03T00:00:00"/>
    <d v="1899-12-30T01:03:00"/>
    <d v="2023-04-03T00:00:00"/>
    <d v="1899-12-30T04:27:00"/>
    <s v="Mesero_1"/>
    <x v="0"/>
    <s v="Tarjeta de crédito"/>
    <n v="43.46"/>
    <s v="Ocupada"/>
    <n v="297"/>
    <s v="España"/>
    <d v="1899-12-30T03:39:00"/>
    <n v="112"/>
    <s v="1:52"/>
    <d v="1899-12-30T01:47:00"/>
    <n v="175"/>
    <n v="40"/>
    <d v="2023-04-03T00:00:00"/>
    <x v="2"/>
    <x v="0"/>
    <s v="Tarjeta de crédito"/>
    <n v="43.46"/>
    <n v="218.46"/>
  </r>
  <r>
    <n v="11"/>
    <s v="Cliente_195"/>
    <n v="4"/>
    <d v="2023-04-03T00:00:00"/>
    <d v="1899-12-30T03:14:00"/>
    <d v="2023-04-03T00:00:00"/>
    <d v="1899-12-30T05:29:00"/>
    <s v="Mesero_5"/>
    <x v="1"/>
    <s v="Tarjeta de crédito"/>
    <n v="23.24"/>
    <s v="Reservada"/>
    <n v="298"/>
    <s v="Bolivia"/>
    <d v="1899-12-30T02:15:00"/>
    <n v="141"/>
    <s v="2:21"/>
    <d v="1899-12-30T00:00:00"/>
    <n v="255"/>
    <n v="51"/>
    <d v="2023-04-03T00:00:00"/>
    <x v="2"/>
    <x v="1"/>
    <s v="Impago"/>
    <n v="0"/>
    <n v="0"/>
  </r>
  <r>
    <n v="6"/>
    <s v="Cliente_211"/>
    <n v="1"/>
    <d v="2023-04-03T00:00:00"/>
    <d v="1899-12-30T01:19:00"/>
    <d v="2023-04-03T00:00:00"/>
    <d v="1899-12-30T02:45:00"/>
    <s v="Mesero_5"/>
    <x v="2"/>
    <s v="Efectivo"/>
    <n v="29.68"/>
    <s v="Ocupada"/>
    <n v="299"/>
    <s v="Uruguay"/>
    <d v="1899-12-30T01:41:00"/>
    <n v="113"/>
    <s v="1:53"/>
    <d v="1899-12-30T00:00:00"/>
    <n v="182"/>
    <n v="58"/>
    <d v="2023-04-03T00:00:00"/>
    <x v="2"/>
    <x v="1"/>
    <s v="Impago"/>
    <n v="0"/>
    <n v="0"/>
  </r>
  <r>
    <n v="18"/>
    <s v="Cliente_516"/>
    <n v="6"/>
    <d v="2023-04-03T00:00:00"/>
    <d v="1899-12-30T02:17:00"/>
    <d v="2023-04-03T00:00:00"/>
    <d v="1899-12-30T04:19:00"/>
    <s v="Mesero_2"/>
    <x v="1"/>
    <s v="Tarjeta de crédito"/>
    <n v="38.380000000000003"/>
    <s v="Reservada"/>
    <n v="300"/>
    <s v="Paraguay"/>
    <d v="1899-12-30T02:02:00"/>
    <n v="118"/>
    <s v="1:58"/>
    <d v="1899-12-30T00:04:00"/>
    <n v="290"/>
    <n v="68"/>
    <d v="2023-04-03T00:00:00"/>
    <x v="2"/>
    <x v="0"/>
    <s v="Tarjeta de crédito"/>
    <n v="38.380000000000003"/>
    <n v="328.38"/>
  </r>
  <r>
    <n v="8"/>
    <s v="Cliente_385"/>
    <n v="6"/>
    <d v="2023-04-03T00:00:00"/>
    <d v="1899-12-30T02:14:00"/>
    <d v="2023-04-03T00:00:00"/>
    <d v="1899-12-30T04:08:00"/>
    <s v="Mesero_5"/>
    <x v="0"/>
    <s v="Tarjeta de crédito"/>
    <n v="16.52"/>
    <s v="Reservada"/>
    <n v="301"/>
    <s v="Uruguay"/>
    <d v="1899-12-30T01:54:00"/>
    <n v="183"/>
    <s v="3:03"/>
    <d v="1899-12-30T00:00:00"/>
    <n v="223"/>
    <n v="63"/>
    <d v="2023-04-03T00:00:00"/>
    <x v="2"/>
    <x v="1"/>
    <s v="Impago"/>
    <n v="0"/>
    <n v="0"/>
  </r>
  <r>
    <n v="5"/>
    <s v="Cliente_929"/>
    <n v="2"/>
    <d v="2023-04-03T00:00:00"/>
    <d v="1899-12-30T01:20:00"/>
    <d v="2023-04-03T00:00:00"/>
    <d v="1899-12-30T04:56:00"/>
    <s v="Mesero_1"/>
    <x v="1"/>
    <s v="Tarjeta de crédito"/>
    <n v="39.89"/>
    <s v="Reservada"/>
    <n v="302"/>
    <s v="Colombia"/>
    <d v="1899-12-30T03:36:00"/>
    <n v="15"/>
    <s v="0:15"/>
    <d v="1899-12-30T03:21:00"/>
    <n v="96"/>
    <n v="19"/>
    <d v="2023-04-03T00:00:00"/>
    <x v="2"/>
    <x v="0"/>
    <s v="Tarjeta de crédito"/>
    <n v="39.89"/>
    <n v="135.88999999999999"/>
  </r>
  <r>
    <n v="14"/>
    <s v="Cliente_986"/>
    <n v="5"/>
    <d v="2023-04-03T00:00:00"/>
    <d v="1899-12-30T03:38:00"/>
    <d v="2023-04-03T00:00:00"/>
    <d v="1899-12-30T06:24:00"/>
    <s v="Mesero_5"/>
    <x v="1"/>
    <s v="Tarjeta de débito"/>
    <n v="16.489999999999998"/>
    <s v="Ocupada"/>
    <n v="303"/>
    <s v="Brasil"/>
    <d v="1899-12-30T03:01:00"/>
    <n v="92"/>
    <s v="1:32"/>
    <d v="1899-12-30T01:29:00"/>
    <n v="210"/>
    <n v="66"/>
    <d v="2023-04-03T00:00:00"/>
    <x v="2"/>
    <x v="0"/>
    <s v="Tarjeta de débito"/>
    <n v="16.489999999999998"/>
    <n v="226.49"/>
  </r>
  <r>
    <n v="6"/>
    <s v="Cliente_994"/>
    <n v="4"/>
    <d v="2023-04-03T00:00:00"/>
    <d v="1899-12-30T03:24:00"/>
    <d v="2023-04-03T00:00:00"/>
    <d v="1899-12-30T04:40:00"/>
    <s v="Mesero_1"/>
    <x v="0"/>
    <s v="Tarjeta de crédito"/>
    <n v="22.05"/>
    <s v="Reservada"/>
    <n v="304"/>
    <s v="Colombia"/>
    <d v="1899-12-30T01:16:00"/>
    <n v="85"/>
    <s v="1:25"/>
    <d v="1899-12-30T00:00:00"/>
    <n v="279"/>
    <n v="76"/>
    <d v="2023-04-03T00:00:00"/>
    <x v="2"/>
    <x v="1"/>
    <s v="Impago"/>
    <n v="0"/>
    <n v="0"/>
  </r>
  <r>
    <n v="1"/>
    <s v="Cliente_648"/>
    <n v="2"/>
    <d v="2023-04-03T00:00:00"/>
    <d v="1899-12-30T00:45:00"/>
    <d v="2023-04-03T00:00:00"/>
    <d v="1899-12-30T04:13:00"/>
    <s v="Mesero_1"/>
    <x v="0"/>
    <s v="Tarjeta de crédito"/>
    <n v="37.92"/>
    <s v="Reservada"/>
    <n v="305"/>
    <s v="Chile"/>
    <d v="1899-12-30T03:28:00"/>
    <n v="65"/>
    <s v="1:05"/>
    <d v="1899-12-30T02:23:00"/>
    <n v="128"/>
    <n v="35"/>
    <d v="2023-04-03T00:00:00"/>
    <x v="2"/>
    <x v="0"/>
    <s v="Tarjeta de crédito"/>
    <n v="37.92"/>
    <n v="165.92000000000002"/>
  </r>
  <r>
    <n v="7"/>
    <s v="Cliente_702"/>
    <n v="4"/>
    <d v="2023-04-03T00:00:00"/>
    <d v="1899-12-30T00:03:00"/>
    <d v="2023-04-03T00:00:00"/>
    <d v="1899-12-30T02:32:00"/>
    <s v="Mesero_5"/>
    <x v="0"/>
    <s v="Tarjeta de crédito"/>
    <n v="16.96"/>
    <s v="Ocupada"/>
    <n v="306"/>
    <s v="Chile"/>
    <d v="1899-12-30T02:44:00"/>
    <n v="21"/>
    <s v="0:21"/>
    <d v="1899-12-30T02:23:00"/>
    <n v="32"/>
    <n v="19"/>
    <d v="2023-04-03T00:00:00"/>
    <x v="2"/>
    <x v="0"/>
    <s v="Tarjeta de crédito"/>
    <n v="16.96"/>
    <n v="48.96"/>
  </r>
  <r>
    <n v="20"/>
    <s v="Cliente_175"/>
    <n v="5"/>
    <d v="2023-04-03T00:00:00"/>
    <d v="1899-12-30T03:09:00"/>
    <d v="2023-04-03T00:00:00"/>
    <d v="1899-12-30T05:39:00"/>
    <s v="Mesero_1"/>
    <x v="0"/>
    <s v="Efectivo"/>
    <n v="31.66"/>
    <s v="Libre"/>
    <n v="307"/>
    <s v="Perú"/>
    <d v="1899-12-30T02:30:00"/>
    <n v="39"/>
    <s v="0:39"/>
    <d v="1899-12-30T01:51:00"/>
    <n v="63"/>
    <n v="13"/>
    <d v="2023-04-03T00:00:00"/>
    <x v="2"/>
    <x v="0"/>
    <s v="Efectivo"/>
    <n v="31.66"/>
    <n v="94.66"/>
  </r>
  <r>
    <n v="14"/>
    <s v="Cliente_846"/>
    <n v="6"/>
    <d v="2023-04-03T00:00:00"/>
    <d v="1899-12-30T01:55:00"/>
    <d v="2023-04-03T00:00:00"/>
    <d v="1899-12-30T04:39:00"/>
    <s v="Mesero_2"/>
    <x v="0"/>
    <s v="Tarjeta de crédito"/>
    <n v="33.79"/>
    <s v="Reservada"/>
    <n v="308"/>
    <s v="Uruguay"/>
    <d v="1899-12-30T02:44:00"/>
    <n v="186"/>
    <s v="3:06"/>
    <d v="1899-12-30T00:00:00"/>
    <n v="222"/>
    <n v="76"/>
    <d v="2023-04-03T00:00:00"/>
    <x v="2"/>
    <x v="1"/>
    <s v="Impago"/>
    <n v="0"/>
    <n v="0"/>
  </r>
  <r>
    <n v="9"/>
    <s v="Cliente_620"/>
    <n v="3"/>
    <d v="2023-04-03T00:00:00"/>
    <d v="1899-12-30T00:28:00"/>
    <d v="2023-04-03T00:00:00"/>
    <d v="1899-12-30T04:05:00"/>
    <s v="Mesero_1"/>
    <x v="0"/>
    <s v="Tarjeta de crédito"/>
    <n v="36.090000000000003"/>
    <s v="Reservada"/>
    <n v="309"/>
    <s v="Argentina"/>
    <d v="1899-12-30T03:37:00"/>
    <n v="123"/>
    <s v="2:03"/>
    <d v="1899-12-30T01:34:00"/>
    <n v="172"/>
    <n v="65"/>
    <d v="2023-04-03T00:00:00"/>
    <x v="2"/>
    <x v="0"/>
    <s v="Tarjeta de crédito"/>
    <n v="36.090000000000003"/>
    <n v="208.09"/>
  </r>
  <r>
    <n v="17"/>
    <s v="Cliente_672"/>
    <n v="3"/>
    <d v="2023-04-03T00:00:00"/>
    <d v="1899-12-30T03:04:00"/>
    <d v="2023-04-03T00:00:00"/>
    <d v="1899-12-30T06:23:00"/>
    <s v="Mesero_5"/>
    <x v="2"/>
    <s v="Tarjeta de crédito"/>
    <n v="11.47"/>
    <s v="Libre"/>
    <n v="310"/>
    <s v="Uruguay"/>
    <d v="1899-12-30T03:19:00"/>
    <n v="97"/>
    <s v="1:37"/>
    <d v="1899-12-30T01:42:00"/>
    <n v="138"/>
    <n v="33"/>
    <d v="2023-04-03T00:00:00"/>
    <x v="2"/>
    <x v="0"/>
    <s v="Tarjeta de crédito"/>
    <n v="11.47"/>
    <n v="149.47"/>
  </r>
  <r>
    <n v="6"/>
    <s v="Cliente_735"/>
    <n v="4"/>
    <d v="2023-04-03T00:00:00"/>
    <d v="1899-12-30T01:40:00"/>
    <d v="2023-04-03T00:00:00"/>
    <d v="1899-12-30T02:43:00"/>
    <s v="Mesero_3"/>
    <x v="1"/>
    <s v="Efectivo"/>
    <n v="39.270000000000003"/>
    <s v="Ocupada"/>
    <n v="311"/>
    <s v="Paraguay"/>
    <d v="1899-12-30T01:18:00"/>
    <n v="74"/>
    <s v="1:14"/>
    <d v="1899-12-30T00:04:00"/>
    <n v="53"/>
    <n v="31"/>
    <d v="2023-04-03T00:00:00"/>
    <x v="2"/>
    <x v="0"/>
    <s v="Efectivo"/>
    <n v="39.270000000000003"/>
    <n v="92.27000000000001"/>
  </r>
  <r>
    <n v="2"/>
    <s v="Cliente_268"/>
    <n v="4"/>
    <d v="2023-04-03T00:00:00"/>
    <d v="1899-12-30T03:07:00"/>
    <d v="2023-04-03T00:00:00"/>
    <d v="1899-12-30T06:12:00"/>
    <s v="Mesero_3"/>
    <x v="0"/>
    <s v="Tarjeta de crédito"/>
    <n v="30.89"/>
    <s v="Reservada"/>
    <n v="312"/>
    <s v="Uruguay"/>
    <d v="1899-12-30T03:05:00"/>
    <n v="55"/>
    <s v="0:55"/>
    <d v="1899-12-30T02:10:00"/>
    <n v="134"/>
    <n v="40"/>
    <d v="2023-04-03T00:00:00"/>
    <x v="2"/>
    <x v="0"/>
    <s v="Tarjeta de crédito"/>
    <n v="30.89"/>
    <n v="164.89"/>
  </r>
  <r>
    <n v="10"/>
    <s v="Cliente_974"/>
    <n v="3"/>
    <d v="2023-04-03T00:00:00"/>
    <d v="1899-12-30T02:23:00"/>
    <d v="2023-04-03T00:00:00"/>
    <d v="1899-12-30T05:46:00"/>
    <s v="Mesero_1"/>
    <x v="1"/>
    <s v="Tarjeta de débito"/>
    <n v="43.14"/>
    <s v="Reservada"/>
    <n v="313"/>
    <s v="España"/>
    <d v="1899-12-30T03:23:00"/>
    <n v="106"/>
    <s v="1:46"/>
    <d v="1899-12-30T01:37:00"/>
    <n v="232"/>
    <n v="66"/>
    <d v="2023-04-03T00:00:00"/>
    <x v="2"/>
    <x v="0"/>
    <s v="Tarjeta de débito"/>
    <n v="43.14"/>
    <n v="275.14"/>
  </r>
  <r>
    <n v="20"/>
    <s v="Cliente_161"/>
    <n v="5"/>
    <d v="2023-04-03T00:00:00"/>
    <d v="1899-12-30T00:46:00"/>
    <d v="2023-04-03T00:00:00"/>
    <d v="1899-12-30T03:53:00"/>
    <s v="Mesero_4"/>
    <x v="0"/>
    <s v="Tarjeta de débito"/>
    <n v="32.18"/>
    <s v="Ocupada"/>
    <n v="314"/>
    <s v="Chile"/>
    <d v="1899-12-30T03:22:00"/>
    <n v="5"/>
    <s v="0:05"/>
    <d v="1899-12-30T03:17:00"/>
    <n v="27"/>
    <n v="16"/>
    <d v="2023-04-03T00:00:00"/>
    <x v="2"/>
    <x v="0"/>
    <s v="Tarjeta de débito"/>
    <n v="32.18"/>
    <n v="59.18"/>
  </r>
  <r>
    <n v="14"/>
    <s v="Cliente_600"/>
    <n v="1"/>
    <d v="2023-04-03T00:00:00"/>
    <d v="1899-12-30T00:12:00"/>
    <d v="2023-04-03T00:00:00"/>
    <d v="1899-12-30T03:29:00"/>
    <s v="Mesero_2"/>
    <x v="0"/>
    <s v="Tarjeta de crédito"/>
    <n v="20.6"/>
    <s v="Libre"/>
    <n v="315"/>
    <s v="Chile"/>
    <d v="1899-12-30T03:17:00"/>
    <n v="126"/>
    <s v="2:06"/>
    <d v="1899-12-30T01:11:00"/>
    <n v="161"/>
    <n v="61"/>
    <d v="2023-04-03T00:00:00"/>
    <x v="2"/>
    <x v="0"/>
    <s v="Tarjeta de crédito"/>
    <n v="20.6"/>
    <n v="181.6"/>
  </r>
  <r>
    <n v="2"/>
    <s v="Cliente_654"/>
    <n v="2"/>
    <d v="2023-04-03T00:00:00"/>
    <d v="1899-12-30T01:38:00"/>
    <d v="2023-04-03T00:00:00"/>
    <d v="1899-12-30T05:32:00"/>
    <s v="Mesero_5"/>
    <x v="1"/>
    <s v="Tarjeta de crédito"/>
    <n v="31.13"/>
    <s v="Reservada"/>
    <n v="316"/>
    <s v="Perú"/>
    <d v="1899-12-30T03:54:00"/>
    <n v="158"/>
    <s v="2:38"/>
    <d v="1899-12-30T01:16:00"/>
    <n v="160"/>
    <n v="64"/>
    <d v="2023-04-03T00:00:00"/>
    <x v="2"/>
    <x v="0"/>
    <s v="Tarjeta de crédito"/>
    <n v="31.13"/>
    <n v="191.13"/>
  </r>
  <r>
    <n v="17"/>
    <s v="Cliente_440"/>
    <n v="2"/>
    <d v="2023-04-03T00:00:00"/>
    <d v="1899-12-30T02:25:00"/>
    <d v="2023-04-03T00:00:00"/>
    <d v="1899-12-30T06:16:00"/>
    <s v="Mesero_2"/>
    <x v="1"/>
    <s v="Efectivo"/>
    <n v="24.55"/>
    <s v="Libre"/>
    <n v="317"/>
    <s v="Uruguay"/>
    <d v="1899-12-30T03:51:00"/>
    <n v="88"/>
    <s v="1:28"/>
    <d v="1899-12-30T02:23:00"/>
    <n v="178"/>
    <n v="52"/>
    <d v="2023-04-03T00:00:00"/>
    <x v="2"/>
    <x v="0"/>
    <s v="Efectivo"/>
    <n v="24.55"/>
    <n v="202.55"/>
  </r>
  <r>
    <n v="13"/>
    <s v="Cliente_269"/>
    <n v="3"/>
    <d v="2023-04-03T00:00:00"/>
    <d v="1899-12-30T03:33:00"/>
    <d v="2023-04-03T00:00:00"/>
    <d v="1899-12-30T05:09:00"/>
    <s v="Mesero_3"/>
    <x v="2"/>
    <s v="Tarjeta de crédito"/>
    <n v="10.08"/>
    <s v="Reservada"/>
    <n v="318"/>
    <s v="Venezuela"/>
    <d v="1899-12-30T01:36:00"/>
    <n v="39"/>
    <s v="0:39"/>
    <d v="1899-12-30T00:57:00"/>
    <n v="29"/>
    <n v="17"/>
    <d v="2023-04-03T00:00:00"/>
    <x v="2"/>
    <x v="0"/>
    <s v="Tarjeta de crédito"/>
    <n v="10.08"/>
    <n v="39.08"/>
  </r>
  <r>
    <n v="1"/>
    <s v="Cliente_12"/>
    <n v="1"/>
    <d v="2023-04-03T00:00:00"/>
    <d v="1899-12-30T00:48:00"/>
    <d v="2023-04-03T00:00:00"/>
    <d v="1899-12-30T03:59:00"/>
    <s v="Mesero_1"/>
    <x v="0"/>
    <s v="Efectivo"/>
    <n v="30.05"/>
    <s v="Libre"/>
    <n v="319"/>
    <s v="Bolivia"/>
    <d v="1899-12-30T03:11:00"/>
    <n v="126"/>
    <s v="2:06"/>
    <d v="1899-12-30T01:05:00"/>
    <n v="268"/>
    <n v="84"/>
    <d v="2023-04-03T00:00:00"/>
    <x v="2"/>
    <x v="0"/>
    <s v="Efectivo"/>
    <n v="30.05"/>
    <n v="298.05"/>
  </r>
  <r>
    <n v="9"/>
    <s v="Cliente_294"/>
    <n v="1"/>
    <d v="2023-04-03T00:00:00"/>
    <d v="1899-12-30T01:30:00"/>
    <d v="2023-04-03T00:00:00"/>
    <d v="1899-12-30T04:17:00"/>
    <s v="Mesero_3"/>
    <x v="0"/>
    <s v="Tarjeta de débito"/>
    <n v="44.02"/>
    <s v="Reservada"/>
    <n v="320"/>
    <s v="España"/>
    <d v="1899-12-30T02:47:00"/>
    <n v="130"/>
    <s v="2:10"/>
    <d v="1899-12-30T00:37:00"/>
    <n v="98"/>
    <n v="46"/>
    <d v="2023-04-03T00:00:00"/>
    <x v="2"/>
    <x v="0"/>
    <s v="Tarjeta de débito"/>
    <n v="44.02"/>
    <n v="142.02000000000001"/>
  </r>
  <r>
    <n v="18"/>
    <s v="Cliente_659"/>
    <n v="5"/>
    <d v="2023-04-03T00:00:00"/>
    <d v="1899-12-30T02:04:00"/>
    <d v="2023-04-03T00:00:00"/>
    <d v="1899-12-30T04:18:00"/>
    <s v="Mesero_1"/>
    <x v="0"/>
    <s v="Tarjeta de crédito"/>
    <n v="23.59"/>
    <s v="Libre"/>
    <n v="321"/>
    <s v="Venezuela"/>
    <d v="1899-12-30T02:14:00"/>
    <n v="95"/>
    <s v="1:35"/>
    <d v="1899-12-30T00:39:00"/>
    <n v="141"/>
    <n v="43"/>
    <d v="2023-04-03T00:00:00"/>
    <x v="2"/>
    <x v="0"/>
    <s v="Tarjeta de crédito"/>
    <n v="23.59"/>
    <n v="164.59"/>
  </r>
  <r>
    <n v="12"/>
    <s v="Cliente_47"/>
    <n v="1"/>
    <d v="2023-04-03T00:00:00"/>
    <d v="1899-12-30T03:41:00"/>
    <d v="2023-04-03T00:00:00"/>
    <d v="1899-12-30T05:47:00"/>
    <s v="Mesero_2"/>
    <x v="2"/>
    <s v="Tarjeta de crédito"/>
    <n v="24.69"/>
    <s v="Ocupada"/>
    <n v="322"/>
    <s v="Ecuador"/>
    <d v="1899-12-30T02:21:00"/>
    <n v="60"/>
    <s v="1:00"/>
    <d v="1899-12-30T01:21:00"/>
    <n v="85"/>
    <n v="32"/>
    <d v="2023-04-03T00:00:00"/>
    <x v="2"/>
    <x v="0"/>
    <s v="Tarjeta de crédito"/>
    <n v="24.69"/>
    <n v="109.69"/>
  </r>
  <r>
    <n v="8"/>
    <s v="Cliente_544"/>
    <n v="1"/>
    <d v="2023-04-03T00:00:00"/>
    <d v="1899-12-30T01:23:00"/>
    <d v="2023-04-03T00:00:00"/>
    <d v="1899-12-30T04:19:00"/>
    <s v="Mesero_5"/>
    <x v="1"/>
    <s v="Efectivo"/>
    <n v="44.3"/>
    <s v="Libre"/>
    <n v="323"/>
    <s v="Chile"/>
    <d v="1899-12-30T02:56:00"/>
    <n v="122"/>
    <s v="2:02"/>
    <d v="1899-12-30T00:54:00"/>
    <n v="208"/>
    <n v="54"/>
    <d v="2023-04-03T00:00:00"/>
    <x v="2"/>
    <x v="0"/>
    <s v="Efectivo"/>
    <n v="44.3"/>
    <n v="252.3"/>
  </r>
  <r>
    <n v="9"/>
    <s v="Cliente_633"/>
    <n v="6"/>
    <d v="2023-04-03T00:00:00"/>
    <d v="1899-12-30T00:43:00"/>
    <d v="2023-04-03T00:00:00"/>
    <d v="1899-12-30T01:51:00"/>
    <s v="Mesero_1"/>
    <x v="2"/>
    <s v="Tarjeta de crédito"/>
    <n v="21.6"/>
    <s v="Libre"/>
    <n v="324"/>
    <s v="Perú"/>
    <d v="1899-12-30T01:08:00"/>
    <n v="90"/>
    <s v="1:30"/>
    <d v="1899-12-30T00:00:00"/>
    <n v="137"/>
    <n v="49"/>
    <d v="2023-04-03T00:00:00"/>
    <x v="2"/>
    <x v="1"/>
    <s v="Impago"/>
    <n v="0"/>
    <n v="0"/>
  </r>
  <r>
    <n v="18"/>
    <s v="Cliente_154"/>
    <n v="1"/>
    <d v="2023-04-03T00:00:00"/>
    <d v="1899-12-30T01:00:00"/>
    <d v="2023-04-03T00:00:00"/>
    <d v="1899-12-30T02:18:00"/>
    <s v="Mesero_2"/>
    <x v="0"/>
    <s v="Tarjeta de crédito"/>
    <n v="32.5"/>
    <s v="Reservada"/>
    <n v="325"/>
    <s v="Perú"/>
    <d v="1899-12-30T01:18:00"/>
    <n v="71"/>
    <s v="1:11"/>
    <d v="1899-12-30T00:07:00"/>
    <n v="154"/>
    <n v="72"/>
    <d v="2023-04-03T00:00:00"/>
    <x v="2"/>
    <x v="0"/>
    <s v="Tarjeta de crédito"/>
    <n v="32.5"/>
    <n v="186.5"/>
  </r>
  <r>
    <n v="14"/>
    <s v="Cliente_489"/>
    <n v="4"/>
    <d v="2023-04-04T00:00:00"/>
    <d v="1899-12-30T01:39:00"/>
    <d v="2023-04-04T00:00:00"/>
    <d v="1899-12-30T05:34:00"/>
    <s v="Mesero_1"/>
    <x v="1"/>
    <s v="Tarjeta de débito"/>
    <n v="13.85"/>
    <s v="Ocupada"/>
    <n v="326"/>
    <s v="Perú"/>
    <d v="1899-12-30T04:10:00"/>
    <n v="91"/>
    <s v="1:31"/>
    <d v="1899-12-30T02:39:00"/>
    <n v="81"/>
    <n v="47"/>
    <d v="2023-04-04T00:00:00"/>
    <x v="3"/>
    <x v="0"/>
    <s v="Tarjeta de débito"/>
    <n v="13.85"/>
    <n v="94.85"/>
  </r>
  <r>
    <n v="12"/>
    <s v="Cliente_336"/>
    <n v="5"/>
    <d v="2023-04-04T00:00:00"/>
    <d v="1899-12-30T02:59:00"/>
    <d v="2023-04-04T00:00:00"/>
    <d v="1899-12-30T04:36:00"/>
    <s v="Mesero_5"/>
    <x v="2"/>
    <s v="Tarjeta de crédito"/>
    <n v="15.08"/>
    <s v="Reservada"/>
    <n v="327"/>
    <s v="Colombia"/>
    <d v="1899-12-30T01:37:00"/>
    <n v="74"/>
    <s v="1:14"/>
    <d v="1899-12-30T00:23:00"/>
    <n v="147"/>
    <n v="46"/>
    <d v="2023-04-04T00:00:00"/>
    <x v="3"/>
    <x v="0"/>
    <s v="Tarjeta de crédito"/>
    <n v="15.08"/>
    <n v="162.08000000000001"/>
  </r>
  <r>
    <n v="4"/>
    <s v="Cliente_350"/>
    <n v="3"/>
    <d v="2023-04-04T00:00:00"/>
    <d v="1899-12-30T01:44:00"/>
    <d v="2023-04-04T00:00:00"/>
    <d v="1899-12-30T04:07:00"/>
    <s v="Mesero_2"/>
    <x v="2"/>
    <s v="Tarjeta de crédito"/>
    <n v="13.85"/>
    <s v="Reservada"/>
    <n v="328"/>
    <s v="Chile"/>
    <d v="1899-12-30T02:23:00"/>
    <n v="21"/>
    <s v="0:21"/>
    <d v="1899-12-30T02:02:00"/>
    <n v="35"/>
    <n v="21"/>
    <d v="2023-04-04T00:00:00"/>
    <x v="3"/>
    <x v="0"/>
    <s v="Tarjeta de crédito"/>
    <n v="13.85"/>
    <n v="48.85"/>
  </r>
  <r>
    <n v="13"/>
    <s v="Cliente_797"/>
    <n v="1"/>
    <d v="2023-04-04T00:00:00"/>
    <d v="1899-12-30T00:26:00"/>
    <d v="2023-04-04T00:00:00"/>
    <d v="1899-12-30T02:41:00"/>
    <s v="Mesero_2"/>
    <x v="0"/>
    <s v="Tarjeta de crédito"/>
    <n v="38.89"/>
    <s v="Ocupada"/>
    <n v="329"/>
    <s v="Bolivia"/>
    <d v="1899-12-30T02:30:00"/>
    <n v="139"/>
    <s v="2:19"/>
    <d v="1899-12-30T00:11:00"/>
    <n v="207"/>
    <n v="71"/>
    <d v="2023-04-04T00:00:00"/>
    <x v="3"/>
    <x v="0"/>
    <s v="Tarjeta de crédito"/>
    <n v="38.89"/>
    <n v="245.89"/>
  </r>
  <r>
    <n v="10"/>
    <s v="Cliente_436"/>
    <n v="6"/>
    <d v="2023-04-04T00:00:00"/>
    <d v="1899-12-30T01:50:00"/>
    <d v="2023-04-04T00:00:00"/>
    <d v="1899-12-30T03:57:00"/>
    <s v="Mesero_3"/>
    <x v="1"/>
    <s v="Tarjeta de crédito"/>
    <n v="32.17"/>
    <s v="Ocupada"/>
    <n v="330"/>
    <s v="Bolivia"/>
    <d v="1899-12-30T02:22:00"/>
    <n v="140"/>
    <s v="2:20"/>
    <d v="1899-12-30T00:02:00"/>
    <n v="217"/>
    <n v="58"/>
    <d v="2023-04-04T00:00:00"/>
    <x v="3"/>
    <x v="0"/>
    <s v="Tarjeta de crédito"/>
    <n v="32.17"/>
    <n v="249.17000000000002"/>
  </r>
  <r>
    <n v="20"/>
    <s v="Cliente_597"/>
    <n v="3"/>
    <d v="2023-04-04T00:00:00"/>
    <d v="1899-12-30T03:06:00"/>
    <d v="2023-04-04T00:00:00"/>
    <d v="1899-12-30T06:17:00"/>
    <s v="Mesero_4"/>
    <x v="2"/>
    <s v="Tarjeta de débito"/>
    <n v="36.61"/>
    <s v="Reservada"/>
    <n v="331"/>
    <s v="Paraguay"/>
    <d v="1899-12-30T03:11:00"/>
    <n v="121"/>
    <s v="2:01"/>
    <d v="1899-12-30T01:10:00"/>
    <n v="173"/>
    <n v="61"/>
    <d v="2023-04-04T00:00:00"/>
    <x v="3"/>
    <x v="0"/>
    <s v="Tarjeta de débito"/>
    <n v="36.61"/>
    <n v="209.61"/>
  </r>
  <r>
    <n v="6"/>
    <s v="Cliente_823"/>
    <n v="1"/>
    <d v="2023-04-04T00:00:00"/>
    <d v="1899-12-30T00:14:00"/>
    <d v="2023-04-04T00:00:00"/>
    <d v="1899-12-30T01:29:00"/>
    <s v="Mesero_2"/>
    <x v="0"/>
    <s v="Tarjeta de débito"/>
    <n v="25.21"/>
    <s v="Reservada"/>
    <n v="332"/>
    <s v="Argentina"/>
    <d v="1899-12-30T01:15:00"/>
    <n v="17"/>
    <s v="0:17"/>
    <d v="1899-12-30T00:58:00"/>
    <n v="120"/>
    <n v="25"/>
    <d v="2023-04-04T00:00:00"/>
    <x v="3"/>
    <x v="0"/>
    <s v="Tarjeta de débito"/>
    <n v="25.21"/>
    <n v="145.21"/>
  </r>
  <r>
    <n v="6"/>
    <s v="Cliente_690"/>
    <n v="1"/>
    <d v="2023-04-04T00:00:00"/>
    <d v="1899-12-30T03:10:00"/>
    <d v="2023-04-04T00:00:00"/>
    <d v="1899-12-30T04:29:00"/>
    <s v="Mesero_4"/>
    <x v="2"/>
    <s v="Tarjeta de crédito"/>
    <n v="13.19"/>
    <s v="Libre"/>
    <n v="333"/>
    <s v="Paraguay"/>
    <d v="1899-12-30T01:19:00"/>
    <n v="61"/>
    <s v="1:01"/>
    <d v="1899-12-30T00:18:00"/>
    <n v="72"/>
    <n v="32"/>
    <d v="2023-04-04T00:00:00"/>
    <x v="3"/>
    <x v="0"/>
    <s v="Tarjeta de crédito"/>
    <n v="13.19"/>
    <n v="85.19"/>
  </r>
  <r>
    <n v="12"/>
    <s v="Cliente_216"/>
    <n v="4"/>
    <d v="2023-04-04T00:00:00"/>
    <d v="1899-12-30T02:51:00"/>
    <d v="2023-04-04T00:00:00"/>
    <d v="1899-12-30T06:31:00"/>
    <s v="Mesero_1"/>
    <x v="1"/>
    <s v="Tarjeta de crédito"/>
    <n v="17.5"/>
    <s v="Libre"/>
    <n v="334"/>
    <s v="Argentina"/>
    <d v="1899-12-30T03:40:00"/>
    <n v="156"/>
    <s v="2:36"/>
    <d v="1899-12-30T01:04:00"/>
    <n v="173"/>
    <n v="59"/>
    <d v="2023-04-04T00:00:00"/>
    <x v="3"/>
    <x v="0"/>
    <s v="Tarjeta de crédito"/>
    <n v="17.5"/>
    <n v="190.5"/>
  </r>
  <r>
    <n v="14"/>
    <s v="Cliente_546"/>
    <n v="3"/>
    <d v="2023-04-04T00:00:00"/>
    <d v="1899-12-30T01:56:00"/>
    <d v="2023-04-04T00:00:00"/>
    <d v="1899-12-30T03:09:00"/>
    <s v="Mesero_4"/>
    <x v="0"/>
    <s v="Tarjeta de débito"/>
    <n v="41.56"/>
    <s v="Libre"/>
    <n v="335"/>
    <s v="Brasil"/>
    <d v="1899-12-30T01:13:00"/>
    <n v="69"/>
    <s v="1:09"/>
    <d v="1899-12-30T00:04:00"/>
    <n v="114"/>
    <n v="34"/>
    <d v="2023-04-04T00:00:00"/>
    <x v="3"/>
    <x v="0"/>
    <s v="Tarjeta de débito"/>
    <n v="41.56"/>
    <n v="155.56"/>
  </r>
  <r>
    <n v="4"/>
    <s v="Cliente_524"/>
    <n v="5"/>
    <d v="2023-04-04T00:00:00"/>
    <d v="1899-12-30T01:35:00"/>
    <d v="2023-04-04T00:00:00"/>
    <d v="1899-12-30T04:51:00"/>
    <s v="Mesero_2"/>
    <x v="2"/>
    <s v="Tarjeta de crédito"/>
    <n v="17.93"/>
    <s v="Libre"/>
    <n v="336"/>
    <s v="Argentina"/>
    <d v="1899-12-30T03:16:00"/>
    <n v="65"/>
    <s v="1:05"/>
    <d v="1899-12-30T02:11:00"/>
    <n v="158"/>
    <n v="39"/>
    <d v="2023-04-04T00:00:00"/>
    <x v="3"/>
    <x v="0"/>
    <s v="Tarjeta de crédito"/>
    <n v="17.93"/>
    <n v="175.93"/>
  </r>
  <r>
    <n v="11"/>
    <s v="Cliente_193"/>
    <n v="2"/>
    <d v="2023-04-04T00:00:00"/>
    <d v="1899-12-30T01:38:00"/>
    <d v="2023-04-04T00:00:00"/>
    <d v="1899-12-30T04:31:00"/>
    <s v="Mesero_5"/>
    <x v="2"/>
    <s v="Tarjeta de crédito"/>
    <n v="19.28"/>
    <s v="Reservada"/>
    <n v="337"/>
    <s v="Brasil"/>
    <d v="1899-12-30T02:53:00"/>
    <n v="58"/>
    <s v="0:58"/>
    <d v="1899-12-30T01:55:00"/>
    <n v="100"/>
    <n v="30"/>
    <d v="2023-04-04T00:00:00"/>
    <x v="3"/>
    <x v="0"/>
    <s v="Tarjeta de crédito"/>
    <n v="19.28"/>
    <n v="119.28"/>
  </r>
  <r>
    <n v="18"/>
    <s v="Cliente_794"/>
    <n v="2"/>
    <d v="2023-04-04T00:00:00"/>
    <d v="1899-12-30T00:32:00"/>
    <d v="2023-04-04T00:00:00"/>
    <d v="1899-12-30T03:30:00"/>
    <s v="Mesero_5"/>
    <x v="0"/>
    <s v="Tarjeta de débito"/>
    <n v="30.62"/>
    <s v="Reservada"/>
    <n v="338"/>
    <s v="Ecuador"/>
    <d v="1899-12-30T02:58:00"/>
    <n v="143"/>
    <s v="2:23"/>
    <d v="1899-12-30T00:35:00"/>
    <n v="279"/>
    <n v="64"/>
    <d v="2023-04-04T00:00:00"/>
    <x v="3"/>
    <x v="0"/>
    <s v="Tarjeta de débito"/>
    <n v="30.62"/>
    <n v="309.62"/>
  </r>
  <r>
    <n v="13"/>
    <s v="Cliente_602"/>
    <n v="2"/>
    <d v="2023-04-04T00:00:00"/>
    <d v="1899-12-30T00:00:00"/>
    <d v="2023-04-04T00:00:00"/>
    <d v="1899-12-30T02:01:00"/>
    <s v="Mesero_3"/>
    <x v="1"/>
    <s v="Tarjeta de débito"/>
    <n v="19.600000000000001"/>
    <s v="Reservada"/>
    <n v="339"/>
    <s v="Perú"/>
    <d v="1899-12-30T02:01:00"/>
    <n v="46"/>
    <s v="0:46"/>
    <d v="1899-12-30T01:15:00"/>
    <n v="104"/>
    <n v="31"/>
    <d v="2023-04-04T00:00:00"/>
    <x v="3"/>
    <x v="0"/>
    <s v="Tarjeta de débito"/>
    <n v="19.600000000000001"/>
    <n v="123.6"/>
  </r>
  <r>
    <n v="15"/>
    <s v="Cliente_296"/>
    <n v="1"/>
    <d v="2023-04-04T00:00:00"/>
    <d v="1899-12-30T01:12:00"/>
    <d v="2023-04-04T00:00:00"/>
    <d v="1899-12-30T04:38:00"/>
    <s v="Mesero_3"/>
    <x v="0"/>
    <s v="Tarjeta de crédito"/>
    <n v="38.520000000000003"/>
    <s v="Libre"/>
    <n v="340"/>
    <s v="España"/>
    <d v="1899-12-30T03:26:00"/>
    <n v="91"/>
    <s v="1:31"/>
    <d v="1899-12-30T01:55:00"/>
    <n v="164"/>
    <n v="41"/>
    <d v="2023-04-04T00:00:00"/>
    <x v="3"/>
    <x v="0"/>
    <s v="Tarjeta de crédito"/>
    <n v="38.520000000000003"/>
    <n v="202.52"/>
  </r>
  <r>
    <n v="14"/>
    <s v="Cliente_568"/>
    <n v="5"/>
    <d v="2023-04-04T00:00:00"/>
    <d v="1899-12-30T02:05:00"/>
    <d v="2023-04-04T00:00:00"/>
    <d v="1899-12-30T04:19:00"/>
    <s v="Mesero_3"/>
    <x v="1"/>
    <s v="Tarjeta de crédito"/>
    <n v="47.05"/>
    <s v="Libre"/>
    <n v="341"/>
    <s v="Perú"/>
    <d v="1899-12-30T02:14:00"/>
    <n v="88"/>
    <s v="1:28"/>
    <d v="1899-12-30T00:46:00"/>
    <n v="177"/>
    <n v="50"/>
    <d v="2023-04-04T00:00:00"/>
    <x v="3"/>
    <x v="0"/>
    <s v="Tarjeta de crédito"/>
    <n v="47.05"/>
    <n v="224.05"/>
  </r>
  <r>
    <n v="19"/>
    <s v="Cliente_897"/>
    <n v="5"/>
    <d v="2023-04-04T00:00:00"/>
    <d v="1899-12-30T02:30:00"/>
    <d v="2023-04-04T00:00:00"/>
    <d v="1899-12-30T06:11:00"/>
    <s v="Mesero_3"/>
    <x v="1"/>
    <s v="Tarjeta de crédito"/>
    <n v="20.059999999999999"/>
    <s v="Libre"/>
    <n v="342"/>
    <s v="Bolivia"/>
    <d v="1899-12-30T03:41:00"/>
    <n v="54"/>
    <s v="0:54"/>
    <d v="1899-12-30T02:47:00"/>
    <n v="102"/>
    <n v="30"/>
    <d v="2023-04-04T00:00:00"/>
    <x v="3"/>
    <x v="0"/>
    <s v="Tarjeta de crédito"/>
    <n v="20.059999999999999"/>
    <n v="122.06"/>
  </r>
  <r>
    <n v="12"/>
    <s v="Cliente_816"/>
    <n v="1"/>
    <d v="2023-04-04T00:00:00"/>
    <d v="1899-12-30T03:56:00"/>
    <d v="2023-04-04T00:00:00"/>
    <d v="1899-12-30T05:45:00"/>
    <s v="Mesero_5"/>
    <x v="0"/>
    <s v="Tarjeta de crédito"/>
    <n v="23.01"/>
    <s v="Ocupada"/>
    <n v="343"/>
    <s v="Perú"/>
    <d v="1899-12-30T02:04:00"/>
    <n v="101"/>
    <s v="1:41"/>
    <d v="1899-12-30T00:23:00"/>
    <n v="137"/>
    <n v="34"/>
    <d v="2023-04-04T00:00:00"/>
    <x v="3"/>
    <x v="0"/>
    <s v="Tarjeta de crédito"/>
    <n v="23.01"/>
    <n v="160.01"/>
  </r>
  <r>
    <n v="15"/>
    <s v="Cliente_221"/>
    <n v="3"/>
    <d v="2023-04-04T00:00:00"/>
    <d v="1899-12-30T00:46:00"/>
    <d v="2023-04-04T00:00:00"/>
    <d v="1899-12-30T02:04:00"/>
    <s v="Mesero_2"/>
    <x v="0"/>
    <s v="Tarjeta de crédito"/>
    <n v="33.01"/>
    <s v="Ocupada"/>
    <n v="344"/>
    <s v="Chile"/>
    <d v="1899-12-30T01:33:00"/>
    <n v="86"/>
    <s v="1:26"/>
    <d v="1899-12-30T00:07:00"/>
    <n v="183"/>
    <n v="72"/>
    <d v="2023-04-04T00:00:00"/>
    <x v="3"/>
    <x v="0"/>
    <s v="Tarjeta de crédito"/>
    <n v="33.01"/>
    <n v="216.01"/>
  </r>
  <r>
    <n v="16"/>
    <s v="Cliente_755"/>
    <n v="3"/>
    <d v="2023-04-04T00:00:00"/>
    <d v="1899-12-30T01:18:00"/>
    <d v="2023-04-04T00:00:00"/>
    <d v="1899-12-30T04:19:00"/>
    <s v="Mesero_4"/>
    <x v="0"/>
    <s v="Tarjeta de crédito"/>
    <n v="13.98"/>
    <s v="Ocupada"/>
    <n v="345"/>
    <s v="Chile"/>
    <d v="1899-12-30T03:16:00"/>
    <n v="18"/>
    <s v="0:18"/>
    <d v="1899-12-30T02:58:00"/>
    <n v="38"/>
    <n v="11"/>
    <d v="2023-04-04T00:00:00"/>
    <x v="3"/>
    <x v="0"/>
    <s v="Tarjeta de crédito"/>
    <n v="13.98"/>
    <n v="51.980000000000004"/>
  </r>
  <r>
    <n v="1"/>
    <s v="Cliente_289"/>
    <n v="5"/>
    <d v="2023-04-04T00:00:00"/>
    <d v="1899-12-30T00:40:00"/>
    <d v="2023-04-04T00:00:00"/>
    <d v="1899-12-30T03:56:00"/>
    <s v="Mesero_5"/>
    <x v="0"/>
    <s v="Tarjeta de débito"/>
    <n v="35.93"/>
    <s v="Reservada"/>
    <n v="346"/>
    <s v="Argentina"/>
    <d v="1899-12-30T03:16:00"/>
    <n v="22"/>
    <s v="0:22"/>
    <d v="1899-12-30T02:54:00"/>
    <n v="72"/>
    <n v="22"/>
    <d v="2023-04-04T00:00:00"/>
    <x v="3"/>
    <x v="0"/>
    <s v="Tarjeta de débito"/>
    <n v="35.93"/>
    <n v="107.93"/>
  </r>
  <r>
    <n v="7"/>
    <s v="Cliente_476"/>
    <n v="4"/>
    <d v="2023-04-04T00:00:00"/>
    <d v="1899-12-30T01:49:00"/>
    <d v="2023-04-04T00:00:00"/>
    <d v="1899-12-30T04:34:00"/>
    <s v="Mesero_4"/>
    <x v="0"/>
    <s v="Tarjeta de crédito"/>
    <n v="48.52"/>
    <s v="Reservada"/>
    <n v="347"/>
    <s v="Chile"/>
    <d v="1899-12-30T02:45:00"/>
    <n v="44"/>
    <s v="0:44"/>
    <d v="1899-12-30T02:01:00"/>
    <n v="70"/>
    <n v="21"/>
    <d v="2023-04-04T00:00:00"/>
    <x v="3"/>
    <x v="0"/>
    <s v="Tarjeta de crédito"/>
    <n v="48.52"/>
    <n v="118.52000000000001"/>
  </r>
  <r>
    <n v="16"/>
    <s v="Cliente_940"/>
    <n v="2"/>
    <d v="2023-04-04T00:00:00"/>
    <d v="1899-12-30T01:17:00"/>
    <d v="2023-04-04T00:00:00"/>
    <d v="1899-12-30T04:59:00"/>
    <s v="Mesero_2"/>
    <x v="0"/>
    <s v="Tarjeta de crédito"/>
    <n v="30.78"/>
    <s v="Ocupada"/>
    <n v="348"/>
    <s v="Paraguay"/>
    <d v="1899-12-30T03:57:00"/>
    <n v="88"/>
    <s v="1:28"/>
    <d v="1899-12-30T02:29:00"/>
    <n v="86"/>
    <n v="27"/>
    <d v="2023-04-04T00:00:00"/>
    <x v="3"/>
    <x v="0"/>
    <s v="Tarjeta de crédito"/>
    <n v="30.78"/>
    <n v="116.78"/>
  </r>
  <r>
    <n v="13"/>
    <s v="Cliente_707"/>
    <n v="1"/>
    <d v="2023-04-04T00:00:00"/>
    <d v="1899-12-30T03:48:00"/>
    <d v="2023-04-04T00:00:00"/>
    <d v="1899-12-30T07:31:00"/>
    <s v="Mesero_5"/>
    <x v="1"/>
    <s v="Tarjeta de crédito"/>
    <n v="40.630000000000003"/>
    <s v="Ocupada"/>
    <n v="349"/>
    <s v="Brasil"/>
    <d v="1899-12-30T03:58:00"/>
    <n v="85"/>
    <s v="1:25"/>
    <d v="1899-12-30T02:33:00"/>
    <n v="152"/>
    <n v="50"/>
    <d v="2023-04-04T00:00:00"/>
    <x v="3"/>
    <x v="0"/>
    <s v="Tarjeta de crédito"/>
    <n v="40.630000000000003"/>
    <n v="192.63"/>
  </r>
  <r>
    <n v="2"/>
    <s v="Cliente_644"/>
    <n v="6"/>
    <d v="2023-04-04T00:00:00"/>
    <d v="1899-12-30T00:35:00"/>
    <d v="2023-04-04T00:00:00"/>
    <d v="1899-12-30T02:59:00"/>
    <s v="Mesero_5"/>
    <x v="1"/>
    <s v="Tarjeta de débito"/>
    <n v="36.21"/>
    <s v="Reservada"/>
    <n v="350"/>
    <s v="Colombia"/>
    <d v="1899-12-30T02:24:00"/>
    <n v="109"/>
    <s v="1:49"/>
    <d v="1899-12-30T00:35:00"/>
    <n v="143"/>
    <n v="35"/>
    <d v="2023-04-04T00:00:00"/>
    <x v="3"/>
    <x v="0"/>
    <s v="Tarjeta de débito"/>
    <n v="36.21"/>
    <n v="179.21"/>
  </r>
  <r>
    <n v="1"/>
    <s v="Cliente_619"/>
    <n v="6"/>
    <d v="2023-04-04T00:00:00"/>
    <d v="1899-12-30T03:52:00"/>
    <d v="2023-04-04T00:00:00"/>
    <d v="1899-12-30T06:09:00"/>
    <s v="Mesero_1"/>
    <x v="1"/>
    <s v="Tarjeta de crédito"/>
    <n v="48.93"/>
    <s v="Libre"/>
    <n v="351"/>
    <s v="Brasil"/>
    <d v="1899-12-30T02:17:00"/>
    <n v="25"/>
    <s v="0:25"/>
    <d v="1899-12-30T01:52:00"/>
    <n v="201"/>
    <n v="40"/>
    <d v="2023-04-04T00:00:00"/>
    <x v="3"/>
    <x v="0"/>
    <s v="Tarjeta de crédito"/>
    <n v="48.93"/>
    <n v="249.93"/>
  </r>
  <r>
    <n v="1"/>
    <s v="Cliente_780"/>
    <n v="3"/>
    <d v="2023-04-04T00:00:00"/>
    <d v="1899-12-30T00:17:00"/>
    <d v="2023-04-04T00:00:00"/>
    <d v="1899-12-30T02:53:00"/>
    <s v="Mesero_3"/>
    <x v="1"/>
    <s v="Efectivo"/>
    <n v="17.55"/>
    <s v="Reservada"/>
    <n v="352"/>
    <s v="Paraguay"/>
    <d v="1899-12-30T02:36:00"/>
    <n v="7"/>
    <s v="0:07"/>
    <d v="1899-12-30T02:29:00"/>
    <n v="99"/>
    <n v="20"/>
    <d v="2023-04-04T00:00:00"/>
    <x v="3"/>
    <x v="0"/>
    <s v="Efectivo"/>
    <n v="17.55"/>
    <n v="116.55"/>
  </r>
  <r>
    <n v="7"/>
    <s v="Cliente_833"/>
    <n v="5"/>
    <d v="2023-04-04T00:00:00"/>
    <d v="1899-12-30T03:46:00"/>
    <d v="2023-04-04T00:00:00"/>
    <d v="1899-12-30T07:36:00"/>
    <s v="Mesero_5"/>
    <x v="2"/>
    <s v="Tarjeta de crédito"/>
    <n v="27.37"/>
    <s v="Reservada"/>
    <n v="353"/>
    <s v="Brasil"/>
    <d v="1899-12-30T03:50:00"/>
    <n v="128"/>
    <s v="2:08"/>
    <d v="1899-12-30T01:42:00"/>
    <n v="212"/>
    <n v="72"/>
    <d v="2023-04-04T00:00:00"/>
    <x v="3"/>
    <x v="0"/>
    <s v="Tarjeta de crédito"/>
    <n v="27.37"/>
    <n v="239.37"/>
  </r>
  <r>
    <n v="12"/>
    <s v="Cliente_899"/>
    <n v="6"/>
    <d v="2023-04-04T00:00:00"/>
    <d v="1899-12-30T00:26:00"/>
    <d v="2023-04-04T00:00:00"/>
    <d v="1899-12-30T03:24:00"/>
    <s v="Mesero_5"/>
    <x v="1"/>
    <s v="Tarjeta de crédito"/>
    <n v="29.58"/>
    <s v="Ocupada"/>
    <n v="354"/>
    <s v="Paraguay"/>
    <d v="1899-12-30T03:13:00"/>
    <n v="137"/>
    <s v="2:17"/>
    <d v="1899-12-30T00:56:00"/>
    <n v="181"/>
    <n v="54"/>
    <d v="2023-04-04T00:00:00"/>
    <x v="3"/>
    <x v="0"/>
    <s v="Tarjeta de crédito"/>
    <n v="29.58"/>
    <n v="210.57999999999998"/>
  </r>
  <r>
    <n v="4"/>
    <s v="Cliente_523"/>
    <n v="4"/>
    <d v="2023-04-04T00:00:00"/>
    <d v="1899-12-30T01:41:00"/>
    <d v="2023-04-04T00:00:00"/>
    <d v="1899-12-30T05:07:00"/>
    <s v="Mesero_5"/>
    <x v="1"/>
    <s v="Tarjeta de crédito"/>
    <n v="30.53"/>
    <s v="Reservada"/>
    <n v="355"/>
    <s v="España"/>
    <d v="1899-12-30T03:26:00"/>
    <n v="7"/>
    <s v="0:07"/>
    <d v="1899-12-30T03:19:00"/>
    <n v="26"/>
    <n v="15"/>
    <d v="2023-04-04T00:00:00"/>
    <x v="3"/>
    <x v="0"/>
    <s v="Tarjeta de crédito"/>
    <n v="30.53"/>
    <n v="56.53"/>
  </r>
  <r>
    <n v="1"/>
    <s v="Cliente_498"/>
    <n v="1"/>
    <d v="2023-04-04T00:00:00"/>
    <d v="1899-12-30T00:12:00"/>
    <d v="2023-04-04T00:00:00"/>
    <d v="1899-12-30T02:18:00"/>
    <s v="Mesero_3"/>
    <x v="1"/>
    <s v="Tarjeta de crédito"/>
    <n v="28.92"/>
    <s v="Ocupada"/>
    <n v="356"/>
    <s v="Brasil"/>
    <d v="1899-12-30T02:21:00"/>
    <n v="7"/>
    <s v="0:07"/>
    <d v="1899-12-30T02:14:00"/>
    <n v="36"/>
    <n v="10"/>
    <d v="2023-04-04T00:00:00"/>
    <x v="3"/>
    <x v="0"/>
    <s v="Tarjeta de crédito"/>
    <n v="28.92"/>
    <n v="64.92"/>
  </r>
  <r>
    <n v="17"/>
    <s v="Cliente_470"/>
    <n v="2"/>
    <d v="2023-04-04T00:00:00"/>
    <d v="1899-12-30T01:19:00"/>
    <d v="2023-04-04T00:00:00"/>
    <d v="1899-12-30T04:26:00"/>
    <s v="Mesero_3"/>
    <x v="1"/>
    <s v="Tarjeta de débito"/>
    <n v="26.87"/>
    <s v="Ocupada"/>
    <n v="357"/>
    <s v="Chile"/>
    <d v="1899-12-30T03:22:00"/>
    <n v="96"/>
    <s v="1:36"/>
    <d v="1899-12-30T01:46:00"/>
    <n v="168"/>
    <n v="56"/>
    <d v="2023-04-04T00:00:00"/>
    <x v="3"/>
    <x v="0"/>
    <s v="Tarjeta de débito"/>
    <n v="26.87"/>
    <n v="194.87"/>
  </r>
  <r>
    <n v="13"/>
    <s v="Cliente_827"/>
    <n v="5"/>
    <d v="2023-04-04T00:00:00"/>
    <d v="1899-12-30T02:37:00"/>
    <d v="2023-04-04T00:00:00"/>
    <d v="1899-12-30T05:57:00"/>
    <s v="Mesero_5"/>
    <x v="2"/>
    <s v="Tarjeta de crédito"/>
    <n v="42.1"/>
    <s v="Reservada"/>
    <n v="358"/>
    <s v="Uruguay"/>
    <d v="1899-12-30T03:20:00"/>
    <n v="152"/>
    <s v="2:32"/>
    <d v="1899-12-30T00:48:00"/>
    <n v="166"/>
    <n v="37"/>
    <d v="2023-04-04T00:00:00"/>
    <x v="3"/>
    <x v="0"/>
    <s v="Tarjeta de crédito"/>
    <n v="42.1"/>
    <n v="208.1"/>
  </r>
  <r>
    <n v="11"/>
    <s v="Cliente_92"/>
    <n v="2"/>
    <d v="2023-04-04T00:00:00"/>
    <d v="1899-12-30T00:41:00"/>
    <d v="2023-04-04T00:00:00"/>
    <d v="1899-12-30T04:10:00"/>
    <s v="Mesero_2"/>
    <x v="0"/>
    <s v="Tarjeta de crédito"/>
    <n v="12.2"/>
    <s v="Reservada"/>
    <n v="359"/>
    <s v="Perú"/>
    <d v="1899-12-30T03:29:00"/>
    <n v="145"/>
    <s v="2:25"/>
    <d v="1899-12-30T01:04:00"/>
    <n v="190"/>
    <n v="61"/>
    <d v="2023-04-04T00:00:00"/>
    <x v="3"/>
    <x v="0"/>
    <s v="Tarjeta de crédito"/>
    <n v="12.2"/>
    <n v="202.2"/>
  </r>
  <r>
    <n v="16"/>
    <s v="Cliente_191"/>
    <n v="3"/>
    <d v="2023-04-04T00:00:00"/>
    <d v="1899-12-30T01:10:00"/>
    <d v="2023-04-04T00:00:00"/>
    <d v="1899-12-30T04:58:00"/>
    <s v="Mesero_3"/>
    <x v="0"/>
    <s v="Tarjeta de crédito"/>
    <n v="39.26"/>
    <s v="Ocupada"/>
    <n v="360"/>
    <s v="Perú"/>
    <d v="1899-12-30T04:03:00"/>
    <n v="159"/>
    <s v="2:39"/>
    <d v="1899-12-30T01:24:00"/>
    <n v="233"/>
    <n v="65"/>
    <d v="2023-04-04T00:00:00"/>
    <x v="3"/>
    <x v="0"/>
    <s v="Tarjeta de crédito"/>
    <n v="39.26"/>
    <n v="272.26"/>
  </r>
  <r>
    <n v="16"/>
    <s v="Cliente_183"/>
    <n v="1"/>
    <d v="2023-04-04T00:00:00"/>
    <d v="1899-12-30T01:53:00"/>
    <d v="2023-04-04T00:00:00"/>
    <d v="1899-12-30T05:28:00"/>
    <s v="Mesero_2"/>
    <x v="2"/>
    <s v="Efectivo"/>
    <n v="41.73"/>
    <s v="Libre"/>
    <n v="361"/>
    <s v="Colombia"/>
    <d v="1899-12-30T03:35:00"/>
    <n v="112"/>
    <s v="1:52"/>
    <d v="1899-12-30T01:43:00"/>
    <n v="101"/>
    <n v="31"/>
    <d v="2023-04-04T00:00:00"/>
    <x v="3"/>
    <x v="0"/>
    <s v="Efectivo"/>
    <n v="41.73"/>
    <n v="142.72999999999999"/>
  </r>
  <r>
    <n v="15"/>
    <s v="Cliente_681"/>
    <n v="2"/>
    <d v="2023-04-04T00:00:00"/>
    <d v="1899-12-30T02:03:00"/>
    <d v="2023-04-04T00:00:00"/>
    <d v="1899-12-30T05:59:00"/>
    <s v="Mesero_1"/>
    <x v="0"/>
    <s v="Tarjeta de crédito"/>
    <n v="47.21"/>
    <s v="Libre"/>
    <n v="362"/>
    <s v="Uruguay"/>
    <d v="1899-12-30T03:56:00"/>
    <n v="123"/>
    <s v="2:03"/>
    <d v="1899-12-30T01:53:00"/>
    <n v="62"/>
    <n v="36"/>
    <d v="2023-04-04T00:00:00"/>
    <x v="3"/>
    <x v="0"/>
    <s v="Tarjeta de crédito"/>
    <n v="47.21"/>
    <n v="109.21000000000001"/>
  </r>
  <r>
    <n v="5"/>
    <s v="Cliente_499"/>
    <n v="2"/>
    <d v="2023-04-04T00:00:00"/>
    <d v="1899-12-30T01:46:00"/>
    <d v="2023-04-04T00:00:00"/>
    <d v="1899-12-30T03:29:00"/>
    <s v="Mesero_3"/>
    <x v="0"/>
    <s v="Tarjeta de crédito"/>
    <n v="49.02"/>
    <s v="Ocupada"/>
    <n v="363"/>
    <s v="Brasil"/>
    <d v="1899-12-30T01:58:00"/>
    <n v="149"/>
    <s v="2:29"/>
    <d v="1899-12-30T00:00:00"/>
    <n v="240"/>
    <n v="74"/>
    <d v="2023-04-04T00:00:00"/>
    <x v="3"/>
    <x v="1"/>
    <s v="Impago"/>
    <n v="0"/>
    <n v="0"/>
  </r>
  <r>
    <n v="15"/>
    <s v="Cliente_495"/>
    <n v="2"/>
    <d v="2023-04-04T00:00:00"/>
    <d v="1899-12-30T03:50:00"/>
    <d v="2023-04-04T00:00:00"/>
    <d v="1899-12-30T07:10:00"/>
    <s v="Mesero_5"/>
    <x v="0"/>
    <s v="Tarjeta de débito"/>
    <n v="48.28"/>
    <s v="Reservada"/>
    <n v="364"/>
    <s v="Brasil"/>
    <d v="1899-12-30T03:20:00"/>
    <n v="112"/>
    <s v="1:52"/>
    <d v="1899-12-30T01:28:00"/>
    <n v="157"/>
    <n v="61"/>
    <d v="2023-04-04T00:00:00"/>
    <x v="3"/>
    <x v="0"/>
    <s v="Tarjeta de débito"/>
    <n v="48.28"/>
    <n v="205.28"/>
  </r>
  <r>
    <n v="4"/>
    <s v="Cliente_54"/>
    <n v="1"/>
    <d v="2023-04-04T00:00:00"/>
    <d v="1899-12-30T01:03:00"/>
    <d v="2023-04-04T00:00:00"/>
    <d v="1899-12-30T04:33:00"/>
    <s v="Mesero_3"/>
    <x v="0"/>
    <s v="Efectivo"/>
    <n v="34.97"/>
    <s v="Ocupada"/>
    <n v="365"/>
    <s v="Chile"/>
    <d v="1899-12-30T03:45:00"/>
    <n v="25"/>
    <s v="0:25"/>
    <d v="1899-12-30T03:20:00"/>
    <n v="108"/>
    <n v="22"/>
    <d v="2023-04-04T00:00:00"/>
    <x v="3"/>
    <x v="0"/>
    <s v="Efectivo"/>
    <n v="34.97"/>
    <n v="142.97"/>
  </r>
  <r>
    <n v="17"/>
    <s v="Cliente_923"/>
    <n v="5"/>
    <d v="2023-04-04T00:00:00"/>
    <d v="1899-12-30T01:33:00"/>
    <d v="2023-04-04T00:00:00"/>
    <d v="1899-12-30T04:46:00"/>
    <s v="Mesero_3"/>
    <x v="0"/>
    <s v="Efectivo"/>
    <n v="10.57"/>
    <s v="Reservada"/>
    <n v="366"/>
    <s v="Chile"/>
    <d v="1899-12-30T03:13:00"/>
    <n v="90"/>
    <s v="1:30"/>
    <d v="1899-12-30T01:43:00"/>
    <n v="239"/>
    <n v="62"/>
    <d v="2023-04-04T00:00:00"/>
    <x v="3"/>
    <x v="0"/>
    <s v="Efectivo"/>
    <n v="10.57"/>
    <n v="249.57"/>
  </r>
  <r>
    <n v="12"/>
    <s v="Cliente_453"/>
    <n v="2"/>
    <d v="2023-04-04T00:00:00"/>
    <d v="1899-12-30T00:53:00"/>
    <d v="2023-04-04T00:00:00"/>
    <d v="1899-12-30T03:45:00"/>
    <s v="Mesero_3"/>
    <x v="2"/>
    <s v="Tarjeta de crédito"/>
    <n v="12.62"/>
    <s v="Libre"/>
    <n v="367"/>
    <s v="Chile"/>
    <d v="1899-12-30T02:52:00"/>
    <n v="73"/>
    <s v="1:13"/>
    <d v="1899-12-30T01:39:00"/>
    <n v="101"/>
    <n v="44"/>
    <d v="2023-04-04T00:00:00"/>
    <x v="3"/>
    <x v="0"/>
    <s v="Tarjeta de crédito"/>
    <n v="12.62"/>
    <n v="113.62"/>
  </r>
  <r>
    <n v="13"/>
    <s v="Cliente_14"/>
    <n v="1"/>
    <d v="2023-04-04T00:00:00"/>
    <d v="1899-12-30T03:24:00"/>
    <d v="2023-04-04T00:00:00"/>
    <d v="1899-12-30T05:33:00"/>
    <s v="Mesero_1"/>
    <x v="1"/>
    <s v="Tarjeta de débito"/>
    <n v="37.65"/>
    <s v="Ocupada"/>
    <n v="368"/>
    <s v="Colombia"/>
    <d v="1899-12-30T02:24:00"/>
    <n v="85"/>
    <s v="1:25"/>
    <d v="1899-12-30T00:59:00"/>
    <n v="123"/>
    <n v="34"/>
    <d v="2023-04-04T00:00:00"/>
    <x v="3"/>
    <x v="0"/>
    <s v="Tarjeta de débito"/>
    <n v="37.65"/>
    <n v="160.65"/>
  </r>
  <r>
    <n v="20"/>
    <s v="Cliente_611"/>
    <n v="2"/>
    <d v="2023-04-04T00:00:00"/>
    <d v="1899-12-30T02:11:00"/>
    <d v="2023-04-04T00:00:00"/>
    <d v="1899-12-30T05:54:00"/>
    <s v="Mesero_5"/>
    <x v="0"/>
    <s v="Tarjeta de crédito"/>
    <n v="34.83"/>
    <s v="Libre"/>
    <n v="369"/>
    <s v="Uruguay"/>
    <d v="1899-12-30T03:43:00"/>
    <n v="42"/>
    <s v="0:42"/>
    <d v="1899-12-30T03:01:00"/>
    <n v="242"/>
    <n v="64"/>
    <d v="2023-04-04T00:00:00"/>
    <x v="3"/>
    <x v="0"/>
    <s v="Tarjeta de crédito"/>
    <n v="34.83"/>
    <n v="276.83"/>
  </r>
  <r>
    <n v="13"/>
    <s v="Cliente_666"/>
    <n v="6"/>
    <d v="2023-04-04T00:00:00"/>
    <d v="1899-12-30T02:20:00"/>
    <d v="2023-04-04T00:00:00"/>
    <d v="1899-12-30T03:23:00"/>
    <s v="Mesero_3"/>
    <x v="0"/>
    <s v="Tarjeta de crédito"/>
    <n v="47.79"/>
    <s v="Libre"/>
    <n v="370"/>
    <s v="Uruguay"/>
    <d v="1899-12-30T01:03:00"/>
    <n v="33"/>
    <s v="0:33"/>
    <d v="1899-12-30T00:30:00"/>
    <n v="72"/>
    <n v="22"/>
    <d v="2023-04-04T00:00:00"/>
    <x v="3"/>
    <x v="0"/>
    <s v="Tarjeta de crédito"/>
    <n v="47.79"/>
    <n v="119.78999999999999"/>
  </r>
  <r>
    <n v="4"/>
    <s v="Cliente_505"/>
    <n v="3"/>
    <d v="2023-04-04T00:00:00"/>
    <d v="1899-12-30T01:16:00"/>
    <d v="2023-04-04T00:00:00"/>
    <d v="1899-12-30T04:31:00"/>
    <s v="Mesero_4"/>
    <x v="2"/>
    <s v="Tarjeta de crédito"/>
    <n v="32.51"/>
    <s v="Ocupada"/>
    <n v="371"/>
    <s v="Ecuador"/>
    <d v="1899-12-30T03:30:00"/>
    <n v="49"/>
    <s v="0:49"/>
    <d v="1899-12-30T02:41:00"/>
    <n v="200"/>
    <n v="71"/>
    <d v="2023-04-04T00:00:00"/>
    <x v="3"/>
    <x v="0"/>
    <s v="Tarjeta de crédito"/>
    <n v="32.51"/>
    <n v="232.51"/>
  </r>
  <r>
    <n v="14"/>
    <s v="Cliente_858"/>
    <n v="5"/>
    <d v="2023-04-04T00:00:00"/>
    <d v="1899-12-30T02:46:00"/>
    <d v="2023-04-04T00:00:00"/>
    <d v="1899-12-30T06:14:00"/>
    <s v="Mesero_2"/>
    <x v="0"/>
    <s v="Tarjeta de crédito"/>
    <n v="17.170000000000002"/>
    <s v="Reservada"/>
    <n v="372"/>
    <s v="Brasil"/>
    <d v="1899-12-30T03:28:00"/>
    <n v="22"/>
    <s v="0:22"/>
    <d v="1899-12-30T03:06:00"/>
    <n v="36"/>
    <n v="10"/>
    <d v="2023-04-04T00:00:00"/>
    <x v="3"/>
    <x v="0"/>
    <s v="Tarjeta de crédito"/>
    <n v="17.170000000000002"/>
    <n v="53.17"/>
  </r>
  <r>
    <n v="19"/>
    <s v="Cliente_882"/>
    <n v="2"/>
    <d v="2023-04-04T00:00:00"/>
    <d v="1899-12-30T00:37:00"/>
    <d v="2023-04-04T00:00:00"/>
    <d v="1899-12-30T03:11:00"/>
    <s v="Mesero_5"/>
    <x v="1"/>
    <s v="Tarjeta de débito"/>
    <n v="26.62"/>
    <s v="Ocupada"/>
    <n v="373"/>
    <s v="Argentina"/>
    <d v="1899-12-30T02:49:00"/>
    <n v="116"/>
    <s v="1:56"/>
    <d v="1899-12-30T00:53:00"/>
    <n v="160"/>
    <n v="59"/>
    <d v="2023-04-04T00:00:00"/>
    <x v="3"/>
    <x v="0"/>
    <s v="Tarjeta de débito"/>
    <n v="26.62"/>
    <n v="186.62"/>
  </r>
  <r>
    <n v="18"/>
    <s v="Cliente_275"/>
    <n v="3"/>
    <d v="2023-04-04T00:00:00"/>
    <d v="1899-12-30T03:19:00"/>
    <d v="2023-04-04T00:00:00"/>
    <d v="1899-12-30T04:24:00"/>
    <s v="Mesero_2"/>
    <x v="0"/>
    <s v="Tarjeta de crédito"/>
    <n v="33.35"/>
    <s v="Libre"/>
    <n v="374"/>
    <s v="Paraguay"/>
    <d v="1899-12-30T01:05:00"/>
    <n v="9"/>
    <s v="0:09"/>
    <d v="1899-12-30T00:56:00"/>
    <n v="35"/>
    <n v="21"/>
    <d v="2023-04-04T00:00:00"/>
    <x v="3"/>
    <x v="0"/>
    <s v="Tarjeta de crédito"/>
    <n v="33.35"/>
    <n v="68.349999999999994"/>
  </r>
  <r>
    <n v="18"/>
    <s v="Cliente_871"/>
    <n v="1"/>
    <d v="2023-04-04T00:00:00"/>
    <d v="1899-12-30T00:17:00"/>
    <d v="2023-04-04T00:00:00"/>
    <d v="1899-12-30T03:09:00"/>
    <s v="Mesero_3"/>
    <x v="0"/>
    <s v="Tarjeta de crédito"/>
    <n v="22.3"/>
    <s v="Reservada"/>
    <n v="375"/>
    <s v="España"/>
    <d v="1899-12-30T02:52:00"/>
    <n v="27"/>
    <s v="0:27"/>
    <d v="1899-12-30T02:25:00"/>
    <n v="93"/>
    <n v="19"/>
    <d v="2023-04-04T00:00:00"/>
    <x v="3"/>
    <x v="0"/>
    <s v="Tarjeta de crédito"/>
    <n v="22.3"/>
    <n v="115.3"/>
  </r>
  <r>
    <n v="16"/>
    <s v="Cliente_183"/>
    <n v="4"/>
    <d v="2023-04-04T00:00:00"/>
    <d v="1899-12-30T02:53:00"/>
    <d v="2023-04-04T00:00:00"/>
    <d v="1899-12-30T05:12:00"/>
    <s v="Mesero_1"/>
    <x v="0"/>
    <s v="Efectivo"/>
    <n v="27.51"/>
    <s v="Ocupada"/>
    <n v="376"/>
    <s v="Ecuador"/>
    <d v="1899-12-30T02:34:00"/>
    <n v="5"/>
    <s v="0:05"/>
    <d v="1899-12-30T02:29:00"/>
    <n v="46"/>
    <n v="14"/>
    <d v="2023-04-04T00:00:00"/>
    <x v="3"/>
    <x v="0"/>
    <s v="Efectivo"/>
    <n v="27.51"/>
    <n v="73.510000000000005"/>
  </r>
  <r>
    <n v="5"/>
    <s v="Cliente_841"/>
    <n v="1"/>
    <d v="2023-04-04T00:00:00"/>
    <d v="1899-12-30T01:18:00"/>
    <d v="2023-04-04T00:00:00"/>
    <d v="1899-12-30T04:46:00"/>
    <s v="Mesero_4"/>
    <x v="0"/>
    <s v="Tarjeta de crédito"/>
    <n v="14.96"/>
    <s v="Libre"/>
    <n v="377"/>
    <s v="Paraguay"/>
    <d v="1899-12-30T03:28:00"/>
    <n v="46"/>
    <s v="0:46"/>
    <d v="1899-12-30T02:42:00"/>
    <n v="100"/>
    <n v="39"/>
    <d v="2023-04-04T00:00:00"/>
    <x v="3"/>
    <x v="0"/>
    <s v="Tarjeta de crédito"/>
    <n v="14.96"/>
    <n v="114.96000000000001"/>
  </r>
  <r>
    <n v="3"/>
    <s v="Cliente_789"/>
    <n v="1"/>
    <d v="2023-04-04T00:00:00"/>
    <d v="1899-12-30T03:55:00"/>
    <d v="2023-04-04T00:00:00"/>
    <d v="1899-12-30T05:18:00"/>
    <s v="Mesero_1"/>
    <x v="0"/>
    <s v="Efectivo"/>
    <n v="40.31"/>
    <s v="Libre"/>
    <n v="378"/>
    <s v="Perú"/>
    <d v="1899-12-30T01:23:00"/>
    <n v="21"/>
    <s v="0:21"/>
    <d v="1899-12-30T01:02:00"/>
    <n v="49"/>
    <n v="29"/>
    <d v="2023-04-04T00:00:00"/>
    <x v="3"/>
    <x v="0"/>
    <s v="Efectivo"/>
    <n v="40.31"/>
    <n v="89.31"/>
  </r>
  <r>
    <n v="4"/>
    <s v="Cliente_442"/>
    <n v="2"/>
    <d v="2023-04-04T00:00:00"/>
    <d v="1899-12-30T01:31:00"/>
    <d v="2023-04-04T00:00:00"/>
    <d v="1899-12-30T03:57:00"/>
    <s v="Mesero_3"/>
    <x v="1"/>
    <s v="Tarjeta de crédito"/>
    <n v="10.61"/>
    <s v="Ocupada"/>
    <n v="379"/>
    <s v="Chile"/>
    <d v="1899-12-30T02:41:00"/>
    <n v="6"/>
    <s v="0:06"/>
    <d v="1899-12-30T02:35:00"/>
    <n v="70"/>
    <n v="21"/>
    <d v="2023-04-04T00:00:00"/>
    <x v="3"/>
    <x v="0"/>
    <s v="Tarjeta de crédito"/>
    <n v="10.61"/>
    <n v="80.61"/>
  </r>
  <r>
    <n v="5"/>
    <s v="Cliente_964"/>
    <n v="1"/>
    <d v="2023-04-04T00:00:00"/>
    <d v="1899-12-30T00:58:00"/>
    <d v="2023-04-04T00:00:00"/>
    <d v="1899-12-30T04:33:00"/>
    <s v="Mesero_3"/>
    <x v="2"/>
    <s v="Tarjeta de débito"/>
    <n v="22.53"/>
    <s v="Libre"/>
    <n v="380"/>
    <s v="Argentina"/>
    <d v="1899-12-30T03:35:00"/>
    <n v="93"/>
    <s v="1:33"/>
    <d v="1899-12-30T02:02:00"/>
    <n v="137"/>
    <n v="31"/>
    <d v="2023-04-04T00:00:00"/>
    <x v="3"/>
    <x v="0"/>
    <s v="Tarjeta de débito"/>
    <n v="22.53"/>
    <n v="159.53"/>
  </r>
  <r>
    <n v="4"/>
    <s v="Cliente_141"/>
    <n v="1"/>
    <d v="2023-04-04T00:00:00"/>
    <d v="1899-12-30T00:57:00"/>
    <d v="2023-04-04T00:00:00"/>
    <d v="1899-12-30T04:32:00"/>
    <s v="Mesero_1"/>
    <x v="1"/>
    <s v="Tarjeta de débito"/>
    <n v="27.69"/>
    <s v="Libre"/>
    <n v="381"/>
    <s v="Uruguay"/>
    <d v="1899-12-30T03:35:00"/>
    <n v="47"/>
    <s v="0:47"/>
    <d v="1899-12-30T02:48:00"/>
    <n v="144"/>
    <n v="35"/>
    <d v="2023-04-04T00:00:00"/>
    <x v="3"/>
    <x v="0"/>
    <s v="Tarjeta de débito"/>
    <n v="27.69"/>
    <n v="171.69"/>
  </r>
  <r>
    <n v="20"/>
    <s v="Cliente_742"/>
    <n v="6"/>
    <d v="2023-04-04T00:00:00"/>
    <d v="1899-12-30T03:09:00"/>
    <d v="2023-04-04T00:00:00"/>
    <d v="1899-12-30T06:27:00"/>
    <s v="Mesero_2"/>
    <x v="2"/>
    <s v="Tarjeta de débito"/>
    <n v="19.8"/>
    <s v="Reservada"/>
    <n v="382"/>
    <s v="Ecuador"/>
    <d v="1899-12-30T03:18:00"/>
    <n v="54"/>
    <s v="0:54"/>
    <d v="1899-12-30T02:24:00"/>
    <n v="87"/>
    <n v="17"/>
    <d v="2023-04-04T00:00:00"/>
    <x v="3"/>
    <x v="0"/>
    <s v="Tarjeta de débito"/>
    <n v="19.8"/>
    <n v="106.8"/>
  </r>
  <r>
    <n v="6"/>
    <s v="Cliente_992"/>
    <n v="6"/>
    <d v="2023-04-04T00:00:00"/>
    <d v="1899-12-30T03:29:00"/>
    <d v="2023-04-04T00:00:00"/>
    <d v="1899-12-30T06:33:00"/>
    <s v="Mesero_4"/>
    <x v="0"/>
    <s v="Tarjeta de crédito"/>
    <n v="31.33"/>
    <s v="Libre"/>
    <n v="383"/>
    <s v="Chile"/>
    <d v="1899-12-30T03:04:00"/>
    <n v="9"/>
    <s v="0:09"/>
    <d v="1899-12-30T02:55:00"/>
    <n v="108"/>
    <n v="22"/>
    <d v="2023-04-04T00:00:00"/>
    <x v="3"/>
    <x v="0"/>
    <s v="Tarjeta de crédito"/>
    <n v="31.33"/>
    <n v="139.32999999999998"/>
  </r>
  <r>
    <n v="1"/>
    <s v="Cliente_622"/>
    <n v="5"/>
    <d v="2023-04-04T00:00:00"/>
    <d v="1899-12-30T00:11:00"/>
    <d v="2023-04-04T00:00:00"/>
    <d v="1899-12-30T02:33:00"/>
    <s v="Mesero_1"/>
    <x v="1"/>
    <s v="Tarjeta de débito"/>
    <n v="39.32"/>
    <s v="Reservada"/>
    <n v="384"/>
    <s v="Venezuela"/>
    <d v="1899-12-30T02:22:00"/>
    <n v="110"/>
    <s v="1:50"/>
    <d v="1899-12-30T00:32:00"/>
    <n v="120"/>
    <n v="37"/>
    <d v="2023-04-04T00:00:00"/>
    <x v="3"/>
    <x v="0"/>
    <s v="Tarjeta de débito"/>
    <n v="39.32"/>
    <n v="159.32"/>
  </r>
  <r>
    <n v="6"/>
    <s v="Cliente_508"/>
    <n v="6"/>
    <d v="2023-04-05T00:00:00"/>
    <d v="1899-12-30T03:37:00"/>
    <d v="2023-04-05T00:00:00"/>
    <d v="1899-12-30T06:43:00"/>
    <s v="Mesero_3"/>
    <x v="1"/>
    <s v="Tarjeta de crédito"/>
    <n v="11.14"/>
    <s v="Ocupada"/>
    <n v="385"/>
    <s v="España"/>
    <d v="1899-12-30T03:21:00"/>
    <n v="22"/>
    <s v="0:22"/>
    <d v="1899-12-30T02:59:00"/>
    <n v="60"/>
    <n v="18"/>
    <d v="2023-04-05T00:00:00"/>
    <x v="4"/>
    <x v="0"/>
    <s v="Tarjeta de crédito"/>
    <n v="11.14"/>
    <n v="71.14"/>
  </r>
  <r>
    <n v="5"/>
    <s v="Cliente_436"/>
    <n v="2"/>
    <d v="2023-04-05T00:00:00"/>
    <d v="1899-12-30T00:33:00"/>
    <d v="2023-04-05T00:00:00"/>
    <d v="1899-12-30T02:58:00"/>
    <s v="Mesero_4"/>
    <x v="0"/>
    <s v="Tarjeta de débito"/>
    <n v="28.96"/>
    <s v="Ocupada"/>
    <n v="386"/>
    <s v="Venezuela"/>
    <d v="1899-12-30T02:40:00"/>
    <n v="40"/>
    <s v="0:40"/>
    <d v="1899-12-30T02:00:00"/>
    <n v="99"/>
    <n v="20"/>
    <d v="2023-04-05T00:00:00"/>
    <x v="4"/>
    <x v="0"/>
    <s v="Tarjeta de débito"/>
    <n v="28.96"/>
    <n v="127.96000000000001"/>
  </r>
  <r>
    <n v="6"/>
    <s v="Cliente_676"/>
    <n v="5"/>
    <d v="2023-04-05T00:00:00"/>
    <d v="1899-12-30T03:09:00"/>
    <d v="2023-04-05T00:00:00"/>
    <d v="1899-12-30T06:10:00"/>
    <s v="Mesero_5"/>
    <x v="0"/>
    <s v="Efectivo"/>
    <n v="20.84"/>
    <s v="Ocupada"/>
    <n v="387"/>
    <s v="Venezuela"/>
    <d v="1899-12-30T03:16:00"/>
    <n v="18"/>
    <s v="0:18"/>
    <d v="1899-12-30T02:58:00"/>
    <n v="93"/>
    <n v="19"/>
    <d v="2023-04-05T00:00:00"/>
    <x v="4"/>
    <x v="0"/>
    <s v="Efectivo"/>
    <n v="20.84"/>
    <n v="113.84"/>
  </r>
  <r>
    <n v="18"/>
    <s v="Cliente_768"/>
    <n v="2"/>
    <d v="2023-04-05T00:00:00"/>
    <d v="1899-12-30T00:33:00"/>
    <d v="2023-04-05T00:00:00"/>
    <d v="1899-12-30T03:35:00"/>
    <s v="Mesero_2"/>
    <x v="0"/>
    <s v="Tarjeta de crédito"/>
    <n v="27.03"/>
    <s v="Libre"/>
    <n v="388"/>
    <s v="España"/>
    <d v="1899-12-30T03:02:00"/>
    <n v="171"/>
    <s v="2:51"/>
    <d v="1899-12-30T00:11:00"/>
    <n v="291"/>
    <n v="78"/>
    <d v="2023-04-05T00:00:00"/>
    <x v="4"/>
    <x v="0"/>
    <s v="Tarjeta de crédito"/>
    <n v="27.03"/>
    <n v="318.02999999999997"/>
  </r>
  <r>
    <n v="19"/>
    <s v="Cliente_667"/>
    <n v="5"/>
    <d v="2023-04-05T00:00:00"/>
    <d v="1899-12-30T00:02:00"/>
    <d v="2023-04-05T00:00:00"/>
    <d v="1899-12-30T02:15:00"/>
    <s v="Mesero_3"/>
    <x v="0"/>
    <s v="Tarjeta de crédito"/>
    <n v="39.14"/>
    <s v="Reservada"/>
    <n v="389"/>
    <s v="Venezuela"/>
    <d v="1899-12-30T02:13:00"/>
    <n v="24"/>
    <s v="0:24"/>
    <d v="1899-12-30T01:49:00"/>
    <n v="33"/>
    <n v="20"/>
    <d v="2023-04-05T00:00:00"/>
    <x v="4"/>
    <x v="0"/>
    <s v="Tarjeta de crédito"/>
    <n v="39.14"/>
    <n v="72.14"/>
  </r>
  <r>
    <n v="9"/>
    <s v="Cliente_874"/>
    <n v="2"/>
    <d v="2023-04-05T00:00:00"/>
    <d v="1899-12-30T02:59:00"/>
    <d v="2023-04-05T00:00:00"/>
    <d v="1899-12-30T05:19:00"/>
    <s v="Mesero_3"/>
    <x v="0"/>
    <s v="Tarjeta de crédito"/>
    <n v="42.68"/>
    <s v="Reservada"/>
    <n v="390"/>
    <s v="Chile"/>
    <d v="1899-12-30T02:20:00"/>
    <n v="93"/>
    <s v="1:33"/>
    <d v="1899-12-30T00:47:00"/>
    <n v="143"/>
    <n v="41"/>
    <d v="2023-04-05T00:00:00"/>
    <x v="4"/>
    <x v="0"/>
    <s v="Tarjeta de crédito"/>
    <n v="42.68"/>
    <n v="185.68"/>
  </r>
  <r>
    <n v="15"/>
    <s v="Cliente_609"/>
    <n v="1"/>
    <d v="2023-04-05T00:00:00"/>
    <d v="1899-12-30T02:05:00"/>
    <d v="2023-04-05T00:00:00"/>
    <d v="1899-12-30T04:09:00"/>
    <s v="Mesero_3"/>
    <x v="0"/>
    <s v="Tarjeta de crédito"/>
    <n v="48.6"/>
    <s v="Reservada"/>
    <n v="391"/>
    <s v="Ecuador"/>
    <d v="1899-12-30T02:04:00"/>
    <n v="35"/>
    <s v="0:35"/>
    <d v="1899-12-30T01:29:00"/>
    <n v="22"/>
    <n v="13"/>
    <d v="2023-04-05T00:00:00"/>
    <x v="4"/>
    <x v="0"/>
    <s v="Tarjeta de crédito"/>
    <n v="48.6"/>
    <n v="70.599999999999994"/>
  </r>
  <r>
    <n v="14"/>
    <s v="Cliente_471"/>
    <n v="3"/>
    <d v="2023-04-05T00:00:00"/>
    <d v="1899-12-30T00:33:00"/>
    <d v="2023-04-05T00:00:00"/>
    <d v="1899-12-30T04:08:00"/>
    <s v="Mesero_2"/>
    <x v="0"/>
    <s v="Tarjeta de crédito"/>
    <n v="32.729999999999997"/>
    <s v="Ocupada"/>
    <n v="392"/>
    <s v="Bolivia"/>
    <d v="1899-12-30T03:50:00"/>
    <n v="54"/>
    <s v="0:54"/>
    <d v="1899-12-30T02:56:00"/>
    <n v="120"/>
    <n v="33"/>
    <d v="2023-04-05T00:00:00"/>
    <x v="4"/>
    <x v="0"/>
    <s v="Tarjeta de crédito"/>
    <n v="32.729999999999997"/>
    <n v="152.72999999999999"/>
  </r>
  <r>
    <n v="13"/>
    <s v="Cliente_196"/>
    <n v="3"/>
    <d v="2023-04-05T00:00:00"/>
    <d v="1899-12-30T02:33:00"/>
    <d v="2023-04-05T00:00:00"/>
    <d v="1899-12-30T05:17:00"/>
    <s v="Mesero_4"/>
    <x v="0"/>
    <s v="Tarjeta de crédito"/>
    <n v="12.54"/>
    <s v="Ocupada"/>
    <n v="393"/>
    <s v="Colombia"/>
    <d v="1899-12-30T02:59:00"/>
    <n v="109"/>
    <s v="1:49"/>
    <d v="1899-12-30T01:10:00"/>
    <n v="208"/>
    <n v="58"/>
    <d v="2023-04-05T00:00:00"/>
    <x v="4"/>
    <x v="0"/>
    <s v="Tarjeta de crédito"/>
    <n v="12.54"/>
    <n v="220.54"/>
  </r>
  <r>
    <n v="17"/>
    <s v="Cliente_740"/>
    <n v="1"/>
    <d v="2023-04-05T00:00:00"/>
    <d v="1899-12-30T03:26:00"/>
    <d v="2023-04-05T00:00:00"/>
    <d v="1899-12-30T07:02:00"/>
    <s v="Mesero_3"/>
    <x v="0"/>
    <s v="Tarjeta de crédito"/>
    <n v="18.05"/>
    <s v="Ocupada"/>
    <n v="394"/>
    <s v="Brasil"/>
    <d v="1899-12-30T03:51:00"/>
    <n v="47"/>
    <s v="0:47"/>
    <d v="1899-12-30T03:04:00"/>
    <n v="77"/>
    <n v="31"/>
    <d v="2023-04-05T00:00:00"/>
    <x v="4"/>
    <x v="0"/>
    <s v="Tarjeta de crédito"/>
    <n v="18.05"/>
    <n v="95.05"/>
  </r>
  <r>
    <n v="2"/>
    <s v="Cliente_563"/>
    <n v="1"/>
    <d v="2023-04-05T00:00:00"/>
    <d v="1899-12-30T01:37:00"/>
    <d v="2023-04-05T00:00:00"/>
    <d v="1899-12-30T05:34:00"/>
    <s v="Mesero_2"/>
    <x v="0"/>
    <s v="Tarjeta de débito"/>
    <n v="40.9"/>
    <s v="Libre"/>
    <n v="395"/>
    <s v="Ecuador"/>
    <d v="1899-12-30T03:57:00"/>
    <n v="8"/>
    <s v="0:08"/>
    <d v="1899-12-30T03:49:00"/>
    <n v="38"/>
    <n v="11"/>
    <d v="2023-04-05T00:00:00"/>
    <x v="4"/>
    <x v="0"/>
    <s v="Tarjeta de débito"/>
    <n v="40.9"/>
    <n v="78.900000000000006"/>
  </r>
  <r>
    <n v="11"/>
    <s v="Cliente_991"/>
    <n v="1"/>
    <d v="2023-04-05T00:00:00"/>
    <d v="1899-12-30T00:32:00"/>
    <d v="2023-04-05T00:00:00"/>
    <d v="1899-12-30T03:36:00"/>
    <s v="Mesero_2"/>
    <x v="2"/>
    <s v="Efectivo"/>
    <n v="34.5"/>
    <s v="Libre"/>
    <n v="396"/>
    <s v="Perú"/>
    <d v="1899-12-30T03:04:00"/>
    <n v="57"/>
    <s v="0:57"/>
    <d v="1899-12-30T02:07:00"/>
    <n v="83"/>
    <n v="25"/>
    <d v="2023-04-05T00:00:00"/>
    <x v="4"/>
    <x v="0"/>
    <s v="Efectivo"/>
    <n v="34.5"/>
    <n v="117.5"/>
  </r>
  <r>
    <n v="4"/>
    <s v="Cliente_289"/>
    <n v="2"/>
    <d v="2023-04-05T00:00:00"/>
    <d v="1899-12-30T00:20:00"/>
    <d v="2023-04-05T00:00:00"/>
    <d v="1899-12-30T01:34:00"/>
    <s v="Mesero_4"/>
    <x v="1"/>
    <s v="Tarjeta de débito"/>
    <n v="37.79"/>
    <s v="Libre"/>
    <n v="397"/>
    <s v="Chile"/>
    <d v="1899-12-30T01:14:00"/>
    <n v="69"/>
    <s v="1:09"/>
    <d v="1899-12-30T00:05:00"/>
    <n v="147"/>
    <n v="35"/>
    <d v="2023-04-05T00:00:00"/>
    <x v="4"/>
    <x v="0"/>
    <s v="Tarjeta de débito"/>
    <n v="37.79"/>
    <n v="184.79"/>
  </r>
  <r>
    <n v="9"/>
    <s v="Cliente_330"/>
    <n v="5"/>
    <d v="2023-04-05T00:00:00"/>
    <d v="1899-12-30T03:10:00"/>
    <d v="2023-04-05T00:00:00"/>
    <d v="1899-12-30T07:05:00"/>
    <s v="Mesero_1"/>
    <x v="1"/>
    <s v="Tarjeta de crédito"/>
    <n v="48.96"/>
    <s v="Libre"/>
    <n v="398"/>
    <s v="Perú"/>
    <d v="1899-12-30T03:55:00"/>
    <n v="71"/>
    <s v="1:11"/>
    <d v="1899-12-30T02:44:00"/>
    <n v="122"/>
    <n v="36"/>
    <d v="2023-04-05T00:00:00"/>
    <x v="4"/>
    <x v="0"/>
    <s v="Tarjeta de crédito"/>
    <n v="48.96"/>
    <n v="170.96"/>
  </r>
  <r>
    <n v="7"/>
    <s v="Cliente_943"/>
    <n v="6"/>
    <d v="2023-04-05T00:00:00"/>
    <d v="1899-12-30T02:48:00"/>
    <d v="2023-04-05T00:00:00"/>
    <d v="1899-12-30T05:40:00"/>
    <s v="Mesero_5"/>
    <x v="0"/>
    <s v="Tarjeta de crédito"/>
    <n v="27.32"/>
    <s v="Libre"/>
    <n v="399"/>
    <s v="España"/>
    <d v="1899-12-30T02:52:00"/>
    <n v="91"/>
    <s v="1:31"/>
    <d v="1899-12-30T01:21:00"/>
    <n v="207"/>
    <n v="42"/>
    <d v="2023-04-05T00:00:00"/>
    <x v="4"/>
    <x v="0"/>
    <s v="Tarjeta de crédito"/>
    <n v="27.32"/>
    <n v="234.32"/>
  </r>
  <r>
    <n v="9"/>
    <s v="Cliente_285"/>
    <n v="4"/>
    <d v="2023-04-05T00:00:00"/>
    <d v="1899-12-30T02:11:00"/>
    <d v="2023-04-05T00:00:00"/>
    <d v="1899-12-30T04:14:00"/>
    <s v="Mesero_4"/>
    <x v="0"/>
    <s v="Tarjeta de crédito"/>
    <n v="42.96"/>
    <s v="Reservada"/>
    <n v="400"/>
    <s v="Brasil"/>
    <d v="1899-12-30T02:03:00"/>
    <n v="79"/>
    <s v="1:19"/>
    <d v="1899-12-30T00:44:00"/>
    <n v="198"/>
    <n v="60"/>
    <d v="2023-04-05T00:00:00"/>
    <x v="4"/>
    <x v="0"/>
    <s v="Tarjeta de crédito"/>
    <n v="42.96"/>
    <n v="240.96"/>
  </r>
  <r>
    <n v="16"/>
    <s v="Cliente_12"/>
    <n v="2"/>
    <d v="2023-04-05T00:00:00"/>
    <d v="1899-12-30T03:51:00"/>
    <d v="2023-04-05T00:00:00"/>
    <d v="1899-12-30T06:57:00"/>
    <s v="Mesero_2"/>
    <x v="0"/>
    <s v="Tarjeta de crédito"/>
    <n v="15.87"/>
    <s v="Ocupada"/>
    <n v="401"/>
    <s v="Paraguay"/>
    <d v="1899-12-30T03:21:00"/>
    <n v="20"/>
    <s v="0:20"/>
    <d v="1899-12-30T03:01:00"/>
    <n v="42"/>
    <n v="13"/>
    <d v="2023-04-05T00:00:00"/>
    <x v="4"/>
    <x v="0"/>
    <s v="Tarjeta de crédito"/>
    <n v="15.87"/>
    <n v="57.87"/>
  </r>
  <r>
    <n v="18"/>
    <s v="Cliente_905"/>
    <n v="1"/>
    <d v="2023-04-05T00:00:00"/>
    <d v="1899-12-30T02:41:00"/>
    <d v="2023-04-05T00:00:00"/>
    <d v="1899-12-30T05:08:00"/>
    <s v="Mesero_3"/>
    <x v="0"/>
    <s v="Tarjeta de crédito"/>
    <n v="31.02"/>
    <s v="Reservada"/>
    <n v="402"/>
    <s v="Colombia"/>
    <d v="1899-12-30T02:27:00"/>
    <n v="66"/>
    <s v="1:06"/>
    <d v="1899-12-30T01:21:00"/>
    <n v="151"/>
    <n v="39"/>
    <d v="2023-04-05T00:00:00"/>
    <x v="4"/>
    <x v="0"/>
    <s v="Tarjeta de crédito"/>
    <n v="31.02"/>
    <n v="182.02"/>
  </r>
  <r>
    <n v="14"/>
    <s v="Cliente_543"/>
    <n v="5"/>
    <d v="2023-04-05T00:00:00"/>
    <d v="1899-12-30T02:15:00"/>
    <d v="2023-04-05T00:00:00"/>
    <d v="1899-12-30T05:15:00"/>
    <s v="Mesero_1"/>
    <x v="0"/>
    <s v="Tarjeta de crédito"/>
    <n v="14.76"/>
    <s v="Libre"/>
    <n v="403"/>
    <s v="Chile"/>
    <d v="1899-12-30T03:00:00"/>
    <n v="85"/>
    <s v="1:25"/>
    <d v="1899-12-30T01:35:00"/>
    <n v="190"/>
    <n v="56"/>
    <d v="2023-04-05T00:00:00"/>
    <x v="4"/>
    <x v="0"/>
    <s v="Tarjeta de crédito"/>
    <n v="14.76"/>
    <n v="204.76"/>
  </r>
  <r>
    <n v="17"/>
    <s v="Cliente_897"/>
    <n v="2"/>
    <d v="2023-04-05T00:00:00"/>
    <d v="1899-12-30T00:38:00"/>
    <d v="2023-04-05T00:00:00"/>
    <d v="1899-12-30T04:29:00"/>
    <s v="Mesero_5"/>
    <x v="0"/>
    <s v="Tarjeta de crédito"/>
    <n v="32.56"/>
    <s v="Libre"/>
    <n v="404"/>
    <s v="España"/>
    <d v="1899-12-30T03:51:00"/>
    <n v="102"/>
    <s v="1:42"/>
    <d v="1899-12-30T02:09:00"/>
    <n v="182"/>
    <n v="50"/>
    <d v="2023-04-05T00:00:00"/>
    <x v="4"/>
    <x v="0"/>
    <s v="Tarjeta de crédito"/>
    <n v="32.56"/>
    <n v="214.56"/>
  </r>
  <r>
    <n v="5"/>
    <s v="Cliente_239"/>
    <n v="6"/>
    <d v="2023-04-05T00:00:00"/>
    <d v="1899-12-30T02:39:00"/>
    <d v="2023-04-05T00:00:00"/>
    <d v="1899-12-30T04:59:00"/>
    <s v="Mesero_2"/>
    <x v="2"/>
    <s v="Tarjeta de crédito"/>
    <n v="14.56"/>
    <s v="Reservada"/>
    <n v="405"/>
    <s v="Argentina"/>
    <d v="1899-12-30T02:20:00"/>
    <n v="98"/>
    <s v="1:38"/>
    <d v="1899-12-30T00:42:00"/>
    <n v="106"/>
    <n v="52"/>
    <d v="2023-04-05T00:00:00"/>
    <x v="4"/>
    <x v="0"/>
    <s v="Tarjeta de crédito"/>
    <n v="14.56"/>
    <n v="120.56"/>
  </r>
  <r>
    <n v="14"/>
    <s v="Cliente_927"/>
    <n v="5"/>
    <d v="2023-04-05T00:00:00"/>
    <d v="1899-12-30T00:29:00"/>
    <d v="2023-04-05T00:00:00"/>
    <d v="1899-12-30T02:37:00"/>
    <s v="Mesero_2"/>
    <x v="2"/>
    <s v="Efectivo"/>
    <n v="34.03"/>
    <s v="Ocupada"/>
    <n v="406"/>
    <s v="España"/>
    <d v="1899-12-30T02:23:00"/>
    <n v="117"/>
    <s v="1:57"/>
    <d v="1899-12-30T00:26:00"/>
    <n v="155"/>
    <n v="48"/>
    <d v="2023-04-05T00:00:00"/>
    <x v="4"/>
    <x v="0"/>
    <s v="Efectivo"/>
    <n v="34.03"/>
    <n v="189.03"/>
  </r>
  <r>
    <n v="4"/>
    <s v="Cliente_315"/>
    <n v="1"/>
    <d v="2023-04-05T00:00:00"/>
    <d v="1899-12-30T02:13:00"/>
    <d v="2023-04-05T00:00:00"/>
    <d v="1899-12-30T04:51:00"/>
    <s v="Mesero_4"/>
    <x v="1"/>
    <s v="Tarjeta de débito"/>
    <n v="22.98"/>
    <s v="Reservada"/>
    <n v="407"/>
    <s v="Ecuador"/>
    <d v="1899-12-30T02:38:00"/>
    <n v="50"/>
    <s v="0:50"/>
    <d v="1899-12-30T01:48:00"/>
    <n v="95"/>
    <n v="33"/>
    <d v="2023-04-05T00:00:00"/>
    <x v="4"/>
    <x v="0"/>
    <s v="Tarjeta de débito"/>
    <n v="22.98"/>
    <n v="117.98"/>
  </r>
  <r>
    <n v="17"/>
    <s v="Cliente_195"/>
    <n v="3"/>
    <d v="2023-04-05T00:00:00"/>
    <d v="1899-12-30T00:56:00"/>
    <d v="2023-04-05T00:00:00"/>
    <d v="1899-12-30T04:05:00"/>
    <s v="Mesero_2"/>
    <x v="0"/>
    <s v="Tarjeta de crédito"/>
    <n v="10.14"/>
    <s v="Ocupada"/>
    <n v="408"/>
    <s v="Chile"/>
    <d v="1899-12-30T03:24:00"/>
    <n v="106"/>
    <s v="1:46"/>
    <d v="1899-12-30T01:38:00"/>
    <n v="131"/>
    <n v="49"/>
    <d v="2023-04-05T00:00:00"/>
    <x v="4"/>
    <x v="0"/>
    <s v="Tarjeta de crédito"/>
    <n v="10.14"/>
    <n v="141.13999999999999"/>
  </r>
  <r>
    <n v="15"/>
    <s v="Cliente_166"/>
    <n v="5"/>
    <d v="2023-04-05T00:00:00"/>
    <d v="1899-12-30T01:55:00"/>
    <d v="2023-04-05T00:00:00"/>
    <d v="1899-12-30T03:01:00"/>
    <s v="Mesero_1"/>
    <x v="0"/>
    <s v="Tarjeta de crédito"/>
    <n v="48.7"/>
    <s v="Reservada"/>
    <n v="409"/>
    <s v="Chile"/>
    <d v="1899-12-30T01:06:00"/>
    <n v="163"/>
    <s v="2:43"/>
    <d v="1899-12-30T00:00:00"/>
    <n v="203"/>
    <n v="68"/>
    <d v="2023-04-05T00:00:00"/>
    <x v="4"/>
    <x v="1"/>
    <s v="Impago"/>
    <n v="0"/>
    <n v="0"/>
  </r>
  <r>
    <n v="1"/>
    <s v="Cliente_157"/>
    <n v="3"/>
    <d v="2023-04-05T00:00:00"/>
    <d v="1899-12-30T02:47:00"/>
    <d v="2023-04-05T00:00:00"/>
    <d v="1899-12-30T05:23:00"/>
    <s v="Mesero_4"/>
    <x v="2"/>
    <s v="Tarjeta de crédito"/>
    <n v="43.65"/>
    <s v="Reservada"/>
    <n v="410"/>
    <s v="Perú"/>
    <d v="1899-12-30T02:36:00"/>
    <n v="91"/>
    <s v="1:31"/>
    <d v="1899-12-30T01:05:00"/>
    <n v="56"/>
    <n v="34"/>
    <d v="2023-04-05T00:00:00"/>
    <x v="4"/>
    <x v="0"/>
    <s v="Tarjeta de crédito"/>
    <n v="43.65"/>
    <n v="99.65"/>
  </r>
  <r>
    <n v="3"/>
    <s v="Cliente_212"/>
    <n v="3"/>
    <d v="2023-04-05T00:00:00"/>
    <d v="1899-12-30T02:11:00"/>
    <d v="2023-04-05T00:00:00"/>
    <d v="1899-12-30T05:04:00"/>
    <s v="Mesero_1"/>
    <x v="0"/>
    <s v="Tarjeta de débito"/>
    <n v="21.88"/>
    <s v="Ocupada"/>
    <n v="411"/>
    <s v="Colombia"/>
    <d v="1899-12-30T03:08:00"/>
    <n v="78"/>
    <s v="1:18"/>
    <d v="1899-12-30T01:50:00"/>
    <n v="219"/>
    <n v="51"/>
    <d v="2023-04-05T00:00:00"/>
    <x v="4"/>
    <x v="0"/>
    <s v="Tarjeta de débito"/>
    <n v="21.88"/>
    <n v="240.88"/>
  </r>
  <r>
    <n v="11"/>
    <s v="Cliente_912"/>
    <n v="4"/>
    <d v="2023-04-05T00:00:00"/>
    <d v="1899-12-30T00:22:00"/>
    <d v="2023-04-05T00:00:00"/>
    <d v="1899-12-30T02:03:00"/>
    <s v="Mesero_5"/>
    <x v="2"/>
    <s v="Tarjeta de crédito"/>
    <n v="12.94"/>
    <s v="Ocupada"/>
    <n v="412"/>
    <s v="Perú"/>
    <d v="1899-12-30T01:56:00"/>
    <n v="57"/>
    <s v="0:57"/>
    <d v="1899-12-30T00:59:00"/>
    <n v="93"/>
    <n v="19"/>
    <d v="2023-04-05T00:00:00"/>
    <x v="4"/>
    <x v="0"/>
    <s v="Tarjeta de crédito"/>
    <n v="12.94"/>
    <n v="105.94"/>
  </r>
  <r>
    <n v="13"/>
    <s v="Cliente_736"/>
    <n v="3"/>
    <d v="2023-04-05T00:00:00"/>
    <d v="1899-12-30T02:36:00"/>
    <d v="2023-04-05T00:00:00"/>
    <d v="1899-12-30T04:58:00"/>
    <s v="Mesero_4"/>
    <x v="2"/>
    <s v="Tarjeta de crédito"/>
    <n v="23.01"/>
    <s v="Ocupada"/>
    <n v="413"/>
    <s v="Argentina"/>
    <d v="1899-12-30T02:37:00"/>
    <n v="12"/>
    <s v="0:12"/>
    <d v="1899-12-30T02:25:00"/>
    <n v="35"/>
    <n v="21"/>
    <d v="2023-04-05T00:00:00"/>
    <x v="4"/>
    <x v="0"/>
    <s v="Tarjeta de crédito"/>
    <n v="23.01"/>
    <n v="58.010000000000005"/>
  </r>
  <r>
    <n v="14"/>
    <s v="Cliente_328"/>
    <n v="6"/>
    <d v="2023-04-05T00:00:00"/>
    <d v="1899-12-30T03:43:00"/>
    <d v="2023-04-05T00:00:00"/>
    <d v="1899-12-30T07:12:00"/>
    <s v="Mesero_5"/>
    <x v="1"/>
    <s v="Tarjeta de crédito"/>
    <n v="13.17"/>
    <s v="Reservada"/>
    <n v="414"/>
    <s v="España"/>
    <d v="1899-12-30T03:29:00"/>
    <n v="38"/>
    <s v="0:38"/>
    <d v="1899-12-30T02:51:00"/>
    <n v="33"/>
    <n v="20"/>
    <d v="2023-04-05T00:00:00"/>
    <x v="4"/>
    <x v="0"/>
    <s v="Tarjeta de crédito"/>
    <n v="13.17"/>
    <n v="46.17"/>
  </r>
  <r>
    <n v="14"/>
    <s v="Cliente_919"/>
    <n v="4"/>
    <d v="2023-04-05T00:00:00"/>
    <d v="1899-12-30T00:39:00"/>
    <d v="2023-04-05T00:00:00"/>
    <d v="1899-12-30T04:35:00"/>
    <s v="Mesero_4"/>
    <x v="2"/>
    <s v="Tarjeta de crédito"/>
    <n v="20.51"/>
    <s v="Ocupada"/>
    <n v="415"/>
    <s v="Brasil"/>
    <d v="1899-12-30T04:11:00"/>
    <n v="87"/>
    <s v="1:27"/>
    <d v="1899-12-30T02:44:00"/>
    <n v="158"/>
    <n v="58"/>
    <d v="2023-04-05T00:00:00"/>
    <x v="4"/>
    <x v="0"/>
    <s v="Tarjeta de crédito"/>
    <n v="20.51"/>
    <n v="178.51"/>
  </r>
  <r>
    <n v="20"/>
    <s v="Cliente_958"/>
    <n v="2"/>
    <d v="2023-04-05T00:00:00"/>
    <d v="1899-12-30T03:03:00"/>
    <d v="2023-04-05T00:00:00"/>
    <d v="1899-12-30T06:37:00"/>
    <s v="Mesero_1"/>
    <x v="2"/>
    <s v="Tarjeta de crédito"/>
    <n v="12.9"/>
    <s v="Reservada"/>
    <n v="416"/>
    <s v="Uruguay"/>
    <d v="1899-12-30T03:34:00"/>
    <n v="9"/>
    <s v="0:09"/>
    <d v="1899-12-30T03:25:00"/>
    <n v="25"/>
    <n v="15"/>
    <d v="2023-04-05T00:00:00"/>
    <x v="4"/>
    <x v="0"/>
    <s v="Tarjeta de crédito"/>
    <n v="12.9"/>
    <n v="37.9"/>
  </r>
  <r>
    <n v="7"/>
    <s v="Cliente_395"/>
    <n v="2"/>
    <d v="2023-04-05T00:00:00"/>
    <d v="1899-12-30T03:25:00"/>
    <d v="2023-04-05T00:00:00"/>
    <d v="1899-12-30T04:33:00"/>
    <s v="Mesero_2"/>
    <x v="2"/>
    <s v="Tarjeta de crédito"/>
    <n v="35.08"/>
    <s v="Libre"/>
    <n v="417"/>
    <s v="Venezuela"/>
    <d v="1899-12-30T01:08:00"/>
    <n v="90"/>
    <s v="1:30"/>
    <d v="1899-12-30T00:00:00"/>
    <n v="142"/>
    <n v="69"/>
    <d v="2023-04-05T00:00:00"/>
    <x v="4"/>
    <x v="1"/>
    <s v="Impago"/>
    <n v="0"/>
    <n v="0"/>
  </r>
  <r>
    <n v="17"/>
    <s v="Cliente_287"/>
    <n v="4"/>
    <d v="2023-04-05T00:00:00"/>
    <d v="1899-12-30T00:52:00"/>
    <d v="2023-04-05T00:00:00"/>
    <d v="1899-12-30T03:31:00"/>
    <s v="Mesero_3"/>
    <x v="2"/>
    <s v="Tarjeta de crédito"/>
    <n v="35.51"/>
    <s v="Reservada"/>
    <n v="418"/>
    <s v="España"/>
    <d v="1899-12-30T02:39:00"/>
    <n v="100"/>
    <s v="1:40"/>
    <d v="1899-12-30T00:59:00"/>
    <n v="118"/>
    <n v="34"/>
    <d v="2023-04-05T00:00:00"/>
    <x v="4"/>
    <x v="0"/>
    <s v="Tarjeta de crédito"/>
    <n v="35.51"/>
    <n v="153.51"/>
  </r>
  <r>
    <n v="11"/>
    <s v="Cliente_479"/>
    <n v="4"/>
    <d v="2023-04-05T00:00:00"/>
    <d v="1899-12-30T03:14:00"/>
    <d v="2023-04-05T00:00:00"/>
    <d v="1899-12-30T05:43:00"/>
    <s v="Mesero_5"/>
    <x v="0"/>
    <s v="Tarjeta de crédito"/>
    <n v="14.09"/>
    <s v="Ocupada"/>
    <n v="419"/>
    <s v="Argentina"/>
    <d v="1899-12-30T02:44:00"/>
    <n v="64"/>
    <s v="1:04"/>
    <d v="1899-12-30T01:40:00"/>
    <n v="67"/>
    <n v="40"/>
    <d v="2023-04-05T00:00:00"/>
    <x v="4"/>
    <x v="0"/>
    <s v="Tarjeta de crédito"/>
    <n v="14.09"/>
    <n v="81.09"/>
  </r>
  <r>
    <n v="18"/>
    <s v="Cliente_33"/>
    <n v="6"/>
    <d v="2023-04-05T00:00:00"/>
    <d v="1899-12-30T02:18:00"/>
    <d v="2023-04-05T00:00:00"/>
    <d v="1899-12-30T05:29:00"/>
    <s v="Mesero_2"/>
    <x v="0"/>
    <s v="Tarjeta de crédito"/>
    <n v="31.49"/>
    <s v="Ocupada"/>
    <n v="420"/>
    <s v="Bolivia"/>
    <d v="1899-12-30T03:26:00"/>
    <n v="105"/>
    <s v="1:45"/>
    <d v="1899-12-30T01:41:00"/>
    <n v="242"/>
    <n v="66"/>
    <d v="2023-04-05T00:00:00"/>
    <x v="4"/>
    <x v="0"/>
    <s v="Tarjeta de crédito"/>
    <n v="31.49"/>
    <n v="273.49"/>
  </r>
  <r>
    <n v="10"/>
    <s v="Cliente_160"/>
    <n v="1"/>
    <d v="2023-04-05T00:00:00"/>
    <d v="1899-12-30T01:37:00"/>
    <d v="2023-04-05T00:00:00"/>
    <d v="1899-12-30T04:07:00"/>
    <s v="Mesero_1"/>
    <x v="0"/>
    <s v="Tarjeta de crédito"/>
    <n v="17.57"/>
    <s v="Ocupada"/>
    <n v="421"/>
    <s v="Chile"/>
    <d v="1899-12-30T02:45:00"/>
    <n v="71"/>
    <s v="1:11"/>
    <d v="1899-12-30T01:34:00"/>
    <n v="85"/>
    <n v="29"/>
    <d v="2023-04-05T00:00:00"/>
    <x v="4"/>
    <x v="0"/>
    <s v="Tarjeta de crédito"/>
    <n v="17.57"/>
    <n v="102.57"/>
  </r>
  <r>
    <n v="12"/>
    <s v="Cliente_109"/>
    <n v="6"/>
    <d v="2023-04-05T00:00:00"/>
    <d v="1899-12-30T00:36:00"/>
    <d v="2023-04-05T00:00:00"/>
    <d v="1899-12-30T03:09:00"/>
    <s v="Mesero_2"/>
    <x v="0"/>
    <s v="Tarjeta de crédito"/>
    <n v="39.72"/>
    <s v="Reservada"/>
    <n v="422"/>
    <s v="España"/>
    <d v="1899-12-30T02:33:00"/>
    <n v="34"/>
    <s v="0:34"/>
    <d v="1899-12-30T01:59:00"/>
    <n v="88"/>
    <n v="37"/>
    <d v="2023-04-05T00:00:00"/>
    <x v="4"/>
    <x v="0"/>
    <s v="Tarjeta de crédito"/>
    <n v="39.72"/>
    <n v="127.72"/>
  </r>
  <r>
    <n v="4"/>
    <s v="Cliente_151"/>
    <n v="2"/>
    <d v="2023-04-05T00:00:00"/>
    <d v="1899-12-30T02:34:00"/>
    <d v="2023-04-05T00:00:00"/>
    <d v="1899-12-30T04:57:00"/>
    <s v="Mesero_1"/>
    <x v="0"/>
    <s v="Efectivo"/>
    <n v="34.130000000000003"/>
    <s v="Libre"/>
    <n v="423"/>
    <s v="Ecuador"/>
    <d v="1899-12-30T02:23:00"/>
    <n v="31"/>
    <s v="0:31"/>
    <d v="1899-12-30T01:52:00"/>
    <n v="152"/>
    <n v="35"/>
    <d v="2023-04-05T00:00:00"/>
    <x v="4"/>
    <x v="0"/>
    <s v="Efectivo"/>
    <n v="34.130000000000003"/>
    <n v="186.13"/>
  </r>
  <r>
    <n v="13"/>
    <s v="Cliente_342"/>
    <n v="3"/>
    <d v="2023-04-05T00:00:00"/>
    <d v="1899-12-30T01:08:00"/>
    <d v="2023-04-05T00:00:00"/>
    <d v="1899-12-30T03:17:00"/>
    <s v="Mesero_2"/>
    <x v="2"/>
    <s v="Efectivo"/>
    <n v="11.02"/>
    <s v="Reservada"/>
    <n v="424"/>
    <s v="Colombia"/>
    <d v="1899-12-30T02:09:00"/>
    <n v="88"/>
    <s v="1:28"/>
    <d v="1899-12-30T00:41:00"/>
    <n v="147"/>
    <n v="29"/>
    <d v="2023-04-05T00:00:00"/>
    <x v="4"/>
    <x v="0"/>
    <s v="Efectivo"/>
    <n v="11.02"/>
    <n v="158.02000000000001"/>
  </r>
  <r>
    <n v="18"/>
    <s v="Cliente_332"/>
    <n v="3"/>
    <d v="2023-04-05T00:00:00"/>
    <d v="1899-12-30T01:24:00"/>
    <d v="2023-04-05T00:00:00"/>
    <d v="1899-12-30T03:45:00"/>
    <s v="Mesero_2"/>
    <x v="0"/>
    <s v="Tarjeta de crédito"/>
    <n v="49.43"/>
    <s v="Reservada"/>
    <n v="425"/>
    <s v="Perú"/>
    <d v="1899-12-30T02:21:00"/>
    <n v="28"/>
    <s v="0:28"/>
    <d v="1899-12-30T01:53:00"/>
    <n v="19"/>
    <n v="11"/>
    <d v="2023-04-05T00:00:00"/>
    <x v="4"/>
    <x v="0"/>
    <s v="Tarjeta de crédito"/>
    <n v="49.43"/>
    <n v="68.430000000000007"/>
  </r>
  <r>
    <n v="5"/>
    <s v="Cliente_689"/>
    <n v="2"/>
    <d v="2023-04-05T00:00:00"/>
    <d v="1899-12-30T03:11:00"/>
    <d v="2023-04-05T00:00:00"/>
    <d v="1899-12-30T05:02:00"/>
    <s v="Mesero_4"/>
    <x v="0"/>
    <s v="Tarjeta de crédito"/>
    <n v="47.8"/>
    <s v="Reservada"/>
    <n v="426"/>
    <s v="Brasil"/>
    <d v="1899-12-30T01:51:00"/>
    <n v="116"/>
    <s v="1:56"/>
    <d v="1899-12-30T00:00:00"/>
    <n v="247"/>
    <n v="73"/>
    <d v="2023-04-05T00:00:00"/>
    <x v="4"/>
    <x v="1"/>
    <s v="Impago"/>
    <n v="0"/>
    <n v="0"/>
  </r>
  <r>
    <n v="2"/>
    <s v="Cliente_953"/>
    <n v="4"/>
    <d v="2023-04-05T00:00:00"/>
    <d v="1899-12-30T02:34:00"/>
    <d v="2023-04-05T00:00:00"/>
    <d v="1899-12-30T03:43:00"/>
    <s v="Mesero_2"/>
    <x v="0"/>
    <s v="Efectivo"/>
    <n v="43.74"/>
    <s v="Libre"/>
    <n v="427"/>
    <s v="Bolivia"/>
    <d v="1899-12-30T01:09:00"/>
    <n v="166"/>
    <s v="2:46"/>
    <d v="1899-12-30T00:00:00"/>
    <n v="206"/>
    <n v="61"/>
    <d v="2023-04-05T00:00:00"/>
    <x v="4"/>
    <x v="1"/>
    <s v="Impago"/>
    <n v="0"/>
    <n v="0"/>
  </r>
  <r>
    <n v="7"/>
    <s v="Cliente_518"/>
    <n v="5"/>
    <d v="2023-04-05T00:00:00"/>
    <d v="1899-12-30T03:18:00"/>
    <d v="2023-04-05T00:00:00"/>
    <d v="1899-12-30T06:03:00"/>
    <s v="Mesero_4"/>
    <x v="1"/>
    <s v="Tarjeta de crédito"/>
    <n v="15.6"/>
    <s v="Reservada"/>
    <n v="428"/>
    <s v="Ecuador"/>
    <d v="1899-12-30T02:45:00"/>
    <n v="179"/>
    <s v="2:59"/>
    <d v="1899-12-30T00:00:00"/>
    <n v="175"/>
    <n v="73"/>
    <d v="2023-04-05T00:00:00"/>
    <x v="4"/>
    <x v="1"/>
    <s v="Impago"/>
    <n v="0"/>
    <n v="0"/>
  </r>
  <r>
    <n v="8"/>
    <s v="Cliente_348"/>
    <n v="1"/>
    <d v="2023-04-05T00:00:00"/>
    <d v="1899-12-30T00:10:00"/>
    <d v="2023-04-05T00:00:00"/>
    <d v="1899-12-30T03:46:00"/>
    <s v="Mesero_4"/>
    <x v="0"/>
    <s v="Tarjeta de crédito"/>
    <n v="10.95"/>
    <s v="Reservada"/>
    <n v="429"/>
    <s v="Brasil"/>
    <d v="1899-12-30T03:36:00"/>
    <n v="27"/>
    <s v="0:27"/>
    <d v="1899-12-30T03:09:00"/>
    <n v="78"/>
    <n v="15"/>
    <d v="2023-04-05T00:00:00"/>
    <x v="4"/>
    <x v="0"/>
    <s v="Tarjeta de crédito"/>
    <n v="10.95"/>
    <n v="88.95"/>
  </r>
  <r>
    <n v="7"/>
    <s v="Cliente_259"/>
    <n v="3"/>
    <d v="2023-04-05T00:00:00"/>
    <d v="1899-12-30T02:21:00"/>
    <d v="2023-04-05T00:00:00"/>
    <d v="1899-12-30T03:59:00"/>
    <s v="Mesero_4"/>
    <x v="0"/>
    <s v="Tarjeta de débito"/>
    <n v="42.09"/>
    <s v="Reservada"/>
    <n v="430"/>
    <s v="Venezuela"/>
    <d v="1899-12-30T01:38:00"/>
    <n v="49"/>
    <s v="0:49"/>
    <d v="1899-12-30T00:49:00"/>
    <n v="25"/>
    <n v="15"/>
    <d v="2023-04-05T00:00:00"/>
    <x v="4"/>
    <x v="0"/>
    <s v="Tarjeta de débito"/>
    <n v="42.09"/>
    <n v="67.09"/>
  </r>
  <r>
    <n v="15"/>
    <s v="Cliente_243"/>
    <n v="5"/>
    <d v="2023-04-05T00:00:00"/>
    <d v="1899-12-30T03:33:00"/>
    <d v="2023-04-05T00:00:00"/>
    <d v="1899-12-30T07:25:00"/>
    <s v="Mesero_5"/>
    <x v="0"/>
    <s v="Tarjeta de crédito"/>
    <n v="39.82"/>
    <s v="Libre"/>
    <n v="431"/>
    <s v="Argentina"/>
    <d v="1899-12-30T03:52:00"/>
    <n v="20"/>
    <s v="0:20"/>
    <d v="1899-12-30T03:32:00"/>
    <n v="60"/>
    <n v="18"/>
    <d v="2023-04-05T00:00:00"/>
    <x v="4"/>
    <x v="0"/>
    <s v="Tarjeta de crédito"/>
    <n v="39.82"/>
    <n v="99.82"/>
  </r>
  <r>
    <n v="10"/>
    <s v="Cliente_869"/>
    <n v="2"/>
    <d v="2023-04-05T00:00:00"/>
    <d v="1899-12-30T03:31:00"/>
    <d v="2023-04-05T00:00:00"/>
    <d v="1899-12-30T05:54:00"/>
    <s v="Mesero_4"/>
    <x v="2"/>
    <s v="Tarjeta de crédito"/>
    <n v="18.71"/>
    <s v="Libre"/>
    <n v="432"/>
    <s v="Colombia"/>
    <d v="1899-12-30T02:23:00"/>
    <n v="74"/>
    <s v="1:14"/>
    <d v="1899-12-30T01:09:00"/>
    <n v="109"/>
    <n v="41"/>
    <d v="2023-04-05T00:00:00"/>
    <x v="4"/>
    <x v="0"/>
    <s v="Tarjeta de crédito"/>
    <n v="18.71"/>
    <n v="127.71000000000001"/>
  </r>
  <r>
    <n v="10"/>
    <s v="Cliente_306"/>
    <n v="4"/>
    <d v="2023-04-05T00:00:00"/>
    <d v="1899-12-30T01:14:00"/>
    <d v="2023-04-05T00:00:00"/>
    <d v="1899-12-30T03:09:00"/>
    <s v="Mesero_4"/>
    <x v="0"/>
    <s v="Tarjeta de crédito"/>
    <n v="45.77"/>
    <s v="Reservada"/>
    <n v="433"/>
    <s v="Bolivia"/>
    <d v="1899-12-30T01:55:00"/>
    <n v="74"/>
    <s v="1:14"/>
    <d v="1899-12-30T00:41:00"/>
    <n v="102"/>
    <n v="32"/>
    <d v="2023-04-05T00:00:00"/>
    <x v="4"/>
    <x v="0"/>
    <s v="Tarjeta de crédito"/>
    <n v="45.77"/>
    <n v="147.77000000000001"/>
  </r>
  <r>
    <n v="15"/>
    <s v="Cliente_842"/>
    <n v="4"/>
    <d v="2023-04-05T00:00:00"/>
    <d v="1899-12-30T00:15:00"/>
    <d v="2023-04-05T00:00:00"/>
    <d v="1899-12-30T03:55:00"/>
    <s v="Mesero_4"/>
    <x v="0"/>
    <s v="Tarjeta de crédito"/>
    <n v="37.15"/>
    <s v="Reservada"/>
    <n v="434"/>
    <s v="Bolivia"/>
    <d v="1899-12-30T03:40:00"/>
    <n v="58"/>
    <s v="0:58"/>
    <d v="1899-12-30T02:42:00"/>
    <n v="96"/>
    <n v="28"/>
    <d v="2023-04-05T00:00:00"/>
    <x v="4"/>
    <x v="0"/>
    <s v="Tarjeta de crédito"/>
    <n v="37.15"/>
    <n v="133.15"/>
  </r>
  <r>
    <n v="17"/>
    <s v="Cliente_349"/>
    <n v="6"/>
    <d v="2023-04-05T00:00:00"/>
    <d v="1899-12-30T03:53:00"/>
    <d v="2023-04-05T00:00:00"/>
    <d v="1899-12-30T06:01:00"/>
    <s v="Mesero_5"/>
    <x v="0"/>
    <s v="Tarjeta de crédito"/>
    <n v="30.48"/>
    <s v="Ocupada"/>
    <n v="435"/>
    <s v="España"/>
    <d v="1899-12-30T02:23:00"/>
    <n v="111"/>
    <s v="1:51"/>
    <d v="1899-12-30T00:32:00"/>
    <n v="154"/>
    <n v="46"/>
    <d v="2023-04-05T00:00:00"/>
    <x v="4"/>
    <x v="0"/>
    <s v="Tarjeta de crédito"/>
    <n v="30.48"/>
    <n v="184.48"/>
  </r>
  <r>
    <n v="10"/>
    <s v="Cliente_316"/>
    <n v="3"/>
    <d v="2023-04-05T00:00:00"/>
    <d v="1899-12-30T00:12:00"/>
    <d v="2023-04-05T00:00:00"/>
    <d v="1899-12-30T04:04:00"/>
    <s v="Mesero_5"/>
    <x v="0"/>
    <s v="Tarjeta de crédito"/>
    <n v="10.14"/>
    <s v="Ocupada"/>
    <n v="436"/>
    <s v="Brasil"/>
    <d v="1899-12-30T04:07:00"/>
    <n v="45"/>
    <s v="0:45"/>
    <d v="1899-12-30T03:22:00"/>
    <n v="56"/>
    <n v="16"/>
    <d v="2023-04-05T00:00:00"/>
    <x v="4"/>
    <x v="0"/>
    <s v="Tarjeta de crédito"/>
    <n v="10.14"/>
    <n v="66.14"/>
  </r>
  <r>
    <n v="16"/>
    <s v="Cliente_600"/>
    <n v="6"/>
    <d v="2023-04-05T00:00:00"/>
    <d v="1899-12-30T03:02:00"/>
    <d v="2023-04-05T00:00:00"/>
    <d v="1899-12-30T05:25:00"/>
    <s v="Mesero_3"/>
    <x v="0"/>
    <s v="Tarjeta de crédito"/>
    <n v="12.56"/>
    <s v="Reservada"/>
    <n v="437"/>
    <s v="Paraguay"/>
    <d v="1899-12-30T02:23:00"/>
    <n v="51"/>
    <s v="0:51"/>
    <d v="1899-12-30T01:32:00"/>
    <n v="70"/>
    <n v="21"/>
    <d v="2023-04-05T00:00:00"/>
    <x v="4"/>
    <x v="0"/>
    <s v="Tarjeta de crédito"/>
    <n v="12.56"/>
    <n v="82.56"/>
  </r>
  <r>
    <n v="2"/>
    <s v="Cliente_732"/>
    <n v="1"/>
    <d v="2023-04-05T00:00:00"/>
    <d v="1899-12-30T03:58:00"/>
    <d v="2023-04-05T00:00:00"/>
    <d v="1899-12-30T07:33:00"/>
    <s v="Mesero_1"/>
    <x v="0"/>
    <s v="Tarjeta de crédito"/>
    <n v="19.3"/>
    <s v="Libre"/>
    <n v="438"/>
    <s v="Argentina"/>
    <d v="1899-12-30T03:35:00"/>
    <n v="51"/>
    <s v="0:51"/>
    <d v="1899-12-30T02:44:00"/>
    <n v="33"/>
    <n v="20"/>
    <d v="2023-04-05T00:00:00"/>
    <x v="4"/>
    <x v="0"/>
    <s v="Tarjeta de crédito"/>
    <n v="19.3"/>
    <n v="52.3"/>
  </r>
  <r>
    <n v="15"/>
    <s v="Cliente_807"/>
    <n v="1"/>
    <d v="2023-04-05T00:00:00"/>
    <d v="1899-12-30T00:00:00"/>
    <d v="2023-04-05T00:00:00"/>
    <d v="1899-12-30T01:23:00"/>
    <s v="Mesero_3"/>
    <x v="2"/>
    <s v="Tarjeta de crédito"/>
    <n v="25.56"/>
    <s v="Libre"/>
    <n v="439"/>
    <s v="Bolivia"/>
    <d v="1899-12-30T01:23:00"/>
    <n v="64"/>
    <s v="1:04"/>
    <d v="1899-12-30T00:19:00"/>
    <n v="177"/>
    <n v="35"/>
    <d v="2023-04-05T00:00:00"/>
    <x v="4"/>
    <x v="0"/>
    <s v="Tarjeta de crédito"/>
    <n v="25.56"/>
    <n v="202.56"/>
  </r>
  <r>
    <n v="13"/>
    <s v="Cliente_900"/>
    <n v="1"/>
    <d v="2023-04-05T00:00:00"/>
    <d v="1899-12-30T01:59:00"/>
    <d v="2023-04-05T00:00:00"/>
    <d v="1899-12-30T05:48:00"/>
    <s v="Mesero_2"/>
    <x v="0"/>
    <s v="Tarjeta de crédito"/>
    <n v="38.85"/>
    <s v="Ocupada"/>
    <n v="440"/>
    <s v="Argentina"/>
    <d v="1899-12-30T04:04:00"/>
    <n v="45"/>
    <s v="0:45"/>
    <d v="1899-12-30T03:19:00"/>
    <n v="84"/>
    <n v="25"/>
    <d v="2023-04-05T00:00:00"/>
    <x v="4"/>
    <x v="0"/>
    <s v="Tarjeta de crédito"/>
    <n v="38.85"/>
    <n v="122.85"/>
  </r>
  <r>
    <n v="13"/>
    <s v="Cliente_143"/>
    <n v="6"/>
    <d v="2023-04-05T00:00:00"/>
    <d v="1899-12-30T01:04:00"/>
    <d v="2023-04-05T00:00:00"/>
    <d v="1899-12-30T03:23:00"/>
    <s v="Mesero_2"/>
    <x v="0"/>
    <s v="Efectivo"/>
    <n v="23.31"/>
    <s v="Ocupada"/>
    <n v="441"/>
    <s v="España"/>
    <d v="1899-12-30T02:34:00"/>
    <n v="90"/>
    <s v="1:30"/>
    <d v="1899-12-30T01:04:00"/>
    <n v="183"/>
    <n v="36"/>
    <d v="2023-04-05T00:00:00"/>
    <x v="4"/>
    <x v="0"/>
    <s v="Efectivo"/>
    <n v="23.31"/>
    <n v="206.31"/>
  </r>
  <r>
    <n v="15"/>
    <s v="Cliente_405"/>
    <n v="3"/>
    <d v="2023-04-05T00:00:00"/>
    <d v="1899-12-30T02:04:00"/>
    <d v="2023-04-05T00:00:00"/>
    <d v="1899-12-30T03:18:00"/>
    <s v="Mesero_4"/>
    <x v="2"/>
    <s v="Tarjeta de crédito"/>
    <n v="21.07"/>
    <s v="Ocupada"/>
    <n v="442"/>
    <s v="Uruguay"/>
    <d v="1899-12-30T01:29:00"/>
    <n v="131"/>
    <s v="2:11"/>
    <d v="1899-12-30T00:00:00"/>
    <n v="235"/>
    <n v="57"/>
    <d v="2023-04-05T00:00:00"/>
    <x v="4"/>
    <x v="1"/>
    <s v="Impago"/>
    <n v="0"/>
    <n v="0"/>
  </r>
  <r>
    <n v="4"/>
    <s v="Cliente_332"/>
    <n v="2"/>
    <d v="2023-04-05T00:00:00"/>
    <d v="1899-12-30T01:15:00"/>
    <d v="2023-04-05T00:00:00"/>
    <d v="1899-12-30T03:14:00"/>
    <s v="Mesero_2"/>
    <x v="0"/>
    <s v="Tarjeta de débito"/>
    <n v="14.48"/>
    <s v="Libre"/>
    <n v="443"/>
    <s v="Venezuela"/>
    <d v="1899-12-30T01:59:00"/>
    <n v="155"/>
    <s v="2:35"/>
    <d v="1899-12-30T00:00:00"/>
    <n v="217"/>
    <n v="64"/>
    <d v="2023-04-05T00:00:00"/>
    <x v="4"/>
    <x v="1"/>
    <s v="Impago"/>
    <n v="0"/>
    <n v="0"/>
  </r>
  <r>
    <n v="8"/>
    <s v="Cliente_894"/>
    <n v="5"/>
    <d v="2023-04-05T00:00:00"/>
    <d v="1899-12-30T03:23:00"/>
    <d v="2023-04-05T00:00:00"/>
    <d v="1899-12-30T06:08:00"/>
    <s v="Mesero_1"/>
    <x v="0"/>
    <s v="Tarjeta de crédito"/>
    <n v="25.26"/>
    <s v="Libre"/>
    <n v="444"/>
    <s v="Argentina"/>
    <d v="1899-12-30T02:45:00"/>
    <n v="81"/>
    <s v="1:21"/>
    <d v="1899-12-30T01:24:00"/>
    <n v="95"/>
    <n v="28"/>
    <d v="2023-04-05T00:00:00"/>
    <x v="4"/>
    <x v="0"/>
    <s v="Tarjeta de crédito"/>
    <n v="25.26"/>
    <n v="120.26"/>
  </r>
  <r>
    <n v="6"/>
    <s v="Cliente_473"/>
    <n v="5"/>
    <d v="2023-04-05T00:00:00"/>
    <d v="1899-12-30T01:01:00"/>
    <d v="2023-04-05T00:00:00"/>
    <d v="1899-12-30T03:09:00"/>
    <s v="Mesero_1"/>
    <x v="1"/>
    <s v="Tarjeta de crédito"/>
    <n v="14.28"/>
    <s v="Libre"/>
    <n v="445"/>
    <s v="Paraguay"/>
    <d v="1899-12-30T02:08:00"/>
    <n v="26"/>
    <s v="0:26"/>
    <d v="1899-12-30T01:42:00"/>
    <n v="81"/>
    <n v="16"/>
    <d v="2023-04-05T00:00:00"/>
    <x v="4"/>
    <x v="0"/>
    <s v="Tarjeta de crédito"/>
    <n v="14.28"/>
    <n v="95.28"/>
  </r>
  <r>
    <n v="12"/>
    <s v="Cliente_606"/>
    <n v="2"/>
    <d v="2023-04-05T00:00:00"/>
    <d v="1899-12-30T02:48:00"/>
    <d v="2023-04-05T00:00:00"/>
    <d v="1899-12-30T06:13:00"/>
    <s v="Mesero_1"/>
    <x v="0"/>
    <s v="Tarjeta de crédito"/>
    <n v="35.24"/>
    <s v="Libre"/>
    <n v="446"/>
    <s v="Ecuador"/>
    <d v="1899-12-30T03:25:00"/>
    <n v="8"/>
    <s v="0:08"/>
    <d v="1899-12-30T03:17:00"/>
    <n v="21"/>
    <n v="13"/>
    <d v="2023-04-05T00:00:00"/>
    <x v="4"/>
    <x v="0"/>
    <s v="Tarjeta de crédito"/>
    <n v="35.24"/>
    <n v="56.24"/>
  </r>
  <r>
    <n v="8"/>
    <s v="Cliente_404"/>
    <n v="2"/>
    <d v="2023-04-05T00:00:00"/>
    <d v="1899-12-30T03:53:00"/>
    <d v="2023-04-05T00:00:00"/>
    <d v="1899-12-30T07:24:00"/>
    <s v="Mesero_4"/>
    <x v="2"/>
    <s v="Tarjeta de crédito"/>
    <n v="28.68"/>
    <s v="Libre"/>
    <n v="447"/>
    <s v="España"/>
    <d v="1899-12-30T03:31:00"/>
    <n v="86"/>
    <s v="1:26"/>
    <d v="1899-12-30T02:05:00"/>
    <n v="181"/>
    <n v="39"/>
    <d v="2023-04-05T00:00:00"/>
    <x v="4"/>
    <x v="0"/>
    <s v="Tarjeta de crédito"/>
    <n v="28.68"/>
    <n v="209.68"/>
  </r>
  <r>
    <n v="4"/>
    <s v="Cliente_216"/>
    <n v="5"/>
    <d v="2023-04-05T00:00:00"/>
    <d v="1899-12-30T00:07:00"/>
    <d v="2023-04-05T00:00:00"/>
    <d v="1899-12-30T03:35:00"/>
    <s v="Mesero_4"/>
    <x v="2"/>
    <s v="Tarjeta de crédito"/>
    <n v="35.68"/>
    <s v="Ocupada"/>
    <n v="448"/>
    <s v="Venezuela"/>
    <d v="1899-12-30T03:43:00"/>
    <n v="66"/>
    <s v="1:06"/>
    <d v="1899-12-30T02:37:00"/>
    <n v="137"/>
    <n v="31"/>
    <d v="2023-04-05T00:00:00"/>
    <x v="4"/>
    <x v="0"/>
    <s v="Tarjeta de crédito"/>
    <n v="35.68"/>
    <n v="172.68"/>
  </r>
  <r>
    <n v="3"/>
    <s v="Cliente_717"/>
    <n v="3"/>
    <d v="2023-04-05T00:00:00"/>
    <d v="1899-12-30T03:25:00"/>
    <d v="2023-04-05T00:00:00"/>
    <d v="1899-12-30T05:02:00"/>
    <s v="Mesero_3"/>
    <x v="0"/>
    <s v="Efectivo"/>
    <n v="42.25"/>
    <s v="Ocupada"/>
    <n v="449"/>
    <s v="Brasil"/>
    <d v="1899-12-30T01:52:00"/>
    <n v="33"/>
    <s v="0:33"/>
    <d v="1899-12-30T01:19:00"/>
    <n v="64"/>
    <n v="19"/>
    <d v="2023-04-05T00:00:00"/>
    <x v="4"/>
    <x v="0"/>
    <s v="Efectivo"/>
    <n v="42.25"/>
    <n v="106.25"/>
  </r>
  <r>
    <n v="9"/>
    <s v="Cliente_783"/>
    <n v="6"/>
    <d v="2023-04-05T00:00:00"/>
    <d v="1899-12-30T03:51:00"/>
    <d v="2023-04-05T00:00:00"/>
    <d v="1899-12-30T05:01:00"/>
    <s v="Mesero_3"/>
    <x v="0"/>
    <s v="Tarjeta de crédito"/>
    <n v="48.9"/>
    <s v="Ocupada"/>
    <n v="450"/>
    <s v="Bolivia"/>
    <d v="1899-12-30T01:25:00"/>
    <n v="34"/>
    <s v="0:34"/>
    <d v="1899-12-30T00:51:00"/>
    <n v="72"/>
    <n v="32"/>
    <d v="2023-04-05T00:00:00"/>
    <x v="4"/>
    <x v="0"/>
    <s v="Tarjeta de crédito"/>
    <n v="48.9"/>
    <n v="120.9"/>
  </r>
  <r>
    <n v="3"/>
    <s v="Cliente_240"/>
    <n v="1"/>
    <d v="2023-04-05T00:00:00"/>
    <d v="1899-12-30T01:17:00"/>
    <d v="2023-04-05T00:00:00"/>
    <d v="1899-12-30T02:26:00"/>
    <s v="Mesero_5"/>
    <x v="1"/>
    <s v="Tarjeta de crédito"/>
    <n v="46.37"/>
    <s v="Libre"/>
    <n v="451"/>
    <s v="Bolivia"/>
    <d v="1899-12-30T01:09:00"/>
    <n v="103"/>
    <s v="1:43"/>
    <d v="1899-12-30T00:00:00"/>
    <n v="92"/>
    <n v="55"/>
    <d v="2023-04-05T00:00:00"/>
    <x v="4"/>
    <x v="1"/>
    <s v="Impago"/>
    <n v="0"/>
    <n v="0"/>
  </r>
  <r>
    <n v="9"/>
    <s v="Cliente_589"/>
    <n v="1"/>
    <d v="2023-04-05T00:00:00"/>
    <d v="1899-12-30T02:53:00"/>
    <d v="2023-04-05T00:00:00"/>
    <d v="1899-12-30T05:19:00"/>
    <s v="Mesero_4"/>
    <x v="0"/>
    <s v="Tarjeta de crédito"/>
    <n v="43.48"/>
    <s v="Reservada"/>
    <n v="452"/>
    <s v="Uruguay"/>
    <d v="1899-12-30T02:26:00"/>
    <n v="123"/>
    <s v="2:03"/>
    <d v="1899-12-30T00:23:00"/>
    <n v="158"/>
    <n v="45"/>
    <d v="2023-04-05T00:00:00"/>
    <x v="4"/>
    <x v="0"/>
    <s v="Tarjeta de crédito"/>
    <n v="43.48"/>
    <n v="201.48"/>
  </r>
  <r>
    <n v="6"/>
    <s v="Cliente_284"/>
    <n v="1"/>
    <d v="2023-04-05T00:00:00"/>
    <d v="1899-12-30T03:42:00"/>
    <d v="2023-04-05T00:00:00"/>
    <d v="1899-12-30T05:07:00"/>
    <s v="Mesero_2"/>
    <x v="1"/>
    <s v="Tarjeta de crédito"/>
    <n v="36.83"/>
    <s v="Libre"/>
    <n v="453"/>
    <s v="Chile"/>
    <d v="1899-12-30T01:25:00"/>
    <n v="100"/>
    <s v="1:40"/>
    <d v="1899-12-30T00:00:00"/>
    <n v="130"/>
    <n v="39"/>
    <d v="2023-04-05T00:00:00"/>
    <x v="4"/>
    <x v="1"/>
    <s v="Impago"/>
    <n v="0"/>
    <n v="0"/>
  </r>
  <r>
    <n v="1"/>
    <s v="Cliente_342"/>
    <n v="3"/>
    <d v="2023-04-05T00:00:00"/>
    <d v="1899-12-30T03:26:00"/>
    <d v="2023-04-05T00:00:00"/>
    <d v="1899-12-30T04:53:00"/>
    <s v="Mesero_1"/>
    <x v="0"/>
    <s v="Tarjeta de crédito"/>
    <n v="39.619999999999997"/>
    <s v="Libre"/>
    <n v="454"/>
    <s v="Colombia"/>
    <d v="1899-12-30T01:27:00"/>
    <n v="153"/>
    <s v="2:33"/>
    <d v="1899-12-30T00:00:00"/>
    <n v="233"/>
    <n v="64"/>
    <d v="2023-04-05T00:00:00"/>
    <x v="4"/>
    <x v="1"/>
    <s v="Impago"/>
    <n v="0"/>
    <n v="0"/>
  </r>
  <r>
    <n v="12"/>
    <s v="Cliente_665"/>
    <n v="6"/>
    <d v="2023-04-05T00:00:00"/>
    <d v="1899-12-30T03:58:00"/>
    <d v="2023-04-05T00:00:00"/>
    <d v="1899-12-30T05:54:00"/>
    <s v="Mesero_5"/>
    <x v="1"/>
    <s v="Tarjeta de débito"/>
    <n v="19.7"/>
    <s v="Reservada"/>
    <n v="455"/>
    <s v="Colombia"/>
    <d v="1899-12-30T01:56:00"/>
    <n v="11"/>
    <s v="0:11"/>
    <d v="1899-12-30T01:45:00"/>
    <n v="48"/>
    <n v="14"/>
    <d v="2023-04-05T00:00:00"/>
    <x v="4"/>
    <x v="0"/>
    <s v="Tarjeta de débito"/>
    <n v="19.7"/>
    <n v="67.7"/>
  </r>
  <r>
    <n v="13"/>
    <s v="Cliente_207"/>
    <n v="6"/>
    <d v="2023-04-05T00:00:00"/>
    <d v="1899-12-30T02:12:00"/>
    <d v="2023-04-05T00:00:00"/>
    <d v="1899-12-30T05:15:00"/>
    <s v="Mesero_4"/>
    <x v="0"/>
    <s v="Tarjeta de crédito"/>
    <n v="21.94"/>
    <s v="Libre"/>
    <n v="456"/>
    <s v="Argentina"/>
    <d v="1899-12-30T03:03:00"/>
    <n v="71"/>
    <s v="1:11"/>
    <d v="1899-12-30T01:52:00"/>
    <n v="148"/>
    <n v="45"/>
    <d v="2023-04-05T00:00:00"/>
    <x v="4"/>
    <x v="0"/>
    <s v="Tarjeta de crédito"/>
    <n v="21.94"/>
    <n v="169.94"/>
  </r>
  <r>
    <n v="18"/>
    <s v="Cliente_531"/>
    <n v="6"/>
    <d v="2023-04-05T00:00:00"/>
    <d v="1899-12-30T03:48:00"/>
    <d v="2023-04-05T00:00:00"/>
    <d v="1899-12-30T07:32:00"/>
    <s v="Mesero_2"/>
    <x v="0"/>
    <s v="Efectivo"/>
    <n v="17.260000000000002"/>
    <s v="Reservada"/>
    <n v="457"/>
    <s v="Bolivia"/>
    <d v="1899-12-30T03:44:00"/>
    <n v="58"/>
    <s v="0:58"/>
    <d v="1899-12-30T02:46:00"/>
    <n v="137"/>
    <n v="31"/>
    <d v="2023-04-05T00:00:00"/>
    <x v="4"/>
    <x v="0"/>
    <s v="Efectivo"/>
    <n v="17.260000000000002"/>
    <n v="154.26"/>
  </r>
  <r>
    <n v="4"/>
    <s v="Cliente_420"/>
    <n v="3"/>
    <d v="2023-04-05T00:00:00"/>
    <d v="1899-12-30T02:41:00"/>
    <d v="2023-04-05T00:00:00"/>
    <d v="1899-12-30T04:21:00"/>
    <s v="Mesero_4"/>
    <x v="0"/>
    <s v="Tarjeta de crédito"/>
    <n v="15.21"/>
    <s v="Ocupada"/>
    <n v="458"/>
    <s v="Bolivia"/>
    <d v="1899-12-30T01:55:00"/>
    <n v="89"/>
    <s v="1:29"/>
    <d v="1899-12-30T00:26:00"/>
    <n v="268"/>
    <n v="69"/>
    <d v="2023-04-05T00:00:00"/>
    <x v="4"/>
    <x v="0"/>
    <s v="Tarjeta de crédito"/>
    <n v="15.21"/>
    <n v="283.20999999999998"/>
  </r>
  <r>
    <n v="20"/>
    <s v="Cliente_989"/>
    <n v="1"/>
    <d v="2023-04-05T00:00:00"/>
    <d v="1899-12-30T00:24:00"/>
    <d v="2023-04-05T00:00:00"/>
    <d v="1899-12-30T02:12:00"/>
    <s v="Mesero_1"/>
    <x v="0"/>
    <s v="Tarjeta de crédito"/>
    <n v="32.770000000000003"/>
    <s v="Ocupada"/>
    <n v="459"/>
    <s v="Argentina"/>
    <d v="1899-12-30T02:03:00"/>
    <n v="30"/>
    <s v="0:30"/>
    <d v="1899-12-30T01:33:00"/>
    <n v="84"/>
    <n v="16"/>
    <d v="2023-04-05T00:00:00"/>
    <x v="4"/>
    <x v="0"/>
    <s v="Tarjeta de crédito"/>
    <n v="32.770000000000003"/>
    <n v="116.77000000000001"/>
  </r>
  <r>
    <n v="19"/>
    <s v="Cliente_964"/>
    <n v="6"/>
    <d v="2023-04-05T00:00:00"/>
    <d v="1899-12-30T03:27:00"/>
    <d v="2023-04-05T00:00:00"/>
    <d v="1899-12-30T06:56:00"/>
    <s v="Mesero_4"/>
    <x v="2"/>
    <s v="Tarjeta de crédito"/>
    <n v="49.6"/>
    <s v="Libre"/>
    <n v="460"/>
    <s v="Ecuador"/>
    <d v="1899-12-30T03:29:00"/>
    <n v="124"/>
    <s v="2:04"/>
    <d v="1899-12-30T01:25:00"/>
    <n v="176"/>
    <n v="60"/>
    <d v="2023-04-05T00:00:00"/>
    <x v="4"/>
    <x v="0"/>
    <s v="Tarjeta de crédito"/>
    <n v="49.6"/>
    <n v="225.6"/>
  </r>
  <r>
    <n v="4"/>
    <s v="Cliente_421"/>
    <n v="3"/>
    <d v="2023-04-05T00:00:00"/>
    <d v="1899-12-30T02:43:00"/>
    <d v="2023-04-05T00:00:00"/>
    <d v="1899-12-30T05:55:00"/>
    <s v="Mesero_5"/>
    <x v="2"/>
    <s v="Efectivo"/>
    <n v="21.51"/>
    <s v="Libre"/>
    <n v="461"/>
    <s v="Perú"/>
    <d v="1899-12-30T03:12:00"/>
    <n v="66"/>
    <s v="1:06"/>
    <d v="1899-12-30T02:06:00"/>
    <n v="99"/>
    <n v="38"/>
    <d v="2023-04-05T00:00:00"/>
    <x v="4"/>
    <x v="0"/>
    <s v="Efectivo"/>
    <n v="21.51"/>
    <n v="120.51"/>
  </r>
  <r>
    <n v="9"/>
    <s v="Cliente_27"/>
    <n v="2"/>
    <d v="2023-04-05T00:00:00"/>
    <d v="1899-12-30T02:12:00"/>
    <d v="2023-04-05T00:00:00"/>
    <d v="1899-12-30T04:27:00"/>
    <s v="Mesero_2"/>
    <x v="0"/>
    <s v="Tarjeta de crédito"/>
    <n v="21.17"/>
    <s v="Reservada"/>
    <n v="462"/>
    <s v="España"/>
    <d v="1899-12-30T02:15:00"/>
    <n v="11"/>
    <s v="0:11"/>
    <d v="1899-12-30T02:04:00"/>
    <n v="99"/>
    <n v="20"/>
    <d v="2023-04-05T00:00:00"/>
    <x v="4"/>
    <x v="0"/>
    <s v="Tarjeta de crédito"/>
    <n v="21.17"/>
    <n v="120.17"/>
  </r>
  <r>
    <n v="7"/>
    <s v="Cliente_194"/>
    <n v="2"/>
    <d v="2023-04-05T00:00:00"/>
    <d v="1899-12-30T00:53:00"/>
    <d v="2023-04-05T00:00:00"/>
    <d v="1899-12-30T03:13:00"/>
    <s v="Mesero_2"/>
    <x v="0"/>
    <s v="Tarjeta de débito"/>
    <n v="17.07"/>
    <s v="Ocupada"/>
    <n v="463"/>
    <s v="Paraguay"/>
    <d v="1899-12-30T02:35:00"/>
    <n v="14"/>
    <s v="0:14"/>
    <d v="1899-12-30T02:21:00"/>
    <n v="93"/>
    <n v="19"/>
    <d v="2023-04-05T00:00:00"/>
    <x v="4"/>
    <x v="0"/>
    <s v="Tarjeta de débito"/>
    <n v="17.07"/>
    <n v="110.07"/>
  </r>
  <r>
    <n v="16"/>
    <s v="Cliente_440"/>
    <n v="1"/>
    <d v="2023-04-05T00:00:00"/>
    <d v="1899-12-30T01:21:00"/>
    <d v="2023-04-05T00:00:00"/>
    <d v="1899-12-30T04:39:00"/>
    <s v="Mesero_4"/>
    <x v="0"/>
    <s v="Tarjeta de crédito"/>
    <n v="48.5"/>
    <s v="Reservada"/>
    <n v="464"/>
    <s v="Chile"/>
    <d v="1899-12-30T03:18:00"/>
    <n v="84"/>
    <s v="1:24"/>
    <d v="1899-12-30T01:54:00"/>
    <n v="154"/>
    <n v="44"/>
    <d v="2023-04-05T00:00:00"/>
    <x v="4"/>
    <x v="0"/>
    <s v="Tarjeta de crédito"/>
    <n v="48.5"/>
    <n v="202.5"/>
  </r>
  <r>
    <n v="4"/>
    <s v="Cliente_876"/>
    <n v="2"/>
    <d v="2023-04-05T00:00:00"/>
    <d v="1899-12-30T01:11:00"/>
    <d v="2023-04-05T00:00:00"/>
    <d v="1899-12-30T03:38:00"/>
    <s v="Mesero_1"/>
    <x v="0"/>
    <s v="Tarjeta de crédito"/>
    <n v="44.9"/>
    <s v="Ocupada"/>
    <n v="465"/>
    <s v="Uruguay"/>
    <d v="1899-12-30T02:42:00"/>
    <n v="60"/>
    <s v="1:00"/>
    <d v="1899-12-30T01:42:00"/>
    <n v="121"/>
    <n v="29"/>
    <d v="2023-04-05T00:00:00"/>
    <x v="4"/>
    <x v="0"/>
    <s v="Tarjeta de crédito"/>
    <n v="44.9"/>
    <n v="165.9"/>
  </r>
  <r>
    <n v="4"/>
    <s v="Cliente_365"/>
    <n v="1"/>
    <d v="2023-04-05T00:00:00"/>
    <d v="1899-12-30T01:54:00"/>
    <d v="2023-04-05T00:00:00"/>
    <d v="1899-12-30T04:20:00"/>
    <s v="Mesero_1"/>
    <x v="0"/>
    <s v="Tarjeta de crédito"/>
    <n v="26.63"/>
    <s v="Libre"/>
    <n v="466"/>
    <s v="Bolivia"/>
    <d v="1899-12-30T02:26:00"/>
    <n v="145"/>
    <s v="2:25"/>
    <d v="1899-12-30T00:01:00"/>
    <n v="140"/>
    <n v="47"/>
    <d v="2023-04-05T00:00:00"/>
    <x v="4"/>
    <x v="0"/>
    <s v="Tarjeta de crédito"/>
    <n v="26.63"/>
    <n v="166.63"/>
  </r>
  <r>
    <n v="15"/>
    <s v="Cliente_185"/>
    <n v="3"/>
    <d v="2023-04-05T00:00:00"/>
    <d v="1899-12-30T02:42:00"/>
    <d v="2023-04-05T00:00:00"/>
    <d v="1899-12-30T04:14:00"/>
    <s v="Mesero_1"/>
    <x v="0"/>
    <s v="Tarjeta de débito"/>
    <n v="42.31"/>
    <s v="Reservada"/>
    <n v="467"/>
    <s v="Perú"/>
    <d v="1899-12-30T01:32:00"/>
    <n v="72"/>
    <s v="1:12"/>
    <d v="1899-12-30T00:20:00"/>
    <n v="143"/>
    <n v="33"/>
    <d v="2023-04-05T00:00:00"/>
    <x v="4"/>
    <x v="0"/>
    <s v="Tarjeta de débito"/>
    <n v="42.31"/>
    <n v="185.31"/>
  </r>
  <r>
    <n v="14"/>
    <s v="Cliente_558"/>
    <n v="6"/>
    <d v="2023-04-05T00:00:00"/>
    <d v="1899-12-30T02:59:00"/>
    <d v="2023-04-05T00:00:00"/>
    <d v="1899-12-30T05:45:00"/>
    <s v="Mesero_2"/>
    <x v="1"/>
    <s v="Tarjeta de crédito"/>
    <n v="14.28"/>
    <s v="Reservada"/>
    <n v="468"/>
    <s v="Argentina"/>
    <d v="1899-12-30T02:46:00"/>
    <n v="63"/>
    <s v="1:03"/>
    <d v="1899-12-30T01:43:00"/>
    <n v="106"/>
    <n v="39"/>
    <d v="2023-04-05T00:00:00"/>
    <x v="4"/>
    <x v="0"/>
    <s v="Tarjeta de crédito"/>
    <n v="14.28"/>
    <n v="120.28"/>
  </r>
  <r>
    <n v="1"/>
    <s v="Cliente_535"/>
    <n v="2"/>
    <d v="2023-04-05T00:00:00"/>
    <d v="1899-12-30T02:57:00"/>
    <d v="2023-04-05T00:00:00"/>
    <d v="1899-12-30T05:22:00"/>
    <s v="Mesero_1"/>
    <x v="2"/>
    <s v="Tarjeta de crédito"/>
    <n v="25.26"/>
    <s v="Reservada"/>
    <n v="469"/>
    <s v="Colombia"/>
    <d v="1899-12-30T02:25:00"/>
    <n v="66"/>
    <s v="1:06"/>
    <d v="1899-12-30T01:19:00"/>
    <n v="137"/>
    <n v="40"/>
    <d v="2023-04-05T00:00:00"/>
    <x v="4"/>
    <x v="0"/>
    <s v="Tarjeta de crédito"/>
    <n v="25.26"/>
    <n v="162.26"/>
  </r>
  <r>
    <n v="17"/>
    <s v="Cliente_18"/>
    <n v="3"/>
    <d v="2023-04-05T00:00:00"/>
    <d v="1899-12-30T01:41:00"/>
    <d v="2023-04-05T00:00:00"/>
    <d v="1899-12-30T04:17:00"/>
    <s v="Mesero_4"/>
    <x v="0"/>
    <s v="Tarjeta de crédito"/>
    <n v="47.46"/>
    <s v="Ocupada"/>
    <n v="470"/>
    <s v="Uruguay"/>
    <d v="1899-12-30T02:51:00"/>
    <n v="72"/>
    <s v="1:12"/>
    <d v="1899-12-30T01:39:00"/>
    <n v="78"/>
    <n v="24"/>
    <d v="2023-04-05T00:00:00"/>
    <x v="4"/>
    <x v="0"/>
    <s v="Tarjeta de crédito"/>
    <n v="47.46"/>
    <n v="125.46000000000001"/>
  </r>
  <r>
    <n v="7"/>
    <s v="Cliente_696"/>
    <n v="6"/>
    <d v="2023-04-05T00:00:00"/>
    <d v="1899-12-30T03:36:00"/>
    <d v="2023-04-05T00:00:00"/>
    <d v="1899-12-30T05:38:00"/>
    <s v="Mesero_4"/>
    <x v="1"/>
    <s v="Tarjeta de débito"/>
    <n v="28.49"/>
    <s v="Reservada"/>
    <n v="471"/>
    <s v="Perú"/>
    <d v="1899-12-30T02:02:00"/>
    <n v="57"/>
    <s v="0:57"/>
    <d v="1899-12-30T01:05:00"/>
    <n v="105"/>
    <n v="21"/>
    <d v="2023-04-05T00:00:00"/>
    <x v="4"/>
    <x v="0"/>
    <s v="Tarjeta de débito"/>
    <n v="28.49"/>
    <n v="133.49"/>
  </r>
  <r>
    <n v="20"/>
    <s v="Cliente_704"/>
    <n v="2"/>
    <d v="2023-04-05T00:00:00"/>
    <d v="1899-12-30T03:57:00"/>
    <d v="2023-04-05T00:00:00"/>
    <d v="1899-12-30T06:52:00"/>
    <s v="Mesero_2"/>
    <x v="0"/>
    <s v="Efectivo"/>
    <n v="36.79"/>
    <s v="Ocupada"/>
    <n v="472"/>
    <s v="Uruguay"/>
    <d v="1899-12-30T03:10:00"/>
    <n v="73"/>
    <s v="1:13"/>
    <d v="1899-12-30T01:57:00"/>
    <n v="114"/>
    <n v="34"/>
    <d v="2023-04-05T00:00:00"/>
    <x v="4"/>
    <x v="0"/>
    <s v="Efectivo"/>
    <n v="36.79"/>
    <n v="150.79"/>
  </r>
  <r>
    <n v="13"/>
    <s v="Cliente_720"/>
    <n v="4"/>
    <d v="2023-04-06T00:00:00"/>
    <d v="1899-12-30T03:36:00"/>
    <d v="2023-04-06T00:00:00"/>
    <d v="1899-12-30T07:04:00"/>
    <s v="Mesero_2"/>
    <x v="0"/>
    <s v="Tarjeta de débito"/>
    <n v="15.63"/>
    <s v="Ocupada"/>
    <n v="473"/>
    <s v="Paraguay"/>
    <d v="1899-12-30T03:43:00"/>
    <n v="61"/>
    <s v="1:01"/>
    <d v="1899-12-30T02:42:00"/>
    <n v="79"/>
    <n v="34"/>
    <d v="2023-04-06T00:00:00"/>
    <x v="5"/>
    <x v="0"/>
    <s v="Tarjeta de débito"/>
    <n v="15.63"/>
    <n v="94.63"/>
  </r>
  <r>
    <n v="2"/>
    <s v="Cliente_624"/>
    <n v="6"/>
    <d v="2023-04-06T00:00:00"/>
    <d v="1899-12-30T01:52:00"/>
    <d v="2023-04-06T00:00:00"/>
    <d v="1899-12-30T03:32:00"/>
    <s v="Mesero_4"/>
    <x v="0"/>
    <s v="Tarjeta de crédito"/>
    <n v="21.66"/>
    <s v="Libre"/>
    <n v="474"/>
    <s v="Perú"/>
    <d v="1899-12-30T01:40:00"/>
    <n v="161"/>
    <s v="2:41"/>
    <d v="1899-12-30T00:00:00"/>
    <n v="178"/>
    <n v="72"/>
    <d v="2023-04-06T00:00:00"/>
    <x v="5"/>
    <x v="1"/>
    <s v="Impago"/>
    <n v="0"/>
    <n v="0"/>
  </r>
  <r>
    <n v="18"/>
    <s v="Cliente_289"/>
    <n v="4"/>
    <d v="2023-04-06T00:00:00"/>
    <d v="1899-12-30T03:17:00"/>
    <d v="2023-04-06T00:00:00"/>
    <d v="1899-12-30T05:50:00"/>
    <s v="Mesero_5"/>
    <x v="2"/>
    <s v="Tarjeta de débito"/>
    <n v="19.55"/>
    <s v="Ocupada"/>
    <n v="475"/>
    <s v="Paraguay"/>
    <d v="1899-12-30T02:48:00"/>
    <n v="35"/>
    <s v="0:35"/>
    <d v="1899-12-30T02:13:00"/>
    <n v="174"/>
    <n v="34"/>
    <d v="2023-04-06T00:00:00"/>
    <x v="5"/>
    <x v="0"/>
    <s v="Tarjeta de débito"/>
    <n v="19.55"/>
    <n v="193.55"/>
  </r>
  <r>
    <n v="13"/>
    <s v="Cliente_434"/>
    <n v="2"/>
    <d v="2023-04-06T00:00:00"/>
    <d v="1899-12-30T00:03:00"/>
    <d v="2023-04-06T00:00:00"/>
    <d v="1899-12-30T01:47:00"/>
    <s v="Mesero_3"/>
    <x v="1"/>
    <s v="Tarjeta de débito"/>
    <n v="43.53"/>
    <s v="Ocupada"/>
    <n v="476"/>
    <s v="Paraguay"/>
    <d v="1899-12-30T01:59:00"/>
    <n v="115"/>
    <s v="1:55"/>
    <d v="1899-12-30T00:04:00"/>
    <n v="218"/>
    <n v="78"/>
    <d v="2023-04-06T00:00:00"/>
    <x v="5"/>
    <x v="0"/>
    <s v="Tarjeta de débito"/>
    <n v="43.53"/>
    <n v="261.52999999999997"/>
  </r>
  <r>
    <n v="8"/>
    <s v="Cliente_149"/>
    <n v="6"/>
    <d v="2023-04-06T00:00:00"/>
    <d v="1899-12-30T01:39:00"/>
    <d v="2023-04-06T00:00:00"/>
    <d v="1899-12-30T02:58:00"/>
    <s v="Mesero_4"/>
    <x v="1"/>
    <s v="Tarjeta de crédito"/>
    <n v="33.85"/>
    <s v="Reservada"/>
    <n v="477"/>
    <s v="Colombia"/>
    <d v="1899-12-30T01:19:00"/>
    <n v="115"/>
    <s v="1:55"/>
    <d v="1899-12-30T00:00:00"/>
    <n v="204"/>
    <n v="61"/>
    <d v="2023-04-06T00:00:00"/>
    <x v="5"/>
    <x v="1"/>
    <s v="Impago"/>
    <n v="0"/>
    <n v="0"/>
  </r>
  <r>
    <n v="7"/>
    <s v="Cliente_29"/>
    <n v="5"/>
    <d v="2023-04-06T00:00:00"/>
    <d v="1899-12-30T00:01:00"/>
    <d v="2023-04-06T00:00:00"/>
    <d v="1899-12-30T03:28:00"/>
    <s v="Mesero_1"/>
    <x v="0"/>
    <s v="Efectivo"/>
    <n v="32.78"/>
    <s v="Ocupada"/>
    <n v="478"/>
    <s v="Bolivia"/>
    <d v="1899-12-30T03:42:00"/>
    <n v="90"/>
    <s v="1:30"/>
    <d v="1899-12-30T02:12:00"/>
    <n v="118"/>
    <n v="35"/>
    <d v="2023-04-06T00:00:00"/>
    <x v="5"/>
    <x v="0"/>
    <s v="Efectivo"/>
    <n v="32.78"/>
    <n v="150.78"/>
  </r>
  <r>
    <n v="1"/>
    <s v="Cliente_708"/>
    <n v="3"/>
    <d v="2023-04-06T00:00:00"/>
    <d v="1899-12-30T00:42:00"/>
    <d v="2023-04-06T00:00:00"/>
    <d v="1899-12-30T04:30:00"/>
    <s v="Mesero_3"/>
    <x v="0"/>
    <s v="Tarjeta de débito"/>
    <n v="39.58"/>
    <s v="Reservada"/>
    <n v="479"/>
    <s v="Argentina"/>
    <d v="1899-12-30T03:48:00"/>
    <n v="83"/>
    <s v="1:23"/>
    <d v="1899-12-30T02:25:00"/>
    <n v="52"/>
    <n v="30"/>
    <d v="2023-04-06T00:00:00"/>
    <x v="5"/>
    <x v="0"/>
    <s v="Tarjeta de débito"/>
    <n v="39.58"/>
    <n v="91.58"/>
  </r>
  <r>
    <n v="1"/>
    <s v="Cliente_125"/>
    <n v="5"/>
    <d v="2023-04-06T00:00:00"/>
    <d v="1899-12-30T03:26:00"/>
    <d v="2023-04-06T00:00:00"/>
    <d v="1899-12-30T07:19:00"/>
    <s v="Mesero_5"/>
    <x v="1"/>
    <s v="Efectivo"/>
    <n v="18.63"/>
    <s v="Reservada"/>
    <n v="480"/>
    <s v="Uruguay"/>
    <d v="1899-12-30T03:53:00"/>
    <n v="65"/>
    <s v="1:05"/>
    <d v="1899-12-30T02:48:00"/>
    <n v="159"/>
    <n v="37"/>
    <d v="2023-04-06T00:00:00"/>
    <x v="5"/>
    <x v="0"/>
    <s v="Efectivo"/>
    <n v="18.63"/>
    <n v="177.63"/>
  </r>
  <r>
    <n v="9"/>
    <s v="Cliente_618"/>
    <n v="4"/>
    <d v="2023-04-06T00:00:00"/>
    <d v="1899-12-30T01:57:00"/>
    <d v="2023-04-06T00:00:00"/>
    <d v="1899-12-30T04:43:00"/>
    <s v="Mesero_1"/>
    <x v="0"/>
    <s v="Tarjeta de crédito"/>
    <n v="42.02"/>
    <s v="Reservada"/>
    <n v="481"/>
    <s v="Perú"/>
    <d v="1899-12-30T02:46:00"/>
    <n v="58"/>
    <s v="0:58"/>
    <d v="1899-12-30T01:48:00"/>
    <n v="52"/>
    <n v="15"/>
    <d v="2023-04-06T00:00:00"/>
    <x v="5"/>
    <x v="0"/>
    <s v="Tarjeta de crédito"/>
    <n v="42.02"/>
    <n v="94.02000000000001"/>
  </r>
  <r>
    <n v="9"/>
    <s v="Cliente_115"/>
    <n v="4"/>
    <d v="2023-04-06T00:00:00"/>
    <d v="1899-12-30T00:41:00"/>
    <d v="2023-04-06T00:00:00"/>
    <d v="1899-12-30T02:59:00"/>
    <s v="Mesero_3"/>
    <x v="1"/>
    <s v="Tarjeta de crédito"/>
    <n v="18.84"/>
    <s v="Libre"/>
    <n v="482"/>
    <s v="Colombia"/>
    <d v="1899-12-30T02:18:00"/>
    <n v="21"/>
    <s v="0:21"/>
    <d v="1899-12-30T01:57:00"/>
    <n v="63"/>
    <n v="13"/>
    <d v="2023-04-06T00:00:00"/>
    <x v="5"/>
    <x v="0"/>
    <s v="Tarjeta de crédito"/>
    <n v="18.84"/>
    <n v="81.84"/>
  </r>
  <r>
    <n v="2"/>
    <s v="Cliente_527"/>
    <n v="4"/>
    <d v="2023-04-06T00:00:00"/>
    <d v="1899-12-30T03:50:00"/>
    <d v="2023-04-06T00:00:00"/>
    <d v="1899-12-30T07:01:00"/>
    <s v="Mesero_1"/>
    <x v="0"/>
    <s v="Tarjeta de crédito"/>
    <n v="12.74"/>
    <s v="Reservada"/>
    <n v="483"/>
    <s v="Ecuador"/>
    <d v="1899-12-30T03:11:00"/>
    <n v="53"/>
    <s v="0:53"/>
    <d v="1899-12-30T02:18:00"/>
    <n v="81"/>
    <n v="16"/>
    <d v="2023-04-06T00:00:00"/>
    <x v="5"/>
    <x v="0"/>
    <s v="Tarjeta de crédito"/>
    <n v="12.74"/>
    <n v="93.74"/>
  </r>
  <r>
    <n v="18"/>
    <s v="Cliente_71"/>
    <n v="2"/>
    <d v="2023-04-06T00:00:00"/>
    <d v="1899-12-30T01:33:00"/>
    <d v="2023-04-06T00:00:00"/>
    <d v="1899-12-30T04:31:00"/>
    <s v="Mesero_4"/>
    <x v="0"/>
    <s v="Tarjeta de crédito"/>
    <n v="22.76"/>
    <s v="Libre"/>
    <n v="484"/>
    <s v="Chile"/>
    <d v="1899-12-30T02:58:00"/>
    <n v="34"/>
    <s v="0:34"/>
    <d v="1899-12-30T02:24:00"/>
    <n v="75"/>
    <n v="15"/>
    <d v="2023-04-06T00:00:00"/>
    <x v="5"/>
    <x v="0"/>
    <s v="Tarjeta de crédito"/>
    <n v="22.76"/>
    <n v="97.76"/>
  </r>
  <r>
    <n v="6"/>
    <s v="Cliente_524"/>
    <n v="5"/>
    <d v="2023-04-06T00:00:00"/>
    <d v="1899-12-30T01:00:00"/>
    <d v="2023-04-06T00:00:00"/>
    <d v="1899-12-30T02:52:00"/>
    <s v="Mesero_5"/>
    <x v="2"/>
    <s v="Tarjeta de crédito"/>
    <n v="39.07"/>
    <s v="Reservada"/>
    <n v="485"/>
    <s v="Bolivia"/>
    <d v="1899-12-30T01:52:00"/>
    <n v="79"/>
    <s v="1:19"/>
    <d v="1899-12-30T00:33:00"/>
    <n v="144"/>
    <n v="36"/>
    <d v="2023-04-06T00:00:00"/>
    <x v="5"/>
    <x v="0"/>
    <s v="Tarjeta de crédito"/>
    <n v="39.07"/>
    <n v="183.07"/>
  </r>
  <r>
    <n v="15"/>
    <s v="Cliente_437"/>
    <n v="3"/>
    <d v="2023-04-06T00:00:00"/>
    <d v="1899-12-30T02:47:00"/>
    <d v="2023-04-06T00:00:00"/>
    <d v="1899-12-30T06:12:00"/>
    <s v="Mesero_1"/>
    <x v="1"/>
    <s v="Tarjeta de débito"/>
    <n v="12.66"/>
    <s v="Ocupada"/>
    <n v="486"/>
    <s v="Colombia"/>
    <d v="1899-12-30T03:40:00"/>
    <n v="59"/>
    <s v="0:59"/>
    <d v="1899-12-30T02:41:00"/>
    <n v="150"/>
    <n v="68"/>
    <d v="2023-04-06T00:00:00"/>
    <x v="5"/>
    <x v="0"/>
    <s v="Tarjeta de débito"/>
    <n v="12.66"/>
    <n v="162.66"/>
  </r>
  <r>
    <n v="17"/>
    <s v="Cliente_946"/>
    <n v="1"/>
    <d v="2023-04-06T00:00:00"/>
    <d v="1899-12-30T01:34:00"/>
    <d v="2023-04-06T00:00:00"/>
    <d v="1899-12-30T03:50:00"/>
    <s v="Mesero_1"/>
    <x v="0"/>
    <s v="Tarjeta de crédito"/>
    <n v="45.76"/>
    <s v="Ocupada"/>
    <n v="487"/>
    <s v="Paraguay"/>
    <d v="1899-12-30T02:31:00"/>
    <n v="92"/>
    <s v="1:32"/>
    <d v="1899-12-30T00:59:00"/>
    <n v="152"/>
    <n v="52"/>
    <d v="2023-04-06T00:00:00"/>
    <x v="5"/>
    <x v="0"/>
    <s v="Tarjeta de crédito"/>
    <n v="45.76"/>
    <n v="197.76"/>
  </r>
  <r>
    <n v="10"/>
    <s v="Cliente_719"/>
    <n v="4"/>
    <d v="2023-04-06T00:00:00"/>
    <d v="1899-12-30T00:00:00"/>
    <d v="2023-04-06T00:00:00"/>
    <d v="1899-12-30T01:58:00"/>
    <s v="Mesero_3"/>
    <x v="0"/>
    <s v="Tarjeta de débito"/>
    <n v="37.380000000000003"/>
    <s v="Libre"/>
    <n v="488"/>
    <s v="Argentina"/>
    <d v="1899-12-30T01:58:00"/>
    <n v="124"/>
    <s v="2:04"/>
    <d v="1899-12-30T00:00:00"/>
    <n v="185"/>
    <n v="43"/>
    <d v="2023-04-06T00:00:00"/>
    <x v="5"/>
    <x v="1"/>
    <s v="Impago"/>
    <n v="0"/>
    <n v="0"/>
  </r>
  <r>
    <n v="3"/>
    <s v="Cliente_354"/>
    <n v="1"/>
    <d v="2023-04-06T00:00:00"/>
    <d v="1899-12-30T02:57:00"/>
    <d v="2023-04-06T00:00:00"/>
    <d v="1899-12-30T05:27:00"/>
    <s v="Mesero_3"/>
    <x v="1"/>
    <s v="Tarjeta de crédito"/>
    <n v="22.27"/>
    <s v="Ocupada"/>
    <n v="489"/>
    <s v="Argentina"/>
    <d v="1899-12-30T02:45:00"/>
    <n v="34"/>
    <s v="0:34"/>
    <d v="1899-12-30T02:11:00"/>
    <n v="149"/>
    <n v="39"/>
    <d v="2023-04-06T00:00:00"/>
    <x v="5"/>
    <x v="0"/>
    <s v="Tarjeta de crédito"/>
    <n v="22.27"/>
    <n v="171.27"/>
  </r>
  <r>
    <n v="1"/>
    <s v="Cliente_194"/>
    <n v="2"/>
    <d v="2023-04-06T00:00:00"/>
    <d v="1899-12-30T03:20:00"/>
    <d v="2023-04-06T00:00:00"/>
    <d v="1899-12-30T04:57:00"/>
    <s v="Mesero_5"/>
    <x v="0"/>
    <s v="Tarjeta de crédito"/>
    <n v="26.79"/>
    <s v="Libre"/>
    <n v="490"/>
    <s v="Colombia"/>
    <d v="1899-12-30T01:37:00"/>
    <n v="131"/>
    <s v="2:11"/>
    <d v="1899-12-30T00:00:00"/>
    <n v="212"/>
    <n v="54"/>
    <d v="2023-04-06T00:00:00"/>
    <x v="5"/>
    <x v="1"/>
    <s v="Impago"/>
    <n v="0"/>
    <n v="0"/>
  </r>
  <r>
    <n v="7"/>
    <s v="Cliente_160"/>
    <n v="4"/>
    <d v="2023-04-06T00:00:00"/>
    <d v="1899-12-30T00:07:00"/>
    <d v="2023-04-06T00:00:00"/>
    <d v="1899-12-30T02:37:00"/>
    <s v="Mesero_4"/>
    <x v="1"/>
    <s v="Tarjeta de crédito"/>
    <n v="34.68"/>
    <s v="Ocupada"/>
    <n v="491"/>
    <s v="España"/>
    <d v="1899-12-30T02:45:00"/>
    <n v="41"/>
    <s v="0:41"/>
    <d v="1899-12-30T02:04:00"/>
    <n v="118"/>
    <n v="35"/>
    <d v="2023-04-06T00:00:00"/>
    <x v="5"/>
    <x v="0"/>
    <s v="Tarjeta de crédito"/>
    <n v="34.68"/>
    <n v="152.68"/>
  </r>
  <r>
    <n v="4"/>
    <s v="Cliente_363"/>
    <n v="4"/>
    <d v="2023-04-06T00:00:00"/>
    <d v="1899-12-30T01:03:00"/>
    <d v="2023-04-06T00:00:00"/>
    <d v="1899-12-30T04:36:00"/>
    <s v="Mesero_1"/>
    <x v="0"/>
    <s v="Tarjeta de crédito"/>
    <n v="16.62"/>
    <s v="Reservada"/>
    <n v="492"/>
    <s v="Colombia"/>
    <d v="1899-12-30T03:33:00"/>
    <n v="49"/>
    <s v="0:49"/>
    <d v="1899-12-30T02:44:00"/>
    <n v="210"/>
    <n v="47"/>
    <d v="2023-04-06T00:00:00"/>
    <x v="5"/>
    <x v="0"/>
    <s v="Tarjeta de crédito"/>
    <n v="16.62"/>
    <n v="226.62"/>
  </r>
  <r>
    <n v="2"/>
    <s v="Cliente_140"/>
    <n v="2"/>
    <d v="2023-04-06T00:00:00"/>
    <d v="1899-12-30T00:31:00"/>
    <d v="2023-04-06T00:00:00"/>
    <d v="1899-12-30T01:46:00"/>
    <s v="Mesero_5"/>
    <x v="0"/>
    <s v="Tarjeta de crédito"/>
    <n v="32.67"/>
    <s v="Ocupada"/>
    <n v="493"/>
    <s v="Perú"/>
    <d v="1899-12-30T01:30:00"/>
    <n v="8"/>
    <s v="0:08"/>
    <d v="1899-12-30T01:22:00"/>
    <n v="54"/>
    <n v="10"/>
    <d v="2023-04-06T00:00:00"/>
    <x v="5"/>
    <x v="0"/>
    <s v="Tarjeta de crédito"/>
    <n v="32.67"/>
    <n v="86.67"/>
  </r>
  <r>
    <n v="20"/>
    <s v="Cliente_546"/>
    <n v="5"/>
    <d v="2023-04-06T00:00:00"/>
    <d v="1899-12-30T01:28:00"/>
    <d v="2023-04-06T00:00:00"/>
    <d v="1899-12-30T04:49:00"/>
    <s v="Mesero_1"/>
    <x v="1"/>
    <s v="Tarjeta de crédito"/>
    <n v="11.85"/>
    <s v="Reservada"/>
    <n v="494"/>
    <s v="Paraguay"/>
    <d v="1899-12-30T03:21:00"/>
    <n v="31"/>
    <s v="0:31"/>
    <d v="1899-12-30T02:50:00"/>
    <n v="172"/>
    <n v="41"/>
    <d v="2023-04-06T00:00:00"/>
    <x v="5"/>
    <x v="0"/>
    <s v="Tarjeta de crédito"/>
    <n v="11.85"/>
    <n v="183.85"/>
  </r>
  <r>
    <n v="11"/>
    <s v="Cliente_778"/>
    <n v="6"/>
    <d v="2023-04-06T00:00:00"/>
    <d v="1899-12-30T03:01:00"/>
    <d v="2023-04-06T00:00:00"/>
    <d v="1899-12-30T06:50:00"/>
    <s v="Mesero_2"/>
    <x v="1"/>
    <s v="Tarjeta de crédito"/>
    <n v="33.96"/>
    <s v="Libre"/>
    <n v="495"/>
    <s v="Venezuela"/>
    <d v="1899-12-30T03:49:00"/>
    <n v="102"/>
    <s v="1:42"/>
    <d v="1899-12-30T02:07:00"/>
    <n v="263"/>
    <n v="77"/>
    <d v="2023-04-06T00:00:00"/>
    <x v="5"/>
    <x v="0"/>
    <s v="Tarjeta de crédito"/>
    <n v="33.96"/>
    <n v="296.95999999999998"/>
  </r>
  <r>
    <n v="1"/>
    <s v="Cliente_402"/>
    <n v="3"/>
    <d v="2023-04-06T00:00:00"/>
    <d v="1899-12-30T02:34:00"/>
    <d v="2023-04-06T00:00:00"/>
    <d v="1899-12-30T06:22:00"/>
    <s v="Mesero_1"/>
    <x v="0"/>
    <s v="Tarjeta de crédito"/>
    <n v="39.42"/>
    <s v="Reservada"/>
    <n v="496"/>
    <s v="Argentina"/>
    <d v="1899-12-30T03:48:00"/>
    <n v="133"/>
    <s v="2:13"/>
    <d v="1899-12-30T01:35:00"/>
    <n v="223"/>
    <n v="70"/>
    <d v="2023-04-06T00:00:00"/>
    <x v="5"/>
    <x v="0"/>
    <s v="Tarjeta de crédito"/>
    <n v="39.42"/>
    <n v="262.42"/>
  </r>
  <r>
    <n v="13"/>
    <s v="Cliente_784"/>
    <n v="6"/>
    <d v="2023-04-06T00:00:00"/>
    <d v="1899-12-30T03:30:00"/>
    <d v="2023-04-06T00:00:00"/>
    <d v="1899-12-30T06:58:00"/>
    <s v="Mesero_3"/>
    <x v="0"/>
    <s v="Tarjeta de débito"/>
    <n v="29.93"/>
    <s v="Reservada"/>
    <n v="497"/>
    <s v="Argentina"/>
    <d v="1899-12-30T03:28:00"/>
    <n v="38"/>
    <s v="0:38"/>
    <d v="1899-12-30T02:50:00"/>
    <n v="150"/>
    <n v="43"/>
    <d v="2023-04-06T00:00:00"/>
    <x v="5"/>
    <x v="0"/>
    <s v="Tarjeta de débito"/>
    <n v="29.93"/>
    <n v="179.93"/>
  </r>
  <r>
    <n v="20"/>
    <s v="Cliente_259"/>
    <n v="3"/>
    <d v="2023-04-06T00:00:00"/>
    <d v="1899-12-30T00:17:00"/>
    <d v="2023-04-06T00:00:00"/>
    <d v="1899-12-30T03:46:00"/>
    <s v="Mesero_3"/>
    <x v="0"/>
    <s v="Tarjeta de crédito"/>
    <n v="21.99"/>
    <s v="Libre"/>
    <n v="498"/>
    <s v="España"/>
    <d v="1899-12-30T03:29:00"/>
    <n v="32"/>
    <s v="0:32"/>
    <d v="1899-12-30T02:57:00"/>
    <n v="19"/>
    <n v="11"/>
    <d v="2023-04-06T00:00:00"/>
    <x v="5"/>
    <x v="0"/>
    <s v="Tarjeta de crédito"/>
    <n v="21.99"/>
    <n v="40.989999999999995"/>
  </r>
  <r>
    <n v="5"/>
    <s v="Cliente_919"/>
    <n v="5"/>
    <d v="2023-04-06T00:00:00"/>
    <d v="1899-12-30T01:21:00"/>
    <d v="2023-04-06T00:00:00"/>
    <d v="1899-12-30T04:28:00"/>
    <s v="Mesero_2"/>
    <x v="2"/>
    <s v="Tarjeta de débito"/>
    <n v="22.69"/>
    <s v="Reservada"/>
    <n v="499"/>
    <s v="Brasil"/>
    <d v="1899-12-30T03:07:00"/>
    <n v="130"/>
    <s v="2:10"/>
    <d v="1899-12-30T00:57:00"/>
    <n v="158"/>
    <n v="48"/>
    <d v="2023-04-06T00:00:00"/>
    <x v="5"/>
    <x v="0"/>
    <s v="Tarjeta de débito"/>
    <n v="22.69"/>
    <n v="180.69"/>
  </r>
  <r>
    <n v="4"/>
    <s v="Cliente_354"/>
    <n v="5"/>
    <d v="2023-04-06T00:00:00"/>
    <d v="1899-12-30T01:17:00"/>
    <d v="2023-04-06T00:00:00"/>
    <d v="1899-12-30T05:15:00"/>
    <s v="Mesero_4"/>
    <x v="1"/>
    <s v="Tarjeta de débito"/>
    <n v="37.619999999999997"/>
    <s v="Ocupada"/>
    <n v="500"/>
    <s v="Argentina"/>
    <d v="1899-12-30T04:13:00"/>
    <n v="42"/>
    <s v="0:42"/>
    <d v="1899-12-30T03:31:00"/>
    <n v="93"/>
    <n v="29"/>
    <d v="2023-04-06T00:00:00"/>
    <x v="5"/>
    <x v="0"/>
    <s v="Tarjeta de débito"/>
    <n v="37.619999999999997"/>
    <n v="130.62"/>
  </r>
  <r>
    <n v="7"/>
    <s v="Cliente_637"/>
    <n v="1"/>
    <d v="2023-04-06T00:00:00"/>
    <d v="1899-12-30T03:44:00"/>
    <d v="2023-04-06T00:00:00"/>
    <d v="1899-12-30T06:31:00"/>
    <s v="Mesero_1"/>
    <x v="2"/>
    <s v="Tarjeta de crédito"/>
    <n v="28.38"/>
    <s v="Ocupada"/>
    <n v="501"/>
    <s v="Venezuela"/>
    <d v="1899-12-30T03:02:00"/>
    <n v="39"/>
    <s v="0:39"/>
    <d v="1899-12-30T02:23:00"/>
    <n v="138"/>
    <n v="54"/>
    <d v="2023-04-06T00:00:00"/>
    <x v="5"/>
    <x v="0"/>
    <s v="Tarjeta de crédito"/>
    <n v="28.38"/>
    <n v="166.38"/>
  </r>
  <r>
    <n v="5"/>
    <s v="Cliente_759"/>
    <n v="2"/>
    <d v="2023-04-06T00:00:00"/>
    <d v="1899-12-30T00:45:00"/>
    <d v="2023-04-06T00:00:00"/>
    <d v="1899-12-30T01:57:00"/>
    <s v="Mesero_5"/>
    <x v="0"/>
    <s v="Tarjeta de crédito"/>
    <n v="32.9"/>
    <s v="Reservada"/>
    <n v="502"/>
    <s v="Bolivia"/>
    <d v="1899-12-30T01:12:00"/>
    <n v="73"/>
    <s v="1:13"/>
    <d v="1899-12-30T00:00:00"/>
    <n v="139"/>
    <n v="43"/>
    <d v="2023-04-06T00:00:00"/>
    <x v="5"/>
    <x v="1"/>
    <s v="Impago"/>
    <n v="0"/>
    <n v="0"/>
  </r>
  <r>
    <n v="3"/>
    <s v="Cliente_948"/>
    <n v="1"/>
    <d v="2023-04-06T00:00:00"/>
    <d v="1899-12-30T02:20:00"/>
    <d v="2023-04-06T00:00:00"/>
    <d v="1899-12-30T04:02:00"/>
    <s v="Mesero_3"/>
    <x v="0"/>
    <s v="Tarjeta de crédito"/>
    <n v="35.840000000000003"/>
    <s v="Reservada"/>
    <n v="503"/>
    <s v="España"/>
    <d v="1899-12-30T01:42:00"/>
    <n v="85"/>
    <s v="1:25"/>
    <d v="1899-12-30T00:17:00"/>
    <n v="137"/>
    <n v="36"/>
    <d v="2023-04-06T00:00:00"/>
    <x v="5"/>
    <x v="0"/>
    <s v="Tarjeta de crédito"/>
    <n v="35.840000000000003"/>
    <n v="172.84"/>
  </r>
  <r>
    <n v="2"/>
    <s v="Cliente_172"/>
    <n v="5"/>
    <d v="2023-04-06T00:00:00"/>
    <d v="1899-12-30T02:10:00"/>
    <d v="2023-04-06T00:00:00"/>
    <d v="1899-12-30T04:48:00"/>
    <s v="Mesero_5"/>
    <x v="2"/>
    <s v="Efectivo"/>
    <n v="31.31"/>
    <s v="Reservada"/>
    <n v="504"/>
    <s v="Brasil"/>
    <d v="1899-12-30T02:38:00"/>
    <n v="19"/>
    <s v="0:19"/>
    <d v="1899-12-30T02:19:00"/>
    <n v="54"/>
    <n v="16"/>
    <d v="2023-04-06T00:00:00"/>
    <x v="5"/>
    <x v="0"/>
    <s v="Efectivo"/>
    <n v="31.31"/>
    <n v="85.31"/>
  </r>
  <r>
    <n v="5"/>
    <s v="Cliente_70"/>
    <n v="1"/>
    <d v="2023-04-06T00:00:00"/>
    <d v="1899-12-30T02:38:00"/>
    <d v="2023-04-06T00:00:00"/>
    <d v="1899-12-30T06:07:00"/>
    <s v="Mesero_2"/>
    <x v="2"/>
    <s v="Tarjeta de crédito"/>
    <n v="25.76"/>
    <s v="Reservada"/>
    <n v="505"/>
    <s v="Colombia"/>
    <d v="1899-12-30T03:29:00"/>
    <n v="115"/>
    <s v="1:55"/>
    <d v="1899-12-30T01:34:00"/>
    <n v="155"/>
    <n v="40"/>
    <d v="2023-04-06T00:00:00"/>
    <x v="5"/>
    <x v="0"/>
    <s v="Tarjeta de crédito"/>
    <n v="25.76"/>
    <n v="180.76"/>
  </r>
  <r>
    <n v="18"/>
    <s v="Cliente_835"/>
    <n v="2"/>
    <d v="2023-04-06T00:00:00"/>
    <d v="1899-12-30T02:01:00"/>
    <d v="2023-04-06T00:00:00"/>
    <d v="1899-12-30T04:02:00"/>
    <s v="Mesero_3"/>
    <x v="2"/>
    <s v="Tarjeta de crédito"/>
    <n v="11.65"/>
    <s v="Ocupada"/>
    <n v="506"/>
    <s v="Paraguay"/>
    <d v="1899-12-30T02:16:00"/>
    <n v="5"/>
    <s v="0:05"/>
    <d v="1899-12-30T02:11:00"/>
    <n v="70"/>
    <n v="21"/>
    <d v="2023-04-06T00:00:00"/>
    <x v="5"/>
    <x v="0"/>
    <s v="Tarjeta de crédito"/>
    <n v="11.65"/>
    <n v="81.650000000000006"/>
  </r>
  <r>
    <n v="18"/>
    <s v="Cliente_989"/>
    <n v="4"/>
    <d v="2023-04-06T00:00:00"/>
    <d v="1899-12-30T03:26:00"/>
    <d v="2023-04-06T00:00:00"/>
    <d v="1899-12-30T04:30:00"/>
    <s v="Mesero_2"/>
    <x v="1"/>
    <s v="Tarjeta de crédito"/>
    <n v="43.42"/>
    <s v="Libre"/>
    <n v="507"/>
    <s v="Bolivia"/>
    <d v="1899-12-30T01:04:00"/>
    <n v="69"/>
    <s v="1:09"/>
    <d v="1899-12-30T00:00:00"/>
    <n v="210"/>
    <n v="42"/>
    <d v="2023-04-06T00:00:00"/>
    <x v="5"/>
    <x v="1"/>
    <s v="Impago"/>
    <n v="0"/>
    <n v="0"/>
  </r>
  <r>
    <n v="6"/>
    <s v="Cliente_821"/>
    <n v="1"/>
    <d v="2023-04-06T00:00:00"/>
    <d v="1899-12-30T02:50:00"/>
    <d v="2023-04-06T00:00:00"/>
    <d v="1899-12-30T06:35:00"/>
    <s v="Mesero_5"/>
    <x v="0"/>
    <s v="Tarjeta de crédito"/>
    <n v="42.8"/>
    <s v="Reservada"/>
    <n v="508"/>
    <s v="Brasil"/>
    <d v="1899-12-30T03:45:00"/>
    <n v="34"/>
    <s v="0:34"/>
    <d v="1899-12-30T03:11:00"/>
    <n v="32"/>
    <n v="19"/>
    <d v="2023-04-06T00:00:00"/>
    <x v="5"/>
    <x v="0"/>
    <s v="Tarjeta de crédito"/>
    <n v="42.8"/>
    <n v="74.8"/>
  </r>
  <r>
    <n v="5"/>
    <s v="Cliente_977"/>
    <n v="3"/>
    <d v="2023-04-06T00:00:00"/>
    <d v="1899-12-30T03:12:00"/>
    <d v="2023-04-06T00:00:00"/>
    <d v="1899-12-30T06:02:00"/>
    <s v="Mesero_1"/>
    <x v="1"/>
    <s v="Tarjeta de crédito"/>
    <n v="16.260000000000002"/>
    <s v="Ocupada"/>
    <n v="509"/>
    <s v="Brasil"/>
    <d v="1899-12-30T03:05:00"/>
    <n v="47"/>
    <s v="0:47"/>
    <d v="1899-12-30T02:18:00"/>
    <n v="80"/>
    <n v="25"/>
    <d v="2023-04-06T00:00:00"/>
    <x v="5"/>
    <x v="0"/>
    <s v="Tarjeta de crédito"/>
    <n v="16.260000000000002"/>
    <n v="96.26"/>
  </r>
  <r>
    <n v="6"/>
    <s v="Cliente_509"/>
    <n v="4"/>
    <d v="2023-04-06T00:00:00"/>
    <d v="1899-12-30T03:32:00"/>
    <d v="2023-04-06T00:00:00"/>
    <d v="1899-12-30T04:33:00"/>
    <s v="Mesero_4"/>
    <x v="0"/>
    <s v="Tarjeta de crédito"/>
    <n v="14.97"/>
    <s v="Libre"/>
    <n v="510"/>
    <s v="Paraguay"/>
    <d v="1899-12-30T01:01:00"/>
    <n v="48"/>
    <s v="0:48"/>
    <d v="1899-12-30T00:13:00"/>
    <n v="36"/>
    <n v="22"/>
    <d v="2023-04-06T00:00:00"/>
    <x v="5"/>
    <x v="0"/>
    <s v="Tarjeta de crédito"/>
    <n v="14.97"/>
    <n v="50.97"/>
  </r>
  <r>
    <n v="2"/>
    <s v="Cliente_951"/>
    <n v="1"/>
    <d v="2023-04-06T00:00:00"/>
    <d v="1899-12-30T01:38:00"/>
    <d v="2023-04-06T00:00:00"/>
    <d v="1899-12-30T03:23:00"/>
    <s v="Mesero_1"/>
    <x v="0"/>
    <s v="Tarjeta de crédito"/>
    <n v="35.950000000000003"/>
    <s v="Libre"/>
    <n v="511"/>
    <s v="Argentina"/>
    <d v="1899-12-30T01:45:00"/>
    <n v="38"/>
    <s v="0:38"/>
    <d v="1899-12-30T01:07:00"/>
    <n v="137"/>
    <n v="34"/>
    <d v="2023-04-06T00:00:00"/>
    <x v="5"/>
    <x v="0"/>
    <s v="Tarjeta de crédito"/>
    <n v="35.950000000000003"/>
    <n v="172.95"/>
  </r>
  <r>
    <n v="2"/>
    <s v="Cliente_285"/>
    <n v="1"/>
    <d v="2023-04-06T00:00:00"/>
    <d v="1899-12-30T01:19:00"/>
    <d v="2023-04-06T00:00:00"/>
    <d v="1899-12-30T02:26:00"/>
    <s v="Mesero_5"/>
    <x v="0"/>
    <s v="Tarjeta de crédito"/>
    <n v="37.369999999999997"/>
    <s v="Ocupada"/>
    <n v="512"/>
    <s v="España"/>
    <d v="1899-12-30T01:22:00"/>
    <n v="59"/>
    <s v="0:59"/>
    <d v="1899-12-30T00:23:00"/>
    <n v="128"/>
    <n v="34"/>
    <d v="2023-04-06T00:00:00"/>
    <x v="5"/>
    <x v="0"/>
    <s v="Tarjeta de crédito"/>
    <n v="37.369999999999997"/>
    <n v="165.37"/>
  </r>
  <r>
    <n v="8"/>
    <s v="Cliente_873"/>
    <n v="6"/>
    <d v="2023-04-06T00:00:00"/>
    <d v="1899-12-30T01:28:00"/>
    <d v="2023-04-06T00:00:00"/>
    <d v="1899-12-30T04:51:00"/>
    <s v="Mesero_3"/>
    <x v="1"/>
    <s v="Tarjeta de crédito"/>
    <n v="22.74"/>
    <s v="Ocupada"/>
    <n v="513"/>
    <s v="Bolivia"/>
    <d v="1899-12-30T03:38:00"/>
    <n v="56"/>
    <s v="0:56"/>
    <d v="1899-12-30T02:42:00"/>
    <n v="54"/>
    <n v="10"/>
    <d v="2023-04-06T00:00:00"/>
    <x v="5"/>
    <x v="0"/>
    <s v="Tarjeta de crédito"/>
    <n v="22.74"/>
    <n v="76.739999999999995"/>
  </r>
  <r>
    <n v="18"/>
    <s v="Cliente_819"/>
    <n v="5"/>
    <d v="2023-04-06T00:00:00"/>
    <d v="1899-12-30T01:19:00"/>
    <d v="2023-04-06T00:00:00"/>
    <d v="1899-12-30T04:36:00"/>
    <s v="Mesero_4"/>
    <x v="0"/>
    <s v="Tarjeta de crédito"/>
    <n v="38.840000000000003"/>
    <s v="Libre"/>
    <n v="514"/>
    <s v="Chile"/>
    <d v="1899-12-30T03:17:00"/>
    <n v="112"/>
    <s v="1:52"/>
    <d v="1899-12-30T01:25:00"/>
    <n v="174"/>
    <n v="57"/>
    <d v="2023-04-06T00:00:00"/>
    <x v="5"/>
    <x v="0"/>
    <s v="Tarjeta de crédito"/>
    <n v="38.840000000000003"/>
    <n v="212.84"/>
  </r>
  <r>
    <n v="19"/>
    <s v="Cliente_690"/>
    <n v="2"/>
    <d v="2023-04-06T00:00:00"/>
    <d v="1899-12-30T00:58:00"/>
    <d v="2023-04-06T00:00:00"/>
    <d v="1899-12-30T02:03:00"/>
    <s v="Mesero_2"/>
    <x v="0"/>
    <s v="Tarjeta de crédito"/>
    <n v="43.79"/>
    <s v="Ocupada"/>
    <n v="515"/>
    <s v="Chile"/>
    <d v="1899-12-30T01:20:00"/>
    <n v="13"/>
    <s v="0:13"/>
    <d v="1899-12-30T01:07:00"/>
    <n v="18"/>
    <n v="10"/>
    <d v="2023-04-06T00:00:00"/>
    <x v="5"/>
    <x v="0"/>
    <s v="Tarjeta de crédito"/>
    <n v="43.79"/>
    <n v="61.79"/>
  </r>
  <r>
    <n v="7"/>
    <s v="Cliente_334"/>
    <n v="2"/>
    <d v="2023-04-06T00:00:00"/>
    <d v="1899-12-30T03:55:00"/>
    <d v="2023-04-06T00:00:00"/>
    <d v="1899-12-30T04:59:00"/>
    <s v="Mesero_4"/>
    <x v="0"/>
    <s v="Tarjeta de crédito"/>
    <n v="20.85"/>
    <s v="Reservada"/>
    <n v="516"/>
    <s v="Paraguay"/>
    <d v="1899-12-30T01:04:00"/>
    <n v="97"/>
    <s v="1:37"/>
    <d v="1899-12-30T00:00:00"/>
    <n v="146"/>
    <n v="37"/>
    <d v="2023-04-06T00:00:00"/>
    <x v="5"/>
    <x v="1"/>
    <s v="Impago"/>
    <n v="0"/>
    <n v="0"/>
  </r>
  <r>
    <n v="4"/>
    <s v="Cliente_508"/>
    <n v="5"/>
    <d v="2023-04-06T00:00:00"/>
    <d v="1899-12-30T01:35:00"/>
    <d v="2023-04-06T00:00:00"/>
    <d v="1899-12-30T05:30:00"/>
    <s v="Mesero_4"/>
    <x v="0"/>
    <s v="Efectivo"/>
    <n v="23.92"/>
    <s v="Reservada"/>
    <n v="517"/>
    <s v="Ecuador"/>
    <d v="1899-12-30T03:55:00"/>
    <n v="65"/>
    <s v="1:05"/>
    <d v="1899-12-30T02:50:00"/>
    <n v="103"/>
    <n v="38"/>
    <d v="2023-04-06T00:00:00"/>
    <x v="5"/>
    <x v="0"/>
    <s v="Efectivo"/>
    <n v="23.92"/>
    <n v="126.92"/>
  </r>
  <r>
    <n v="5"/>
    <s v="Cliente_830"/>
    <n v="6"/>
    <d v="2023-04-06T00:00:00"/>
    <d v="1899-12-30T02:08:00"/>
    <d v="2023-04-06T00:00:00"/>
    <d v="1899-12-30T06:02:00"/>
    <s v="Mesero_4"/>
    <x v="1"/>
    <s v="Tarjeta de crédito"/>
    <n v="18.48"/>
    <s v="Ocupada"/>
    <n v="518"/>
    <s v="Colombia"/>
    <d v="1899-12-30T04:09:00"/>
    <n v="53"/>
    <s v="0:53"/>
    <d v="1899-12-30T03:16:00"/>
    <n v="77"/>
    <n v="33"/>
    <d v="2023-04-06T00:00:00"/>
    <x v="5"/>
    <x v="0"/>
    <s v="Tarjeta de crédito"/>
    <n v="18.48"/>
    <n v="95.48"/>
  </r>
  <r>
    <n v="6"/>
    <s v="Cliente_787"/>
    <n v="2"/>
    <d v="2023-04-06T00:00:00"/>
    <d v="1899-12-30T00:48:00"/>
    <d v="2023-04-06T00:00:00"/>
    <d v="1899-12-30T03:49:00"/>
    <s v="Mesero_5"/>
    <x v="0"/>
    <s v="Tarjeta de crédito"/>
    <n v="34.590000000000003"/>
    <s v="Libre"/>
    <n v="519"/>
    <s v="Paraguay"/>
    <d v="1899-12-30T03:01:00"/>
    <n v="156"/>
    <s v="2:36"/>
    <d v="1899-12-30T00:25:00"/>
    <n v="245"/>
    <n v="54"/>
    <d v="2023-04-06T00:00:00"/>
    <x v="5"/>
    <x v="0"/>
    <s v="Tarjeta de crédito"/>
    <n v="34.590000000000003"/>
    <n v="279.59000000000003"/>
  </r>
  <r>
    <n v="4"/>
    <s v="Cliente_616"/>
    <n v="4"/>
    <d v="2023-04-06T00:00:00"/>
    <d v="1899-12-30T03:35:00"/>
    <d v="2023-04-06T00:00:00"/>
    <d v="1899-12-30T06:23:00"/>
    <s v="Mesero_4"/>
    <x v="2"/>
    <s v="Tarjeta de crédito"/>
    <n v="43.99"/>
    <s v="Libre"/>
    <n v="520"/>
    <s v="Colombia"/>
    <d v="1899-12-30T02:48:00"/>
    <n v="121"/>
    <s v="2:01"/>
    <d v="1899-12-30T00:47:00"/>
    <n v="280"/>
    <n v="74"/>
    <d v="2023-04-06T00:00:00"/>
    <x v="5"/>
    <x v="0"/>
    <s v="Tarjeta de crédito"/>
    <n v="43.99"/>
    <n v="323.99"/>
  </r>
  <r>
    <n v="18"/>
    <s v="Cliente_422"/>
    <n v="2"/>
    <d v="2023-04-06T00:00:00"/>
    <d v="1899-12-30T00:43:00"/>
    <d v="2023-04-06T00:00:00"/>
    <d v="1899-12-30T02:54:00"/>
    <s v="Mesero_4"/>
    <x v="0"/>
    <s v="Tarjeta de crédito"/>
    <n v="15.18"/>
    <s v="Libre"/>
    <n v="521"/>
    <s v="Bolivia"/>
    <d v="1899-12-30T02:11:00"/>
    <n v="91"/>
    <s v="1:31"/>
    <d v="1899-12-30T00:40:00"/>
    <n v="210"/>
    <n v="52"/>
    <d v="2023-04-06T00:00:00"/>
    <x v="5"/>
    <x v="0"/>
    <s v="Tarjeta de crédito"/>
    <n v="15.18"/>
    <n v="225.18"/>
  </r>
  <r>
    <n v="2"/>
    <s v="Cliente_740"/>
    <n v="5"/>
    <d v="2023-04-06T00:00:00"/>
    <d v="1899-12-30T01:38:00"/>
    <d v="2023-04-06T00:00:00"/>
    <d v="1899-12-30T04:26:00"/>
    <s v="Mesero_4"/>
    <x v="0"/>
    <s v="Efectivo"/>
    <n v="35.35"/>
    <s v="Libre"/>
    <n v="522"/>
    <s v="Uruguay"/>
    <d v="1899-12-30T02:48:00"/>
    <n v="47"/>
    <s v="0:47"/>
    <d v="1899-12-30T02:01:00"/>
    <n v="84"/>
    <n v="16"/>
    <d v="2023-04-06T00:00:00"/>
    <x v="5"/>
    <x v="0"/>
    <s v="Efectivo"/>
    <n v="35.35"/>
    <n v="119.35"/>
  </r>
  <r>
    <n v="4"/>
    <s v="Cliente_930"/>
    <n v="3"/>
    <d v="2023-04-06T00:00:00"/>
    <d v="1899-12-30T01:39:00"/>
    <d v="2023-04-06T00:00:00"/>
    <d v="1899-12-30T04:42:00"/>
    <s v="Mesero_5"/>
    <x v="0"/>
    <s v="Tarjeta de crédito"/>
    <n v="45.41"/>
    <s v="Ocupada"/>
    <n v="523"/>
    <s v="Argentina"/>
    <d v="1899-12-30T03:18:00"/>
    <n v="51"/>
    <s v="0:51"/>
    <d v="1899-12-30T02:27:00"/>
    <n v="81"/>
    <n v="16"/>
    <d v="2023-04-06T00:00:00"/>
    <x v="5"/>
    <x v="0"/>
    <s v="Tarjeta de crédito"/>
    <n v="45.41"/>
    <n v="126.41"/>
  </r>
  <r>
    <n v="16"/>
    <s v="Cliente_218"/>
    <n v="4"/>
    <d v="2023-04-06T00:00:00"/>
    <d v="1899-12-30T00:03:00"/>
    <d v="2023-04-06T00:00:00"/>
    <d v="1899-12-30T02:32:00"/>
    <s v="Mesero_3"/>
    <x v="0"/>
    <s v="Tarjeta de crédito"/>
    <n v="26.91"/>
    <s v="Ocupada"/>
    <n v="524"/>
    <s v="Perú"/>
    <d v="1899-12-30T02:44:00"/>
    <n v="61"/>
    <s v="1:01"/>
    <d v="1899-12-30T01:43:00"/>
    <n v="76"/>
    <n v="29"/>
    <d v="2023-04-06T00:00:00"/>
    <x v="5"/>
    <x v="0"/>
    <s v="Tarjeta de crédito"/>
    <n v="26.91"/>
    <n v="102.91"/>
  </r>
  <r>
    <n v="16"/>
    <s v="Cliente_318"/>
    <n v="3"/>
    <d v="2023-04-06T00:00:00"/>
    <d v="1899-12-30T03:27:00"/>
    <d v="2023-04-06T00:00:00"/>
    <d v="1899-12-30T07:14:00"/>
    <s v="Mesero_3"/>
    <x v="0"/>
    <s v="Tarjeta de crédito"/>
    <n v="32.869999999999997"/>
    <s v="Ocupada"/>
    <n v="525"/>
    <s v="Venezuela"/>
    <d v="1899-12-30T04:02:00"/>
    <n v="77"/>
    <s v="1:17"/>
    <d v="1899-12-30T02:45:00"/>
    <n v="197"/>
    <n v="54"/>
    <d v="2023-04-06T00:00:00"/>
    <x v="5"/>
    <x v="0"/>
    <s v="Tarjeta de crédito"/>
    <n v="32.869999999999997"/>
    <n v="229.87"/>
  </r>
  <r>
    <n v="4"/>
    <s v="Cliente_257"/>
    <n v="6"/>
    <d v="2023-04-06T00:00:00"/>
    <d v="1899-12-30T03:44:00"/>
    <d v="2023-04-06T00:00:00"/>
    <d v="1899-12-30T05:41:00"/>
    <s v="Mesero_4"/>
    <x v="2"/>
    <s v="Tarjeta de débito"/>
    <n v="43.02"/>
    <s v="Libre"/>
    <n v="526"/>
    <s v="Bolivia"/>
    <d v="1899-12-30T01:57:00"/>
    <n v="22"/>
    <s v="0:22"/>
    <d v="1899-12-30T01:35:00"/>
    <n v="33"/>
    <n v="20"/>
    <d v="2023-04-06T00:00:00"/>
    <x v="5"/>
    <x v="0"/>
    <s v="Tarjeta de débito"/>
    <n v="43.02"/>
    <n v="76.02000000000001"/>
  </r>
  <r>
    <n v="19"/>
    <s v="Cliente_112"/>
    <n v="4"/>
    <d v="2023-04-06T00:00:00"/>
    <d v="1899-12-30T03:41:00"/>
    <d v="2023-04-06T00:00:00"/>
    <d v="1899-12-30T05:55:00"/>
    <s v="Mesero_1"/>
    <x v="1"/>
    <s v="Efectivo"/>
    <n v="22.95"/>
    <s v="Ocupada"/>
    <n v="527"/>
    <s v="España"/>
    <d v="1899-12-30T02:29:00"/>
    <n v="31"/>
    <s v="0:31"/>
    <d v="1899-12-30T01:58:00"/>
    <n v="54"/>
    <n v="16"/>
    <d v="2023-04-06T00:00:00"/>
    <x v="5"/>
    <x v="0"/>
    <s v="Efectivo"/>
    <n v="22.95"/>
    <n v="76.95"/>
  </r>
  <r>
    <n v="14"/>
    <s v="Cliente_95"/>
    <n v="2"/>
    <d v="2023-04-06T00:00:00"/>
    <d v="1899-12-30T01:47:00"/>
    <d v="2023-04-06T00:00:00"/>
    <d v="1899-12-30T03:48:00"/>
    <s v="Mesero_2"/>
    <x v="0"/>
    <s v="Tarjeta de débito"/>
    <n v="15.62"/>
    <s v="Reservada"/>
    <n v="528"/>
    <s v="Bolivia"/>
    <d v="1899-12-30T02:01:00"/>
    <n v="121"/>
    <s v="2:01"/>
    <d v="1899-12-30T00:00:00"/>
    <n v="78"/>
    <n v="47"/>
    <d v="2023-04-06T00:00:00"/>
    <x v="5"/>
    <x v="1"/>
    <s v="Impago"/>
    <n v="0"/>
    <n v="0"/>
  </r>
  <r>
    <n v="1"/>
    <s v="Cliente_866"/>
    <n v="2"/>
    <d v="2023-04-06T00:00:00"/>
    <d v="1899-12-30T01:58:00"/>
    <d v="2023-04-06T00:00:00"/>
    <d v="1899-12-30T04:42:00"/>
    <s v="Mesero_3"/>
    <x v="0"/>
    <s v="Tarjeta de crédito"/>
    <n v="25.91"/>
    <s v="Ocupada"/>
    <n v="529"/>
    <s v="España"/>
    <d v="1899-12-30T02:59:00"/>
    <n v="157"/>
    <s v="2:37"/>
    <d v="1899-12-30T00:22:00"/>
    <n v="208"/>
    <n v="72"/>
    <d v="2023-04-06T00:00:00"/>
    <x v="5"/>
    <x v="0"/>
    <s v="Tarjeta de crédito"/>
    <n v="25.91"/>
    <n v="233.91"/>
  </r>
  <r>
    <n v="7"/>
    <s v="Cliente_232"/>
    <n v="5"/>
    <d v="2023-04-06T00:00:00"/>
    <d v="1899-12-30T02:13:00"/>
    <d v="2023-04-06T00:00:00"/>
    <d v="1899-12-30T06:07:00"/>
    <s v="Mesero_5"/>
    <x v="0"/>
    <s v="Tarjeta de crédito"/>
    <n v="30.19"/>
    <s v="Ocupada"/>
    <n v="530"/>
    <s v="Paraguay"/>
    <d v="1899-12-30T04:09:00"/>
    <n v="106"/>
    <s v="1:46"/>
    <d v="1899-12-30T02:23:00"/>
    <n v="160"/>
    <n v="41"/>
    <d v="2023-04-06T00:00:00"/>
    <x v="5"/>
    <x v="0"/>
    <s v="Tarjeta de crédito"/>
    <n v="30.19"/>
    <n v="190.19"/>
  </r>
  <r>
    <n v="9"/>
    <s v="Cliente_882"/>
    <n v="6"/>
    <d v="2023-04-06T00:00:00"/>
    <d v="1899-12-30T03:03:00"/>
    <d v="2023-04-06T00:00:00"/>
    <d v="1899-12-30T05:04:00"/>
    <s v="Mesero_2"/>
    <x v="2"/>
    <s v="Efectivo"/>
    <n v="34.39"/>
    <s v="Libre"/>
    <n v="531"/>
    <s v="Paraguay"/>
    <d v="1899-12-30T02:01:00"/>
    <n v="199"/>
    <s v="3:19"/>
    <d v="1899-12-30T00:00:00"/>
    <n v="244"/>
    <n v="65"/>
    <d v="2023-04-06T00:00:00"/>
    <x v="5"/>
    <x v="1"/>
    <s v="Impago"/>
    <n v="0"/>
    <n v="0"/>
  </r>
  <r>
    <n v="13"/>
    <s v="Cliente_63"/>
    <n v="3"/>
    <d v="2023-04-06T00:00:00"/>
    <d v="1899-12-30T01:48:00"/>
    <d v="2023-04-06T00:00:00"/>
    <d v="1899-12-30T05:26:00"/>
    <s v="Mesero_3"/>
    <x v="1"/>
    <s v="Tarjeta de débito"/>
    <n v="17.95"/>
    <s v="Reservada"/>
    <n v="532"/>
    <s v="Argentina"/>
    <d v="1899-12-30T03:38:00"/>
    <n v="59"/>
    <s v="0:59"/>
    <d v="1899-12-30T02:39:00"/>
    <n v="137"/>
    <n v="47"/>
    <d v="2023-04-06T00:00:00"/>
    <x v="5"/>
    <x v="0"/>
    <s v="Tarjeta de débito"/>
    <n v="17.95"/>
    <n v="154.94999999999999"/>
  </r>
  <r>
    <n v="1"/>
    <s v="Cliente_336"/>
    <n v="3"/>
    <d v="2023-04-06T00:00:00"/>
    <d v="1899-12-30T03:14:00"/>
    <d v="2023-04-06T00:00:00"/>
    <d v="1899-12-30T05:20:00"/>
    <s v="Mesero_5"/>
    <x v="2"/>
    <s v="Tarjeta de débito"/>
    <n v="20.09"/>
    <s v="Libre"/>
    <n v="533"/>
    <s v="Ecuador"/>
    <d v="1899-12-30T02:06:00"/>
    <n v="48"/>
    <s v="0:48"/>
    <d v="1899-12-30T01:18:00"/>
    <n v="41"/>
    <n v="25"/>
    <d v="2023-04-06T00:00:00"/>
    <x v="5"/>
    <x v="0"/>
    <s v="Tarjeta de débito"/>
    <n v="20.09"/>
    <n v="61.09"/>
  </r>
  <r>
    <n v="1"/>
    <s v="Cliente_113"/>
    <n v="6"/>
    <d v="2023-04-06T00:00:00"/>
    <d v="1899-12-30T01:02:00"/>
    <d v="2023-04-06T00:00:00"/>
    <d v="1899-12-30T04:29:00"/>
    <s v="Mesero_4"/>
    <x v="2"/>
    <s v="Tarjeta de crédito"/>
    <n v="23.59"/>
    <s v="Reservada"/>
    <n v="534"/>
    <s v="Brasil"/>
    <d v="1899-12-30T03:27:00"/>
    <n v="76"/>
    <s v="1:16"/>
    <d v="1899-12-30T02:11:00"/>
    <n v="147"/>
    <n v="52"/>
    <d v="2023-04-06T00:00:00"/>
    <x v="5"/>
    <x v="0"/>
    <s v="Tarjeta de crédito"/>
    <n v="23.59"/>
    <n v="170.59"/>
  </r>
  <r>
    <n v="15"/>
    <s v="Cliente_711"/>
    <n v="3"/>
    <d v="2023-04-06T00:00:00"/>
    <d v="1899-12-30T00:57:00"/>
    <d v="2023-04-06T00:00:00"/>
    <d v="1899-12-30T03:32:00"/>
    <s v="Mesero_1"/>
    <x v="1"/>
    <s v="Tarjeta de crédito"/>
    <n v="39.450000000000003"/>
    <s v="Libre"/>
    <n v="535"/>
    <s v="Chile"/>
    <d v="1899-12-30T02:35:00"/>
    <n v="113"/>
    <s v="1:53"/>
    <d v="1899-12-30T00:42:00"/>
    <n v="276"/>
    <n v="69"/>
    <d v="2023-04-06T00:00:00"/>
    <x v="5"/>
    <x v="0"/>
    <s v="Tarjeta de crédito"/>
    <n v="39.450000000000003"/>
    <n v="315.45"/>
  </r>
  <r>
    <n v="9"/>
    <s v="Cliente_785"/>
    <n v="2"/>
    <d v="2023-04-06T00:00:00"/>
    <d v="1899-12-30T02:31:00"/>
    <d v="2023-04-06T00:00:00"/>
    <d v="1899-12-30T04:39:00"/>
    <s v="Mesero_4"/>
    <x v="0"/>
    <s v="Tarjeta de crédito"/>
    <n v="46"/>
    <s v="Reservada"/>
    <n v="536"/>
    <s v="Chile"/>
    <d v="1899-12-30T02:08:00"/>
    <n v="152"/>
    <s v="2:32"/>
    <d v="1899-12-30T00:00:00"/>
    <n v="212"/>
    <n v="59"/>
    <d v="2023-04-06T00:00:00"/>
    <x v="5"/>
    <x v="1"/>
    <s v="Impago"/>
    <n v="0"/>
    <n v="0"/>
  </r>
  <r>
    <n v="18"/>
    <s v="Cliente_486"/>
    <n v="6"/>
    <d v="2023-04-06T00:00:00"/>
    <d v="1899-12-30T00:24:00"/>
    <d v="2023-04-06T00:00:00"/>
    <d v="1899-12-30T02:09:00"/>
    <s v="Mesero_3"/>
    <x v="1"/>
    <s v="Tarjeta de débito"/>
    <n v="28.68"/>
    <s v="Ocupada"/>
    <n v="537"/>
    <s v="Perú"/>
    <d v="1899-12-30T02:00:00"/>
    <n v="21"/>
    <s v="0:21"/>
    <d v="1899-12-30T01:39:00"/>
    <n v="63"/>
    <n v="13"/>
    <d v="2023-04-06T00:00:00"/>
    <x v="5"/>
    <x v="0"/>
    <s v="Tarjeta de débito"/>
    <n v="28.68"/>
    <n v="91.68"/>
  </r>
  <r>
    <n v="14"/>
    <s v="Cliente_397"/>
    <n v="4"/>
    <d v="2023-04-06T00:00:00"/>
    <d v="1899-12-30T03:19:00"/>
    <d v="2023-04-06T00:00:00"/>
    <d v="1899-12-30T05:33:00"/>
    <s v="Mesero_4"/>
    <x v="2"/>
    <s v="Tarjeta de débito"/>
    <n v="41.35"/>
    <s v="Libre"/>
    <n v="538"/>
    <s v="Colombia"/>
    <d v="1899-12-30T02:14:00"/>
    <n v="198"/>
    <s v="3:18"/>
    <d v="1899-12-30T00:00:00"/>
    <n v="142"/>
    <n v="68"/>
    <d v="2023-04-06T00:00:00"/>
    <x v="5"/>
    <x v="1"/>
    <s v="Impago"/>
    <n v="0"/>
    <n v="0"/>
  </r>
  <r>
    <n v="18"/>
    <s v="Cliente_554"/>
    <n v="3"/>
    <d v="2023-04-06T00:00:00"/>
    <d v="1899-12-30T03:51:00"/>
    <d v="2023-04-06T00:00:00"/>
    <d v="1899-12-30T07:00:00"/>
    <s v="Mesero_2"/>
    <x v="1"/>
    <s v="Efectivo"/>
    <n v="20.9"/>
    <s v="Libre"/>
    <n v="539"/>
    <s v="Colombia"/>
    <d v="1899-12-30T03:09:00"/>
    <n v="129"/>
    <s v="2:09"/>
    <d v="1899-12-30T01:00:00"/>
    <n v="240"/>
    <n v="61"/>
    <d v="2023-04-06T00:00:00"/>
    <x v="5"/>
    <x v="0"/>
    <s v="Efectivo"/>
    <n v="20.9"/>
    <n v="260.89999999999998"/>
  </r>
  <r>
    <n v="6"/>
    <s v="Cliente_320"/>
    <n v="4"/>
    <d v="2023-04-06T00:00:00"/>
    <d v="1899-12-30T03:46:00"/>
    <d v="2023-04-06T00:00:00"/>
    <d v="1899-12-30T06:56:00"/>
    <s v="Mesero_1"/>
    <x v="0"/>
    <s v="Tarjeta de crédito"/>
    <n v="47.85"/>
    <s v="Reservada"/>
    <n v="540"/>
    <s v="Uruguay"/>
    <d v="1899-12-30T03:10:00"/>
    <n v="82"/>
    <s v="1:22"/>
    <d v="1899-12-30T01:48:00"/>
    <n v="124"/>
    <n v="31"/>
    <d v="2023-04-06T00:00:00"/>
    <x v="5"/>
    <x v="0"/>
    <s v="Tarjeta de crédito"/>
    <n v="47.85"/>
    <n v="171.85"/>
  </r>
  <r>
    <n v="19"/>
    <s v="Cliente_427"/>
    <n v="2"/>
    <d v="2023-04-06T00:00:00"/>
    <d v="1899-12-30T00:33:00"/>
    <d v="2023-04-06T00:00:00"/>
    <d v="1899-12-30T04:32:00"/>
    <s v="Mesero_1"/>
    <x v="1"/>
    <s v="Tarjeta de débito"/>
    <n v="33.700000000000003"/>
    <s v="Reservada"/>
    <n v="541"/>
    <s v="Colombia"/>
    <d v="1899-12-30T03:59:00"/>
    <n v="124"/>
    <s v="2:04"/>
    <d v="1899-12-30T01:55:00"/>
    <n v="202"/>
    <n v="62"/>
    <d v="2023-04-06T00:00:00"/>
    <x v="5"/>
    <x v="0"/>
    <s v="Tarjeta de débito"/>
    <n v="33.700000000000003"/>
    <n v="235.7"/>
  </r>
  <r>
    <n v="9"/>
    <s v="Cliente_791"/>
    <n v="5"/>
    <d v="2023-04-06T00:00:00"/>
    <d v="1899-12-30T02:47:00"/>
    <d v="2023-04-06T00:00:00"/>
    <d v="1899-12-30T04:43:00"/>
    <s v="Mesero_3"/>
    <x v="1"/>
    <s v="Tarjeta de crédito"/>
    <n v="49.05"/>
    <s v="Reservada"/>
    <n v="542"/>
    <s v="Chile"/>
    <d v="1899-12-30T01:56:00"/>
    <n v="115"/>
    <s v="1:55"/>
    <d v="1899-12-30T00:01:00"/>
    <n v="148"/>
    <n v="51"/>
    <d v="2023-04-06T00:00:00"/>
    <x v="5"/>
    <x v="0"/>
    <s v="Tarjeta de crédito"/>
    <n v="49.05"/>
    <n v="197.05"/>
  </r>
  <r>
    <n v="19"/>
    <s v="Cliente_996"/>
    <n v="5"/>
    <d v="2023-04-06T00:00:00"/>
    <d v="1899-12-30T00:47:00"/>
    <d v="2023-04-06T00:00:00"/>
    <d v="1899-12-30T03:37:00"/>
    <s v="Mesero_4"/>
    <x v="2"/>
    <s v="Tarjeta de crédito"/>
    <n v="49.37"/>
    <s v="Reservada"/>
    <n v="543"/>
    <s v="Paraguay"/>
    <d v="1899-12-30T02:50:00"/>
    <n v="74"/>
    <s v="1:14"/>
    <d v="1899-12-30T01:36:00"/>
    <n v="206"/>
    <n v="51"/>
    <d v="2023-04-06T00:00:00"/>
    <x v="5"/>
    <x v="0"/>
    <s v="Tarjeta de crédito"/>
    <n v="49.37"/>
    <n v="255.37"/>
  </r>
  <r>
    <n v="7"/>
    <s v="Cliente_392"/>
    <n v="4"/>
    <d v="2023-04-06T00:00:00"/>
    <d v="1899-12-30T03:17:00"/>
    <d v="2023-04-06T00:00:00"/>
    <d v="1899-12-30T04:45:00"/>
    <s v="Mesero_5"/>
    <x v="0"/>
    <s v="Tarjeta de crédito"/>
    <n v="44.91"/>
    <s v="Ocupada"/>
    <n v="544"/>
    <s v="Ecuador"/>
    <d v="1899-12-30T01:43:00"/>
    <n v="48"/>
    <s v="0:48"/>
    <d v="1899-12-30T00:55:00"/>
    <n v="70"/>
    <n v="21"/>
    <d v="2023-04-06T00:00:00"/>
    <x v="5"/>
    <x v="0"/>
    <s v="Tarjeta de crédito"/>
    <n v="44.91"/>
    <n v="114.91"/>
  </r>
  <r>
    <n v="20"/>
    <s v="Cliente_615"/>
    <n v="5"/>
    <d v="2023-04-06T00:00:00"/>
    <d v="1899-12-30T02:39:00"/>
    <d v="2023-04-06T00:00:00"/>
    <d v="1899-12-30T04:26:00"/>
    <s v="Mesero_2"/>
    <x v="0"/>
    <s v="Efectivo"/>
    <n v="12.18"/>
    <s v="Ocupada"/>
    <n v="545"/>
    <s v="Chile"/>
    <d v="1899-12-30T02:02:00"/>
    <n v="99"/>
    <s v="1:39"/>
    <d v="1899-12-30T00:23:00"/>
    <n v="130"/>
    <n v="39"/>
    <d v="2023-04-06T00:00:00"/>
    <x v="5"/>
    <x v="0"/>
    <s v="Efectivo"/>
    <n v="12.18"/>
    <n v="142.18"/>
  </r>
  <r>
    <n v="5"/>
    <s v="Cliente_968"/>
    <n v="2"/>
    <d v="2023-04-06T00:00:00"/>
    <d v="1899-12-30T03:14:00"/>
    <d v="2023-04-06T00:00:00"/>
    <d v="1899-12-30T05:29:00"/>
    <s v="Mesero_4"/>
    <x v="0"/>
    <s v="Tarjeta de débito"/>
    <n v="47.81"/>
    <s v="Reservada"/>
    <n v="546"/>
    <s v="Bolivia"/>
    <d v="1899-12-30T02:15:00"/>
    <n v="91"/>
    <s v="1:31"/>
    <d v="1899-12-30T00:44:00"/>
    <n v="92"/>
    <n v="35"/>
    <d v="2023-04-06T00:00:00"/>
    <x v="5"/>
    <x v="0"/>
    <s v="Tarjeta de débito"/>
    <n v="47.81"/>
    <n v="139.81"/>
  </r>
  <r>
    <n v="9"/>
    <s v="Cliente_206"/>
    <n v="3"/>
    <d v="2023-04-06T00:00:00"/>
    <d v="1899-12-30T02:43:00"/>
    <d v="2023-04-06T00:00:00"/>
    <d v="1899-12-30T04:36:00"/>
    <s v="Mesero_5"/>
    <x v="2"/>
    <s v="Tarjeta de crédito"/>
    <n v="20.04"/>
    <s v="Ocupada"/>
    <n v="547"/>
    <s v="Colombia"/>
    <d v="1899-12-30T02:08:00"/>
    <n v="97"/>
    <s v="1:37"/>
    <d v="1899-12-30T00:31:00"/>
    <n v="227"/>
    <n v="60"/>
    <d v="2023-04-06T00:00:00"/>
    <x v="5"/>
    <x v="0"/>
    <s v="Tarjeta de crédito"/>
    <n v="20.04"/>
    <n v="247.04"/>
  </r>
  <r>
    <n v="4"/>
    <s v="Cliente_669"/>
    <n v="2"/>
    <d v="2023-04-06T00:00:00"/>
    <d v="1899-12-30T00:55:00"/>
    <d v="2023-04-06T00:00:00"/>
    <d v="1899-12-30T04:03:00"/>
    <s v="Mesero_2"/>
    <x v="0"/>
    <s v="Tarjeta de crédito"/>
    <n v="28.88"/>
    <s v="Libre"/>
    <n v="548"/>
    <s v="Chile"/>
    <d v="1899-12-30T03:08:00"/>
    <n v="106"/>
    <s v="1:46"/>
    <d v="1899-12-30T01:22:00"/>
    <n v="96"/>
    <n v="39"/>
    <d v="2023-04-06T00:00:00"/>
    <x v="5"/>
    <x v="0"/>
    <s v="Tarjeta de crédito"/>
    <n v="28.88"/>
    <n v="124.88"/>
  </r>
  <r>
    <n v="12"/>
    <s v="Cliente_195"/>
    <n v="2"/>
    <d v="2023-04-06T00:00:00"/>
    <d v="1899-12-30T01:33:00"/>
    <d v="2023-04-06T00:00:00"/>
    <d v="1899-12-30T05:26:00"/>
    <s v="Mesero_1"/>
    <x v="0"/>
    <s v="Tarjeta de crédito"/>
    <n v="35.340000000000003"/>
    <s v="Libre"/>
    <n v="549"/>
    <s v="Colombia"/>
    <d v="1899-12-30T03:53:00"/>
    <n v="98"/>
    <s v="1:38"/>
    <d v="1899-12-30T02:15:00"/>
    <n v="162"/>
    <n v="56"/>
    <d v="2023-04-06T00:00:00"/>
    <x v="5"/>
    <x v="0"/>
    <s v="Tarjeta de crédito"/>
    <n v="35.340000000000003"/>
    <n v="197.34"/>
  </r>
  <r>
    <n v="1"/>
    <s v="Cliente_900"/>
    <n v="6"/>
    <d v="2023-04-06T00:00:00"/>
    <d v="1899-12-30T01:08:00"/>
    <d v="2023-04-06T00:00:00"/>
    <d v="1899-12-30T02:39:00"/>
    <s v="Mesero_3"/>
    <x v="0"/>
    <s v="Tarjeta de crédito"/>
    <n v="28.33"/>
    <s v="Ocupada"/>
    <n v="550"/>
    <s v="Brasil"/>
    <d v="1899-12-30T01:46:00"/>
    <n v="57"/>
    <s v="0:57"/>
    <d v="1899-12-30T00:49:00"/>
    <n v="124"/>
    <n v="44"/>
    <d v="2023-04-06T00:00:00"/>
    <x v="5"/>
    <x v="0"/>
    <s v="Tarjeta de crédito"/>
    <n v="28.33"/>
    <n v="152.32999999999998"/>
  </r>
  <r>
    <n v="4"/>
    <s v="Cliente_705"/>
    <n v="2"/>
    <d v="2023-04-06T00:00:00"/>
    <d v="1899-12-30T02:58:00"/>
    <d v="2023-04-06T00:00:00"/>
    <d v="1899-12-30T04:10:00"/>
    <s v="Mesero_3"/>
    <x v="1"/>
    <s v="Tarjeta de crédito"/>
    <n v="17.54"/>
    <s v="Reservada"/>
    <n v="551"/>
    <s v="Paraguay"/>
    <d v="1899-12-30T01:12:00"/>
    <n v="123"/>
    <s v="2:03"/>
    <d v="1899-12-30T00:00:00"/>
    <n v="171"/>
    <n v="53"/>
    <d v="2023-04-06T00:00:00"/>
    <x v="5"/>
    <x v="1"/>
    <s v="Impago"/>
    <n v="0"/>
    <n v="0"/>
  </r>
  <r>
    <n v="11"/>
    <s v="Cliente_462"/>
    <n v="6"/>
    <d v="2023-04-06T00:00:00"/>
    <d v="1899-12-30T00:26:00"/>
    <d v="2023-04-06T00:00:00"/>
    <d v="1899-12-30T03:54:00"/>
    <s v="Mesero_3"/>
    <x v="2"/>
    <s v="Tarjeta de débito"/>
    <n v="10.28"/>
    <s v="Libre"/>
    <n v="552"/>
    <s v="España"/>
    <d v="1899-12-30T03:28:00"/>
    <n v="115"/>
    <s v="1:55"/>
    <d v="1899-12-30T01:33:00"/>
    <n v="243"/>
    <n v="50"/>
    <d v="2023-04-06T00:00:00"/>
    <x v="5"/>
    <x v="0"/>
    <s v="Tarjeta de débito"/>
    <n v="10.28"/>
    <n v="253.28"/>
  </r>
  <r>
    <n v="14"/>
    <s v="Cliente_809"/>
    <n v="2"/>
    <d v="2023-04-06T00:00:00"/>
    <d v="1899-12-30T02:45:00"/>
    <d v="2023-04-06T00:00:00"/>
    <d v="1899-12-30T05:24:00"/>
    <s v="Mesero_3"/>
    <x v="0"/>
    <s v="Tarjeta de crédito"/>
    <n v="44.38"/>
    <s v="Libre"/>
    <n v="553"/>
    <s v="Brasil"/>
    <d v="1899-12-30T02:39:00"/>
    <n v="178"/>
    <s v="2:58"/>
    <d v="1899-12-30T00:00:00"/>
    <n v="203"/>
    <n v="57"/>
    <d v="2023-04-06T00:00:00"/>
    <x v="5"/>
    <x v="1"/>
    <s v="Impago"/>
    <n v="0"/>
    <n v="0"/>
  </r>
  <r>
    <n v="10"/>
    <s v="Cliente_21"/>
    <n v="6"/>
    <d v="2023-04-06T00:00:00"/>
    <d v="1899-12-30T01:30:00"/>
    <d v="2023-04-06T00:00:00"/>
    <d v="1899-12-30T02:55:00"/>
    <s v="Mesero_3"/>
    <x v="0"/>
    <s v="Tarjeta de débito"/>
    <n v="19.600000000000001"/>
    <s v="Ocupada"/>
    <n v="554"/>
    <s v="España"/>
    <d v="1899-12-30T01:40:00"/>
    <n v="71"/>
    <s v="1:11"/>
    <d v="1899-12-30T00:29:00"/>
    <n v="166"/>
    <n v="39"/>
    <d v="2023-04-06T00:00:00"/>
    <x v="5"/>
    <x v="0"/>
    <s v="Tarjeta de débito"/>
    <n v="19.600000000000001"/>
    <n v="185.6"/>
  </r>
  <r>
    <n v="20"/>
    <s v="Cliente_110"/>
    <n v="1"/>
    <d v="2023-04-06T00:00:00"/>
    <d v="1899-12-30T01:59:00"/>
    <d v="2023-04-06T00:00:00"/>
    <d v="1899-12-30T05:02:00"/>
    <s v="Mesero_2"/>
    <x v="1"/>
    <s v="Efectivo"/>
    <n v="41.08"/>
    <s v="Libre"/>
    <n v="555"/>
    <s v="Brasil"/>
    <d v="1899-12-30T03:03:00"/>
    <n v="46"/>
    <s v="0:46"/>
    <d v="1899-12-30T02:17:00"/>
    <n v="30"/>
    <n v="18"/>
    <d v="2023-04-06T00:00:00"/>
    <x v="5"/>
    <x v="0"/>
    <s v="Efectivo"/>
    <n v="41.08"/>
    <n v="71.08"/>
  </r>
  <r>
    <n v="9"/>
    <s v="Cliente_814"/>
    <n v="6"/>
    <d v="2023-04-06T00:00:00"/>
    <d v="1899-12-30T03:57:00"/>
    <d v="2023-04-06T00:00:00"/>
    <d v="1899-12-30T07:41:00"/>
    <s v="Mesero_2"/>
    <x v="0"/>
    <s v="Tarjeta de débito"/>
    <n v="14.09"/>
    <s v="Libre"/>
    <n v="556"/>
    <s v="Paraguay"/>
    <d v="1899-12-30T03:44:00"/>
    <n v="66"/>
    <s v="1:06"/>
    <d v="1899-12-30T02:38:00"/>
    <n v="76"/>
    <n v="23"/>
    <d v="2023-04-06T00:00:00"/>
    <x v="5"/>
    <x v="0"/>
    <s v="Tarjeta de débito"/>
    <n v="14.09"/>
    <n v="90.09"/>
  </r>
  <r>
    <n v="7"/>
    <s v="Cliente_381"/>
    <n v="5"/>
    <d v="2023-04-06T00:00:00"/>
    <d v="1899-12-30T03:52:00"/>
    <d v="2023-04-06T00:00:00"/>
    <d v="1899-12-30T07:39:00"/>
    <s v="Mesero_2"/>
    <x v="0"/>
    <s v="Efectivo"/>
    <n v="35.880000000000003"/>
    <s v="Ocupada"/>
    <n v="557"/>
    <s v="Ecuador"/>
    <d v="1899-12-30T04:02:00"/>
    <n v="107"/>
    <s v="1:47"/>
    <d v="1899-12-30T02:15:00"/>
    <n v="177"/>
    <n v="47"/>
    <d v="2023-04-06T00:00:00"/>
    <x v="5"/>
    <x v="0"/>
    <s v="Efectivo"/>
    <n v="35.880000000000003"/>
    <n v="212.88"/>
  </r>
  <r>
    <n v="6"/>
    <s v="Cliente_284"/>
    <n v="4"/>
    <d v="2023-04-06T00:00:00"/>
    <d v="1899-12-30T00:18:00"/>
    <d v="2023-04-06T00:00:00"/>
    <d v="1899-12-30T03:06:00"/>
    <s v="Mesero_1"/>
    <x v="0"/>
    <s v="Tarjeta de crédito"/>
    <n v="45.26"/>
    <s v="Reservada"/>
    <n v="558"/>
    <s v="Paraguay"/>
    <d v="1899-12-30T02:48:00"/>
    <n v="167"/>
    <s v="2:47"/>
    <d v="1899-12-30T00:01:00"/>
    <n v="179"/>
    <n v="54"/>
    <d v="2023-04-06T00:00:00"/>
    <x v="5"/>
    <x v="0"/>
    <s v="Tarjeta de crédito"/>
    <n v="45.26"/>
    <n v="224.26"/>
  </r>
  <r>
    <n v="11"/>
    <s v="Cliente_728"/>
    <n v="1"/>
    <d v="2023-04-06T00:00:00"/>
    <d v="1899-12-30T00:14:00"/>
    <d v="2023-04-06T00:00:00"/>
    <d v="1899-12-30T03:59:00"/>
    <s v="Mesero_2"/>
    <x v="0"/>
    <s v="Tarjeta de crédito"/>
    <n v="24.36"/>
    <s v="Reservada"/>
    <n v="559"/>
    <s v="Uruguay"/>
    <d v="1899-12-30T03:45:00"/>
    <n v="41"/>
    <s v="0:41"/>
    <d v="1899-12-30T03:04:00"/>
    <n v="99"/>
    <n v="20"/>
    <d v="2023-04-06T00:00:00"/>
    <x v="5"/>
    <x v="0"/>
    <s v="Tarjeta de crédito"/>
    <n v="24.36"/>
    <n v="123.36"/>
  </r>
  <r>
    <n v="6"/>
    <s v="Cliente_610"/>
    <n v="6"/>
    <d v="2023-04-06T00:00:00"/>
    <d v="1899-12-30T00:15:00"/>
    <d v="2023-04-06T00:00:00"/>
    <d v="1899-12-30T03:17:00"/>
    <s v="Mesero_5"/>
    <x v="2"/>
    <s v="Tarjeta de débito"/>
    <n v="31.53"/>
    <s v="Reservada"/>
    <n v="560"/>
    <s v="Argentina"/>
    <d v="1899-12-30T03:02:00"/>
    <n v="48"/>
    <s v="0:48"/>
    <d v="1899-12-30T02:14:00"/>
    <n v="111"/>
    <n v="25"/>
    <d v="2023-04-06T00:00:00"/>
    <x v="5"/>
    <x v="0"/>
    <s v="Tarjeta de débito"/>
    <n v="31.53"/>
    <n v="142.53"/>
  </r>
  <r>
    <n v="4"/>
    <s v="Cliente_190"/>
    <n v="2"/>
    <d v="2023-04-06T00:00:00"/>
    <d v="1899-12-30T01:13:00"/>
    <d v="2023-04-06T00:00:00"/>
    <d v="1899-12-30T03:39:00"/>
    <s v="Mesero_1"/>
    <x v="0"/>
    <s v="Tarjeta de crédito"/>
    <n v="44.24"/>
    <s v="Reservada"/>
    <n v="561"/>
    <s v="Chile"/>
    <d v="1899-12-30T02:26:00"/>
    <n v="64"/>
    <s v="1:04"/>
    <d v="1899-12-30T01:22:00"/>
    <n v="64"/>
    <n v="24"/>
    <d v="2023-04-06T00:00:00"/>
    <x v="5"/>
    <x v="0"/>
    <s v="Tarjeta de crédito"/>
    <n v="44.24"/>
    <n v="108.24000000000001"/>
  </r>
  <r>
    <n v="20"/>
    <s v="Cliente_454"/>
    <n v="3"/>
    <d v="2023-04-06T00:00:00"/>
    <d v="1899-12-30T02:36:00"/>
    <d v="2023-04-06T00:00:00"/>
    <d v="1899-12-30T06:20:00"/>
    <s v="Mesero_1"/>
    <x v="2"/>
    <s v="Tarjeta de crédito"/>
    <n v="21.49"/>
    <s v="Libre"/>
    <n v="562"/>
    <s v="Venezuela"/>
    <d v="1899-12-30T03:44:00"/>
    <n v="112"/>
    <s v="1:52"/>
    <d v="1899-12-30T01:52:00"/>
    <n v="288"/>
    <n v="75"/>
    <d v="2023-04-06T00:00:00"/>
    <x v="5"/>
    <x v="0"/>
    <s v="Tarjeta de crédito"/>
    <n v="21.49"/>
    <n v="309.49"/>
  </r>
  <r>
    <n v="12"/>
    <s v="Cliente_865"/>
    <n v="3"/>
    <d v="2023-04-06T00:00:00"/>
    <d v="1899-12-30T03:04:00"/>
    <d v="2023-04-06T00:00:00"/>
    <d v="1899-12-30T04:43:00"/>
    <s v="Mesero_5"/>
    <x v="1"/>
    <s v="Efectivo"/>
    <n v="20.07"/>
    <s v="Ocupada"/>
    <n v="563"/>
    <s v="Argentina"/>
    <d v="1899-12-30T01:54:00"/>
    <n v="37"/>
    <s v="0:37"/>
    <d v="1899-12-30T01:17:00"/>
    <n v="54"/>
    <n v="16"/>
    <d v="2023-04-06T00:00:00"/>
    <x v="5"/>
    <x v="0"/>
    <s v="Efectivo"/>
    <n v="20.07"/>
    <n v="74.069999999999993"/>
  </r>
  <r>
    <n v="9"/>
    <s v="Cliente_825"/>
    <n v="3"/>
    <d v="2023-04-06T00:00:00"/>
    <d v="1899-12-30T00:31:00"/>
    <d v="2023-04-06T00:00:00"/>
    <d v="1899-12-30T02:23:00"/>
    <s v="Mesero_5"/>
    <x v="2"/>
    <s v="Efectivo"/>
    <n v="33.08"/>
    <s v="Reservada"/>
    <n v="564"/>
    <s v="Venezuela"/>
    <d v="1899-12-30T01:52:00"/>
    <n v="54"/>
    <s v="0:54"/>
    <d v="1899-12-30T00:58:00"/>
    <n v="156"/>
    <n v="59"/>
    <d v="2023-04-06T00:00:00"/>
    <x v="5"/>
    <x v="0"/>
    <s v="Efectivo"/>
    <n v="33.08"/>
    <n v="189.07999999999998"/>
  </r>
  <r>
    <n v="3"/>
    <s v="Cliente_134"/>
    <n v="6"/>
    <d v="2023-04-06T00:00:00"/>
    <d v="1899-12-30T02:39:00"/>
    <d v="2023-04-06T00:00:00"/>
    <d v="1899-12-30T05:29:00"/>
    <s v="Mesero_1"/>
    <x v="0"/>
    <s v="Tarjeta de crédito"/>
    <n v="15.11"/>
    <s v="Libre"/>
    <n v="565"/>
    <s v="Venezuela"/>
    <d v="1899-12-30T02:50:00"/>
    <n v="98"/>
    <s v="1:38"/>
    <d v="1899-12-30T01:12:00"/>
    <n v="251"/>
    <n v="70"/>
    <d v="2023-04-06T00:00:00"/>
    <x v="5"/>
    <x v="0"/>
    <s v="Tarjeta de crédito"/>
    <n v="15.11"/>
    <n v="266.11"/>
  </r>
  <r>
    <n v="4"/>
    <s v="Cliente_88"/>
    <n v="3"/>
    <d v="2023-04-06T00:00:00"/>
    <d v="1899-12-30T01:45:00"/>
    <d v="2023-04-06T00:00:00"/>
    <d v="1899-12-30T04:57:00"/>
    <s v="Mesero_3"/>
    <x v="0"/>
    <s v="Tarjeta de crédito"/>
    <n v="42.62"/>
    <s v="Libre"/>
    <n v="566"/>
    <s v="Uruguay"/>
    <d v="1899-12-30T03:12:00"/>
    <n v="56"/>
    <s v="0:56"/>
    <d v="1899-12-30T02:16:00"/>
    <n v="78"/>
    <n v="15"/>
    <d v="2023-04-06T00:00:00"/>
    <x v="5"/>
    <x v="0"/>
    <s v="Tarjeta de crédito"/>
    <n v="42.62"/>
    <n v="120.62"/>
  </r>
  <r>
    <n v="15"/>
    <s v="Cliente_789"/>
    <n v="4"/>
    <d v="2023-04-06T00:00:00"/>
    <d v="1899-12-30T01:59:00"/>
    <d v="2023-04-06T00:00:00"/>
    <d v="1899-12-30T05:16:00"/>
    <s v="Mesero_4"/>
    <x v="0"/>
    <s v="Tarjeta de débito"/>
    <n v="42.83"/>
    <s v="Ocupada"/>
    <n v="567"/>
    <s v="Chile"/>
    <d v="1899-12-30T03:32:00"/>
    <n v="102"/>
    <s v="1:42"/>
    <d v="1899-12-30T01:50:00"/>
    <n v="253"/>
    <n v="69"/>
    <d v="2023-04-06T00:00:00"/>
    <x v="5"/>
    <x v="0"/>
    <s v="Tarjeta de débito"/>
    <n v="42.83"/>
    <n v="295.83"/>
  </r>
  <r>
    <n v="5"/>
    <s v="Cliente_63"/>
    <n v="1"/>
    <d v="2023-04-06T00:00:00"/>
    <d v="1899-12-30T01:39:00"/>
    <d v="2023-04-06T00:00:00"/>
    <d v="1899-12-30T03:28:00"/>
    <s v="Mesero_4"/>
    <x v="0"/>
    <s v="Tarjeta de débito"/>
    <n v="21.13"/>
    <s v="Ocupada"/>
    <n v="568"/>
    <s v="Colombia"/>
    <d v="1899-12-30T02:04:00"/>
    <n v="84"/>
    <s v="1:24"/>
    <d v="1899-12-30T00:40:00"/>
    <n v="182"/>
    <n v="45"/>
    <d v="2023-04-06T00:00:00"/>
    <x v="5"/>
    <x v="0"/>
    <s v="Tarjeta de débito"/>
    <n v="21.13"/>
    <n v="203.13"/>
  </r>
  <r>
    <n v="12"/>
    <s v="Cliente_555"/>
    <n v="5"/>
    <d v="2023-04-06T00:00:00"/>
    <d v="1899-12-30T01:28:00"/>
    <d v="2023-04-06T00:00:00"/>
    <d v="1899-12-30T03:05:00"/>
    <s v="Mesero_1"/>
    <x v="0"/>
    <s v="Tarjeta de crédito"/>
    <n v="28.52"/>
    <s v="Reservada"/>
    <n v="569"/>
    <s v="Bolivia"/>
    <d v="1899-12-30T01:37:00"/>
    <n v="58"/>
    <s v="0:58"/>
    <d v="1899-12-30T00:39:00"/>
    <n v="131"/>
    <n v="33"/>
    <d v="2023-04-06T00:00:00"/>
    <x v="5"/>
    <x v="0"/>
    <s v="Tarjeta de crédito"/>
    <n v="28.52"/>
    <n v="159.52000000000001"/>
  </r>
  <r>
    <n v="1"/>
    <s v="Cliente_887"/>
    <n v="6"/>
    <d v="2023-04-06T00:00:00"/>
    <d v="1899-12-30T02:40:00"/>
    <d v="2023-04-06T00:00:00"/>
    <d v="1899-12-30T04:27:00"/>
    <s v="Mesero_5"/>
    <x v="0"/>
    <s v="Tarjeta de crédito"/>
    <n v="38.4"/>
    <s v="Libre"/>
    <n v="570"/>
    <s v="Colombia"/>
    <d v="1899-12-30T01:47:00"/>
    <n v="46"/>
    <s v="0:46"/>
    <d v="1899-12-30T01:01:00"/>
    <n v="85"/>
    <n v="35"/>
    <d v="2023-04-06T00:00:00"/>
    <x v="5"/>
    <x v="0"/>
    <s v="Tarjeta de crédito"/>
    <n v="38.4"/>
    <n v="123.4"/>
  </r>
  <r>
    <n v="15"/>
    <s v="Cliente_710"/>
    <n v="2"/>
    <d v="2023-04-06T00:00:00"/>
    <d v="1899-12-30T01:21:00"/>
    <d v="2023-04-06T00:00:00"/>
    <d v="1899-12-30T02:54:00"/>
    <s v="Mesero_5"/>
    <x v="0"/>
    <s v="Tarjeta de crédito"/>
    <n v="49.54"/>
    <s v="Libre"/>
    <n v="571"/>
    <s v="Perú"/>
    <d v="1899-12-30T01:33:00"/>
    <n v="26"/>
    <s v="0:26"/>
    <d v="1899-12-30T01:07:00"/>
    <n v="54"/>
    <n v="16"/>
    <d v="2023-04-06T00:00:00"/>
    <x v="5"/>
    <x v="0"/>
    <s v="Tarjeta de crédito"/>
    <n v="49.54"/>
    <n v="103.53999999999999"/>
  </r>
  <r>
    <n v="19"/>
    <s v="Cliente_913"/>
    <n v="3"/>
    <d v="2023-04-06T00:00:00"/>
    <d v="1899-12-30T02:53:00"/>
    <d v="2023-04-06T00:00:00"/>
    <d v="1899-12-30T06:27:00"/>
    <s v="Mesero_4"/>
    <x v="0"/>
    <s v="Efectivo"/>
    <n v="46.21"/>
    <s v="Ocupada"/>
    <n v="572"/>
    <s v="Brasil"/>
    <d v="1899-12-30T03:49:00"/>
    <n v="44"/>
    <s v="0:44"/>
    <d v="1899-12-30T03:05:00"/>
    <n v="74"/>
    <n v="31"/>
    <d v="2023-04-06T00:00:00"/>
    <x v="5"/>
    <x v="0"/>
    <s v="Efectivo"/>
    <n v="46.21"/>
    <n v="120.21000000000001"/>
  </r>
  <r>
    <n v="7"/>
    <s v="Cliente_41"/>
    <n v="3"/>
    <d v="2023-04-06T00:00:00"/>
    <d v="1899-12-30T03:12:00"/>
    <d v="2023-04-06T00:00:00"/>
    <d v="1899-12-30T07:09:00"/>
    <s v="Mesero_3"/>
    <x v="0"/>
    <s v="Tarjeta de crédito"/>
    <n v="47.08"/>
    <s v="Ocupada"/>
    <n v="573"/>
    <s v="Chile"/>
    <d v="1899-12-30T04:12:00"/>
    <n v="69"/>
    <s v="1:09"/>
    <d v="1899-12-30T03:03:00"/>
    <n v="165"/>
    <n v="33"/>
    <d v="2023-04-06T00:00:00"/>
    <x v="5"/>
    <x v="0"/>
    <s v="Tarjeta de crédito"/>
    <n v="47.08"/>
    <n v="212.07999999999998"/>
  </r>
  <r>
    <n v="20"/>
    <s v="Cliente_738"/>
    <n v="3"/>
    <d v="2023-04-06T00:00:00"/>
    <d v="1899-12-30T00:31:00"/>
    <d v="2023-04-06T00:00:00"/>
    <d v="1899-12-30T03:08:00"/>
    <s v="Mesero_5"/>
    <x v="0"/>
    <s v="Tarjeta de crédito"/>
    <n v="42.57"/>
    <s v="Libre"/>
    <n v="574"/>
    <s v="Brasil"/>
    <d v="1899-12-30T02:37:00"/>
    <n v="168"/>
    <s v="2:48"/>
    <d v="1899-12-30T00:00:00"/>
    <n v="207"/>
    <n v="60"/>
    <d v="2023-04-06T00:00:00"/>
    <x v="5"/>
    <x v="1"/>
    <s v="Impago"/>
    <n v="0"/>
    <n v="0"/>
  </r>
  <r>
    <n v="15"/>
    <s v="Cliente_268"/>
    <n v="4"/>
    <d v="2023-04-06T00:00:00"/>
    <d v="1899-12-30T01:36:00"/>
    <d v="2023-04-06T00:00:00"/>
    <d v="1899-12-30T04:44:00"/>
    <s v="Mesero_4"/>
    <x v="0"/>
    <s v="Tarjeta de crédito"/>
    <n v="33.520000000000003"/>
    <s v="Libre"/>
    <n v="575"/>
    <s v="Paraguay"/>
    <d v="1899-12-30T03:08:00"/>
    <n v="44"/>
    <s v="0:44"/>
    <d v="1899-12-30T02:24:00"/>
    <n v="18"/>
    <n v="10"/>
    <d v="2023-04-06T00:00:00"/>
    <x v="5"/>
    <x v="0"/>
    <s v="Tarjeta de crédito"/>
    <n v="33.520000000000003"/>
    <n v="51.52"/>
  </r>
  <r>
    <n v="9"/>
    <s v="Cliente_280"/>
    <n v="1"/>
    <d v="2023-04-06T00:00:00"/>
    <d v="1899-12-30T03:57:00"/>
    <d v="2023-04-06T00:00:00"/>
    <d v="1899-12-30T07:06:00"/>
    <s v="Mesero_4"/>
    <x v="2"/>
    <s v="Efectivo"/>
    <n v="21.71"/>
    <s v="Reservada"/>
    <n v="576"/>
    <s v="Uruguay"/>
    <d v="1899-12-30T03:09:00"/>
    <n v="115"/>
    <s v="1:55"/>
    <d v="1899-12-30T01:14:00"/>
    <n v="234"/>
    <n v="61"/>
    <d v="2023-04-06T00:00:00"/>
    <x v="5"/>
    <x v="0"/>
    <s v="Efectivo"/>
    <n v="21.71"/>
    <n v="255.71"/>
  </r>
  <r>
    <n v="5"/>
    <s v="Cliente_117"/>
    <n v="4"/>
    <d v="2023-04-06T00:00:00"/>
    <d v="1899-12-30T03:13:00"/>
    <d v="2023-04-06T00:00:00"/>
    <d v="1899-12-30T06:40:00"/>
    <s v="Mesero_4"/>
    <x v="0"/>
    <s v="Tarjeta de crédito"/>
    <n v="34.119999999999997"/>
    <s v="Libre"/>
    <n v="577"/>
    <s v="Perú"/>
    <d v="1899-12-30T03:27:00"/>
    <n v="25"/>
    <s v="0:25"/>
    <d v="1899-12-30T03:02:00"/>
    <n v="40"/>
    <n v="23"/>
    <d v="2023-04-06T00:00:00"/>
    <x v="5"/>
    <x v="0"/>
    <s v="Tarjeta de crédito"/>
    <n v="34.119999999999997"/>
    <n v="74.12"/>
  </r>
  <r>
    <n v="11"/>
    <s v="Cliente_83"/>
    <n v="6"/>
    <d v="2023-04-06T00:00:00"/>
    <d v="1899-12-30T02:11:00"/>
    <d v="2023-04-06T00:00:00"/>
    <d v="1899-12-30T04:24:00"/>
    <s v="Mesero_3"/>
    <x v="0"/>
    <s v="Tarjeta de crédito"/>
    <n v="32.799999999999997"/>
    <s v="Ocupada"/>
    <n v="578"/>
    <s v="España"/>
    <d v="1899-12-30T02:28:00"/>
    <n v="44"/>
    <s v="0:44"/>
    <d v="1899-12-30T01:44:00"/>
    <n v="90"/>
    <n v="18"/>
    <d v="2023-04-06T00:00:00"/>
    <x v="5"/>
    <x v="0"/>
    <s v="Tarjeta de crédito"/>
    <n v="32.799999999999997"/>
    <n v="122.8"/>
  </r>
  <r>
    <n v="9"/>
    <s v="Cliente_988"/>
    <n v="2"/>
    <d v="2023-04-06T00:00:00"/>
    <d v="1899-12-30T00:10:00"/>
    <d v="2023-04-06T00:00:00"/>
    <d v="1899-12-30T02:17:00"/>
    <s v="Mesero_3"/>
    <x v="0"/>
    <s v="Tarjeta de crédito"/>
    <n v="35.96"/>
    <s v="Libre"/>
    <n v="579"/>
    <s v="Paraguay"/>
    <d v="1899-12-30T02:07:00"/>
    <n v="48"/>
    <s v="0:48"/>
    <d v="1899-12-30T01:19:00"/>
    <n v="50"/>
    <n v="15"/>
    <d v="2023-04-06T00:00:00"/>
    <x v="5"/>
    <x v="0"/>
    <s v="Tarjeta de crédito"/>
    <n v="35.96"/>
    <n v="85.960000000000008"/>
  </r>
  <r>
    <n v="10"/>
    <s v="Cliente_606"/>
    <n v="5"/>
    <d v="2023-04-06T00:00:00"/>
    <d v="1899-12-30T00:06:00"/>
    <d v="2023-04-06T00:00:00"/>
    <d v="1899-12-30T01:18:00"/>
    <s v="Mesero_4"/>
    <x v="0"/>
    <s v="Tarjeta de débito"/>
    <n v="44.54"/>
    <s v="Libre"/>
    <n v="580"/>
    <s v="Uruguay"/>
    <d v="1899-12-30T01:12:00"/>
    <n v="30"/>
    <s v="0:30"/>
    <d v="1899-12-30T00:42:00"/>
    <n v="33"/>
    <n v="20"/>
    <d v="2023-04-06T00:00:00"/>
    <x v="5"/>
    <x v="0"/>
    <s v="Tarjeta de débito"/>
    <n v="44.54"/>
    <n v="77.539999999999992"/>
  </r>
  <r>
    <n v="18"/>
    <s v="Cliente_384"/>
    <n v="5"/>
    <d v="2023-04-06T00:00:00"/>
    <d v="1899-12-30T03:33:00"/>
    <d v="2023-04-06T00:00:00"/>
    <d v="1899-12-30T05:08:00"/>
    <s v="Mesero_4"/>
    <x v="0"/>
    <s v="Tarjeta de crédito"/>
    <n v="13.27"/>
    <s v="Ocupada"/>
    <n v="581"/>
    <s v="Perú"/>
    <d v="1899-12-30T01:50:00"/>
    <n v="55"/>
    <s v="0:55"/>
    <d v="1899-12-30T00:55:00"/>
    <n v="123"/>
    <n v="38"/>
    <d v="2023-04-06T00:00:00"/>
    <x v="5"/>
    <x v="0"/>
    <s v="Tarjeta de crédito"/>
    <n v="13.27"/>
    <n v="136.27000000000001"/>
  </r>
  <r>
    <n v="3"/>
    <s v="Cliente_372"/>
    <n v="1"/>
    <d v="2023-04-06T00:00:00"/>
    <d v="1899-12-30T03:48:00"/>
    <d v="2023-04-06T00:00:00"/>
    <d v="1899-12-30T05:09:00"/>
    <s v="Mesero_2"/>
    <x v="0"/>
    <s v="Tarjeta de crédito"/>
    <n v="20.23"/>
    <s v="Reservada"/>
    <n v="582"/>
    <s v="Uruguay"/>
    <d v="1899-12-30T01:21:00"/>
    <n v="42"/>
    <s v="0:42"/>
    <d v="1899-12-30T00:39:00"/>
    <n v="54"/>
    <n v="16"/>
    <d v="2023-04-06T00:00:00"/>
    <x v="5"/>
    <x v="0"/>
    <s v="Tarjeta de crédito"/>
    <n v="20.23"/>
    <n v="74.23"/>
  </r>
  <r>
    <n v="9"/>
    <s v="Cliente_429"/>
    <n v="2"/>
    <d v="2023-04-06T00:00:00"/>
    <d v="1899-12-30T01:41:00"/>
    <d v="2023-04-06T00:00:00"/>
    <d v="1899-12-30T03:34:00"/>
    <s v="Mesero_2"/>
    <x v="2"/>
    <s v="Tarjeta de débito"/>
    <n v="35.99"/>
    <s v="Libre"/>
    <n v="583"/>
    <s v="Brasil"/>
    <d v="1899-12-30T01:53:00"/>
    <n v="105"/>
    <s v="1:45"/>
    <d v="1899-12-30T00:08:00"/>
    <n v="243"/>
    <n v="60"/>
    <d v="2023-04-06T00:00:00"/>
    <x v="5"/>
    <x v="0"/>
    <s v="Tarjeta de débito"/>
    <n v="35.99"/>
    <n v="278.99"/>
  </r>
  <r>
    <n v="9"/>
    <s v="Cliente_283"/>
    <n v="4"/>
    <d v="2023-04-06T00:00:00"/>
    <d v="1899-12-30T03:35:00"/>
    <d v="2023-04-06T00:00:00"/>
    <d v="1899-12-30T06:59:00"/>
    <s v="Mesero_3"/>
    <x v="0"/>
    <s v="Tarjeta de débito"/>
    <n v="36.979999999999997"/>
    <s v="Reservada"/>
    <n v="584"/>
    <s v="Chile"/>
    <d v="1899-12-30T03:24:00"/>
    <n v="114"/>
    <s v="1:54"/>
    <d v="1899-12-30T01:30:00"/>
    <n v="139"/>
    <n v="48"/>
    <d v="2023-04-06T00:00:00"/>
    <x v="5"/>
    <x v="0"/>
    <s v="Tarjeta de débito"/>
    <n v="36.979999999999997"/>
    <n v="175.98"/>
  </r>
  <r>
    <n v="3"/>
    <s v="Cliente_876"/>
    <n v="5"/>
    <d v="2023-04-06T00:00:00"/>
    <d v="1899-12-30T01:23:00"/>
    <d v="2023-04-06T00:00:00"/>
    <d v="1899-12-30T02:37:00"/>
    <s v="Mesero_3"/>
    <x v="1"/>
    <s v="Tarjeta de crédito"/>
    <n v="10.07"/>
    <s v="Libre"/>
    <n v="585"/>
    <s v="Ecuador"/>
    <d v="1899-12-30T01:14:00"/>
    <n v="95"/>
    <s v="1:35"/>
    <d v="1899-12-30T00:00:00"/>
    <n v="128"/>
    <n v="65"/>
    <d v="2023-04-06T00:00:00"/>
    <x v="5"/>
    <x v="1"/>
    <s v="Impago"/>
    <n v="0"/>
    <n v="0"/>
  </r>
  <r>
    <n v="17"/>
    <s v="Cliente_857"/>
    <n v="5"/>
    <d v="2023-04-06T00:00:00"/>
    <d v="1899-12-30T00:44:00"/>
    <d v="2023-04-06T00:00:00"/>
    <d v="1899-12-30T03:55:00"/>
    <s v="Mesero_3"/>
    <x v="2"/>
    <s v="Efectivo"/>
    <n v="32.79"/>
    <s v="Ocupada"/>
    <n v="586"/>
    <s v="Venezuela"/>
    <d v="1899-12-30T03:26:00"/>
    <n v="92"/>
    <s v="1:32"/>
    <d v="1899-12-30T01:54:00"/>
    <n v="171"/>
    <n v="34"/>
    <d v="2023-04-06T00:00:00"/>
    <x v="5"/>
    <x v="0"/>
    <s v="Efectivo"/>
    <n v="32.79"/>
    <n v="203.79"/>
  </r>
  <r>
    <n v="7"/>
    <s v="Cliente_208"/>
    <n v="4"/>
    <d v="2023-04-06T00:00:00"/>
    <d v="1899-12-30T03:38:00"/>
    <d v="2023-04-06T00:00:00"/>
    <d v="1899-12-30T04:42:00"/>
    <s v="Mesero_3"/>
    <x v="1"/>
    <s v="Tarjeta de crédito"/>
    <n v="35.03"/>
    <s v="Ocupada"/>
    <n v="587"/>
    <s v="Uruguay"/>
    <d v="1899-12-30T01:19:00"/>
    <n v="43"/>
    <s v="0:43"/>
    <d v="1899-12-30T00:36:00"/>
    <n v="48"/>
    <n v="14"/>
    <d v="2023-04-06T00:00:00"/>
    <x v="5"/>
    <x v="0"/>
    <s v="Tarjeta de crédito"/>
    <n v="35.03"/>
    <n v="83.03"/>
  </r>
  <r>
    <n v="15"/>
    <s v="Cliente_21"/>
    <n v="2"/>
    <d v="2023-04-06T00:00:00"/>
    <d v="1899-12-30T02:20:00"/>
    <d v="2023-04-06T00:00:00"/>
    <d v="1899-12-30T05:58:00"/>
    <s v="Mesero_3"/>
    <x v="2"/>
    <s v="Efectivo"/>
    <n v="33.93"/>
    <s v="Libre"/>
    <n v="588"/>
    <s v="Paraguay"/>
    <d v="1899-12-30T03:38:00"/>
    <n v="37"/>
    <s v="0:37"/>
    <d v="1899-12-30T03:01:00"/>
    <n v="101"/>
    <n v="30"/>
    <d v="2023-04-06T00:00:00"/>
    <x v="5"/>
    <x v="0"/>
    <s v="Efectivo"/>
    <n v="33.93"/>
    <n v="134.93"/>
  </r>
  <r>
    <n v="10"/>
    <s v="Cliente_443"/>
    <n v="4"/>
    <d v="2023-04-06T00:00:00"/>
    <d v="1899-12-30T03:14:00"/>
    <d v="2023-04-06T00:00:00"/>
    <d v="1899-12-30T05:57:00"/>
    <s v="Mesero_4"/>
    <x v="0"/>
    <s v="Tarjeta de débito"/>
    <n v="28.96"/>
    <s v="Libre"/>
    <n v="589"/>
    <s v="Uruguay"/>
    <d v="1899-12-30T02:43:00"/>
    <n v="120"/>
    <s v="2:00"/>
    <d v="1899-12-30T00:43:00"/>
    <n v="284"/>
    <n v="66"/>
    <d v="2023-04-06T00:00:00"/>
    <x v="5"/>
    <x v="0"/>
    <s v="Tarjeta de débito"/>
    <n v="28.96"/>
    <n v="312.95999999999998"/>
  </r>
  <r>
    <n v="3"/>
    <s v="Cliente_240"/>
    <n v="6"/>
    <d v="2023-04-06T00:00:00"/>
    <d v="1899-12-30T02:45:00"/>
    <d v="2023-04-06T00:00:00"/>
    <d v="1899-12-30T04:27:00"/>
    <s v="Mesero_2"/>
    <x v="1"/>
    <s v="Tarjeta de crédito"/>
    <n v="40.94"/>
    <s v="Ocupada"/>
    <n v="590"/>
    <s v="Venezuela"/>
    <d v="1899-12-30T01:57:00"/>
    <n v="64"/>
    <s v="1:04"/>
    <d v="1899-12-30T00:53:00"/>
    <n v="122"/>
    <n v="32"/>
    <d v="2023-04-06T00:00:00"/>
    <x v="5"/>
    <x v="0"/>
    <s v="Tarjeta de crédito"/>
    <n v="40.94"/>
    <n v="162.94"/>
  </r>
  <r>
    <n v="11"/>
    <s v="Cliente_138"/>
    <n v="6"/>
    <d v="2023-04-06T00:00:00"/>
    <d v="1899-12-30T03:44:00"/>
    <d v="2023-04-06T00:00:00"/>
    <d v="1899-12-30T06:19:00"/>
    <s v="Mesero_3"/>
    <x v="1"/>
    <s v="Tarjeta de crédito"/>
    <n v="44.33"/>
    <s v="Libre"/>
    <n v="591"/>
    <s v="Bolivia"/>
    <d v="1899-12-30T02:35:00"/>
    <n v="51"/>
    <s v="0:51"/>
    <d v="1899-12-30T01:44:00"/>
    <n v="120"/>
    <n v="25"/>
    <d v="2023-04-06T00:00:00"/>
    <x v="5"/>
    <x v="0"/>
    <s v="Tarjeta de crédito"/>
    <n v="44.33"/>
    <n v="164.32999999999998"/>
  </r>
  <r>
    <n v="5"/>
    <s v="Cliente_177"/>
    <n v="1"/>
    <d v="2023-04-06T00:00:00"/>
    <d v="1899-12-30T00:48:00"/>
    <d v="2023-04-06T00:00:00"/>
    <d v="1899-12-30T02:40:00"/>
    <s v="Mesero_2"/>
    <x v="0"/>
    <s v="Tarjeta de crédito"/>
    <n v="35.67"/>
    <s v="Reservada"/>
    <n v="592"/>
    <s v="Ecuador"/>
    <d v="1899-12-30T01:52:00"/>
    <n v="101"/>
    <s v="1:41"/>
    <d v="1899-12-30T00:11:00"/>
    <n v="94"/>
    <n v="28"/>
    <d v="2023-04-06T00:00:00"/>
    <x v="5"/>
    <x v="0"/>
    <s v="Tarjeta de crédito"/>
    <n v="35.67"/>
    <n v="129.67000000000002"/>
  </r>
  <r>
    <n v="17"/>
    <s v="Cliente_832"/>
    <n v="5"/>
    <d v="2023-04-06T00:00:00"/>
    <d v="1899-12-30T00:25:00"/>
    <d v="2023-04-06T00:00:00"/>
    <d v="1899-12-30T02:17:00"/>
    <s v="Mesero_4"/>
    <x v="0"/>
    <s v="Tarjeta de débito"/>
    <n v="48.8"/>
    <s v="Reservada"/>
    <n v="593"/>
    <s v="España"/>
    <d v="1899-12-30T01:52:00"/>
    <n v="48"/>
    <s v="0:48"/>
    <d v="1899-12-30T01:04:00"/>
    <n v="209"/>
    <n v="86"/>
    <d v="2023-04-06T00:00:00"/>
    <x v="5"/>
    <x v="0"/>
    <s v="Tarjeta de débito"/>
    <n v="48.8"/>
    <n v="257.8"/>
  </r>
  <r>
    <n v="17"/>
    <s v="Cliente_480"/>
    <n v="1"/>
    <d v="2023-04-06T00:00:00"/>
    <d v="1899-12-30T03:20:00"/>
    <d v="2023-04-06T00:00:00"/>
    <d v="1899-12-30T04:49:00"/>
    <s v="Mesero_3"/>
    <x v="0"/>
    <s v="Tarjeta de débito"/>
    <n v="46.01"/>
    <s v="Libre"/>
    <n v="594"/>
    <s v="Bolivia"/>
    <d v="1899-12-30T01:29:00"/>
    <n v="98"/>
    <s v="1:38"/>
    <d v="1899-12-30T00:00:00"/>
    <n v="139"/>
    <n v="45"/>
    <d v="2023-04-06T00:00:00"/>
    <x v="5"/>
    <x v="1"/>
    <s v="Impago"/>
    <n v="0"/>
    <n v="0"/>
  </r>
  <r>
    <n v="9"/>
    <s v="Cliente_290"/>
    <n v="5"/>
    <d v="2023-04-06T00:00:00"/>
    <d v="1899-12-30T03:03:00"/>
    <d v="2023-04-06T00:00:00"/>
    <d v="1899-12-30T05:27:00"/>
    <s v="Mesero_2"/>
    <x v="0"/>
    <s v="Tarjeta de crédito"/>
    <n v="40.33"/>
    <s v="Ocupada"/>
    <n v="595"/>
    <s v="Paraguay"/>
    <d v="1899-12-30T02:39:00"/>
    <n v="49"/>
    <s v="0:49"/>
    <d v="1899-12-30T01:50:00"/>
    <n v="72"/>
    <n v="31"/>
    <d v="2023-04-06T00:00:00"/>
    <x v="5"/>
    <x v="0"/>
    <s v="Tarjeta de crédito"/>
    <n v="40.33"/>
    <n v="112.33"/>
  </r>
  <r>
    <n v="18"/>
    <s v="Cliente_351"/>
    <n v="2"/>
    <d v="2023-04-06T00:00:00"/>
    <d v="1899-12-30T01:21:00"/>
    <d v="2023-04-06T00:00:00"/>
    <d v="1899-12-30T03:39:00"/>
    <s v="Mesero_2"/>
    <x v="0"/>
    <s v="Tarjeta de débito"/>
    <n v="23.7"/>
    <s v="Ocupada"/>
    <n v="596"/>
    <s v="Ecuador"/>
    <d v="1899-12-30T02:33:00"/>
    <n v="158"/>
    <s v="2:38"/>
    <d v="1899-12-30T00:00:00"/>
    <n v="240"/>
    <n v="62"/>
    <d v="2023-04-06T00:00:00"/>
    <x v="5"/>
    <x v="1"/>
    <s v="Impago"/>
    <n v="0"/>
    <n v="0"/>
  </r>
  <r>
    <n v="16"/>
    <s v="Cliente_354"/>
    <n v="1"/>
    <d v="2023-04-06T00:00:00"/>
    <d v="1899-12-30T00:51:00"/>
    <d v="2023-04-06T00:00:00"/>
    <d v="1899-12-30T03:51:00"/>
    <s v="Mesero_1"/>
    <x v="0"/>
    <s v="Tarjeta de crédito"/>
    <n v="45.46"/>
    <s v="Ocupada"/>
    <n v="597"/>
    <s v="Bolivia"/>
    <d v="1899-12-30T03:15:00"/>
    <n v="141"/>
    <s v="2:21"/>
    <d v="1899-12-30T00:54:00"/>
    <n v="150"/>
    <n v="65"/>
    <d v="2023-04-06T00:00:00"/>
    <x v="5"/>
    <x v="0"/>
    <s v="Tarjeta de crédito"/>
    <n v="45.46"/>
    <n v="195.46"/>
  </r>
  <r>
    <n v="9"/>
    <s v="Cliente_344"/>
    <n v="6"/>
    <d v="2023-04-06T00:00:00"/>
    <d v="1899-12-30T03:16:00"/>
    <d v="2023-04-06T00:00:00"/>
    <d v="1899-12-30T06:59:00"/>
    <s v="Mesero_5"/>
    <x v="0"/>
    <s v="Tarjeta de crédito"/>
    <n v="11.31"/>
    <s v="Reservada"/>
    <n v="598"/>
    <s v="España"/>
    <d v="1899-12-30T03:43:00"/>
    <n v="81"/>
    <s v="1:21"/>
    <d v="1899-12-30T02:22:00"/>
    <n v="209"/>
    <n v="53"/>
    <d v="2023-04-06T00:00:00"/>
    <x v="5"/>
    <x v="0"/>
    <s v="Tarjeta de crédito"/>
    <n v="11.31"/>
    <n v="220.31"/>
  </r>
  <r>
    <n v="11"/>
    <s v="Cliente_564"/>
    <n v="3"/>
    <d v="2023-04-06T00:00:00"/>
    <d v="1899-12-30T00:34:00"/>
    <d v="2023-04-06T00:00:00"/>
    <d v="1899-12-30T04:21:00"/>
    <s v="Mesero_2"/>
    <x v="0"/>
    <s v="Tarjeta de crédito"/>
    <n v="30.97"/>
    <s v="Libre"/>
    <n v="599"/>
    <s v="Paraguay"/>
    <d v="1899-12-30T03:47:00"/>
    <n v="108"/>
    <s v="1:48"/>
    <d v="1899-12-30T01:59:00"/>
    <n v="169"/>
    <n v="60"/>
    <d v="2023-04-06T00:00:00"/>
    <x v="5"/>
    <x v="0"/>
    <s v="Tarjeta de crédito"/>
    <n v="30.97"/>
    <n v="199.97"/>
  </r>
  <r>
    <n v="14"/>
    <s v="Cliente_782"/>
    <n v="4"/>
    <d v="2023-04-06T00:00:00"/>
    <d v="1899-12-30T03:58:00"/>
    <d v="2023-04-06T00:00:00"/>
    <d v="1899-12-30T05:01:00"/>
    <s v="Mesero_3"/>
    <x v="0"/>
    <s v="Tarjeta de débito"/>
    <n v="41.35"/>
    <s v="Ocupada"/>
    <n v="600"/>
    <s v="Chile"/>
    <d v="1899-12-30T01:18:00"/>
    <n v="65"/>
    <s v="1:05"/>
    <d v="1899-12-30T00:13:00"/>
    <n v="144"/>
    <n v="34"/>
    <d v="2023-04-06T00:00:00"/>
    <x v="5"/>
    <x v="0"/>
    <s v="Tarjeta de débito"/>
    <n v="41.35"/>
    <n v="185.35"/>
  </r>
  <r>
    <n v="13"/>
    <s v="Cliente_88"/>
    <n v="1"/>
    <d v="2023-04-06T00:00:00"/>
    <d v="1899-12-30T02:43:00"/>
    <d v="2023-04-06T00:00:00"/>
    <d v="1899-12-30T06:15:00"/>
    <s v="Mesero_4"/>
    <x v="2"/>
    <s v="Tarjeta de crédito"/>
    <n v="16.809999999999999"/>
    <s v="Libre"/>
    <n v="601"/>
    <s v="Perú"/>
    <d v="1899-12-30T03:32:00"/>
    <n v="115"/>
    <s v="1:55"/>
    <d v="1899-12-30T01:37:00"/>
    <n v="292"/>
    <n v="76"/>
    <d v="2023-04-06T00:00:00"/>
    <x v="5"/>
    <x v="0"/>
    <s v="Tarjeta de crédito"/>
    <n v="16.809999999999999"/>
    <n v="308.81"/>
  </r>
  <r>
    <n v="12"/>
    <s v="Cliente_165"/>
    <n v="3"/>
    <d v="2023-04-06T00:00:00"/>
    <d v="1899-12-30T03:52:00"/>
    <d v="2023-04-06T00:00:00"/>
    <d v="1899-12-30T07:00:00"/>
    <s v="Mesero_2"/>
    <x v="0"/>
    <s v="Efectivo"/>
    <n v="16.5"/>
    <s v="Reservada"/>
    <n v="602"/>
    <s v="España"/>
    <d v="1899-12-30T03:08:00"/>
    <n v="162"/>
    <s v="2:42"/>
    <d v="1899-12-30T00:26:00"/>
    <n v="266"/>
    <n v="77"/>
    <d v="2023-04-06T00:00:00"/>
    <x v="5"/>
    <x v="0"/>
    <s v="Efectivo"/>
    <n v="16.5"/>
    <n v="282.5"/>
  </r>
  <r>
    <n v="19"/>
    <s v="Cliente_798"/>
    <n v="6"/>
    <d v="2023-04-06T00:00:00"/>
    <d v="1899-12-30T00:51:00"/>
    <d v="2023-04-06T00:00:00"/>
    <d v="1899-12-30T04:21:00"/>
    <s v="Mesero_1"/>
    <x v="0"/>
    <s v="Tarjeta de crédito"/>
    <n v="24.2"/>
    <s v="Libre"/>
    <n v="603"/>
    <s v="Uruguay"/>
    <d v="1899-12-30T03:30:00"/>
    <n v="17"/>
    <s v="0:17"/>
    <d v="1899-12-30T03:13:00"/>
    <n v="62"/>
    <n v="19"/>
    <d v="2023-04-06T00:00:00"/>
    <x v="5"/>
    <x v="0"/>
    <s v="Tarjeta de crédito"/>
    <n v="24.2"/>
    <n v="86.2"/>
  </r>
  <r>
    <n v="14"/>
    <s v="Cliente_959"/>
    <n v="5"/>
    <d v="2023-04-06T00:00:00"/>
    <d v="1899-12-30T01:18:00"/>
    <d v="2023-04-06T00:00:00"/>
    <d v="1899-12-30T05:16:00"/>
    <s v="Mesero_2"/>
    <x v="0"/>
    <s v="Tarjeta de crédito"/>
    <n v="42.6"/>
    <s v="Ocupada"/>
    <n v="604"/>
    <s v="Ecuador"/>
    <d v="1899-12-30T04:13:00"/>
    <n v="42"/>
    <s v="0:42"/>
    <d v="1899-12-30T03:31:00"/>
    <n v="105"/>
    <n v="21"/>
    <d v="2023-04-06T00:00:00"/>
    <x v="5"/>
    <x v="0"/>
    <s v="Tarjeta de crédito"/>
    <n v="42.6"/>
    <n v="147.6"/>
  </r>
  <r>
    <n v="19"/>
    <s v="Cliente_608"/>
    <n v="2"/>
    <d v="2023-04-06T00:00:00"/>
    <d v="1899-12-30T02:49:00"/>
    <d v="2023-04-06T00:00:00"/>
    <d v="1899-12-30T06:24:00"/>
    <s v="Mesero_3"/>
    <x v="0"/>
    <s v="Efectivo"/>
    <n v="24.38"/>
    <s v="Ocupada"/>
    <n v="605"/>
    <s v="Uruguay"/>
    <d v="1899-12-30T03:50:00"/>
    <n v="176"/>
    <s v="2:56"/>
    <d v="1899-12-30T00:54:00"/>
    <n v="220"/>
    <n v="76"/>
    <d v="2023-04-06T00:00:00"/>
    <x v="5"/>
    <x v="0"/>
    <s v="Efectivo"/>
    <n v="24.38"/>
    <n v="244.38"/>
  </r>
  <r>
    <n v="1"/>
    <s v="Cliente_434"/>
    <n v="2"/>
    <d v="2023-04-06T00:00:00"/>
    <d v="1899-12-30T03:14:00"/>
    <d v="2023-04-06T00:00:00"/>
    <d v="1899-12-30T06:06:00"/>
    <s v="Mesero_5"/>
    <x v="0"/>
    <s v="Tarjeta de crédito"/>
    <n v="31.58"/>
    <s v="Ocupada"/>
    <n v="606"/>
    <s v="Venezuela"/>
    <d v="1899-12-30T03:07:00"/>
    <n v="145"/>
    <s v="2:25"/>
    <d v="1899-12-30T00:42:00"/>
    <n v="183"/>
    <n v="46"/>
    <d v="2023-04-06T00:00:00"/>
    <x v="5"/>
    <x v="0"/>
    <s v="Tarjeta de crédito"/>
    <n v="31.58"/>
    <n v="214.57999999999998"/>
  </r>
  <r>
    <n v="10"/>
    <s v="Cliente_377"/>
    <n v="1"/>
    <d v="2023-04-06T00:00:00"/>
    <d v="1899-12-30T01:24:00"/>
    <d v="2023-04-06T00:00:00"/>
    <d v="1899-12-30T03:29:00"/>
    <s v="Mesero_5"/>
    <x v="0"/>
    <s v="Tarjeta de crédito"/>
    <n v="28.9"/>
    <s v="Ocupada"/>
    <n v="607"/>
    <s v="Paraguay"/>
    <d v="1899-12-30T02:20:00"/>
    <n v="69"/>
    <s v="1:09"/>
    <d v="1899-12-30T01:11:00"/>
    <n v="68"/>
    <n v="41"/>
    <d v="2023-04-06T00:00:00"/>
    <x v="5"/>
    <x v="0"/>
    <s v="Tarjeta de crédito"/>
    <n v="28.9"/>
    <n v="96.9"/>
  </r>
  <r>
    <n v="7"/>
    <s v="Cliente_657"/>
    <n v="6"/>
    <d v="2023-04-06T00:00:00"/>
    <d v="1899-12-30T03:58:00"/>
    <d v="2023-04-06T00:00:00"/>
    <d v="1899-12-30T07:20:00"/>
    <s v="Mesero_3"/>
    <x v="0"/>
    <s v="Tarjeta de crédito"/>
    <n v="36.549999999999997"/>
    <s v="Reservada"/>
    <n v="608"/>
    <s v="España"/>
    <d v="1899-12-30T03:22:00"/>
    <n v="45"/>
    <s v="0:45"/>
    <d v="1899-12-30T02:37:00"/>
    <n v="29"/>
    <n v="17"/>
    <d v="2023-04-06T00:00:00"/>
    <x v="5"/>
    <x v="0"/>
    <s v="Tarjeta de crédito"/>
    <n v="36.549999999999997"/>
    <n v="65.55"/>
  </r>
  <r>
    <n v="1"/>
    <s v="Cliente_331"/>
    <n v="4"/>
    <d v="2023-04-06T00:00:00"/>
    <d v="1899-12-30T03:23:00"/>
    <d v="2023-04-06T00:00:00"/>
    <d v="1899-12-30T07:02:00"/>
    <s v="Mesero_1"/>
    <x v="0"/>
    <s v="Tarjeta de crédito"/>
    <n v="23.29"/>
    <s v="Reservada"/>
    <n v="609"/>
    <s v="Ecuador"/>
    <d v="1899-12-30T03:39:00"/>
    <n v="27"/>
    <s v="0:27"/>
    <d v="1899-12-30T03:12:00"/>
    <n v="32"/>
    <n v="19"/>
    <d v="2023-04-06T00:00:00"/>
    <x v="5"/>
    <x v="0"/>
    <s v="Tarjeta de crédito"/>
    <n v="23.29"/>
    <n v="55.29"/>
  </r>
  <r>
    <n v="19"/>
    <s v="Cliente_728"/>
    <n v="4"/>
    <d v="2023-04-06T00:00:00"/>
    <d v="1899-12-30T02:12:00"/>
    <d v="2023-04-06T00:00:00"/>
    <d v="1899-12-30T04:11:00"/>
    <s v="Mesero_5"/>
    <x v="2"/>
    <s v="Tarjeta de crédito"/>
    <n v="37.9"/>
    <s v="Ocupada"/>
    <n v="610"/>
    <s v="Paraguay"/>
    <d v="1899-12-30T02:14:00"/>
    <n v="47"/>
    <s v="0:47"/>
    <d v="1899-12-30T01:27:00"/>
    <n v="44"/>
    <n v="25"/>
    <d v="2023-04-06T00:00:00"/>
    <x v="5"/>
    <x v="0"/>
    <s v="Tarjeta de crédito"/>
    <n v="37.9"/>
    <n v="81.900000000000006"/>
  </r>
  <r>
    <n v="13"/>
    <s v="Cliente_224"/>
    <n v="1"/>
    <d v="2023-04-06T00:00:00"/>
    <d v="1899-12-30T03:55:00"/>
    <d v="2023-04-06T00:00:00"/>
    <d v="1899-12-30T07:43:00"/>
    <s v="Mesero_1"/>
    <x v="0"/>
    <s v="Tarjeta de crédito"/>
    <n v="44.28"/>
    <s v="Ocupada"/>
    <n v="611"/>
    <s v="Brasil"/>
    <d v="1899-12-30T04:03:00"/>
    <n v="83"/>
    <s v="1:23"/>
    <d v="1899-12-30T02:40:00"/>
    <n v="78"/>
    <n v="35"/>
    <d v="2023-04-06T00:00:00"/>
    <x v="5"/>
    <x v="0"/>
    <s v="Tarjeta de crédito"/>
    <n v="44.28"/>
    <n v="122.28"/>
  </r>
  <r>
    <n v="11"/>
    <s v="Cliente_680"/>
    <n v="4"/>
    <d v="2023-04-06T00:00:00"/>
    <d v="1899-12-30T01:12:00"/>
    <d v="2023-04-06T00:00:00"/>
    <d v="1899-12-30T05:00:00"/>
    <s v="Mesero_5"/>
    <x v="0"/>
    <s v="Tarjeta de crédito"/>
    <n v="23.54"/>
    <s v="Reservada"/>
    <n v="612"/>
    <s v="Paraguay"/>
    <d v="1899-12-30T03:48:00"/>
    <n v="129"/>
    <s v="2:09"/>
    <d v="1899-12-30T01:39:00"/>
    <n v="231"/>
    <n v="66"/>
    <d v="2023-04-06T00:00:00"/>
    <x v="5"/>
    <x v="0"/>
    <s v="Tarjeta de crédito"/>
    <n v="23.54"/>
    <n v="254.54"/>
  </r>
  <r>
    <n v="1"/>
    <s v="Cliente_230"/>
    <n v="5"/>
    <d v="2023-04-06T00:00:00"/>
    <d v="1899-12-30T01:57:00"/>
    <d v="2023-04-06T00:00:00"/>
    <d v="1899-12-30T03:35:00"/>
    <s v="Mesero_2"/>
    <x v="1"/>
    <s v="Efectivo"/>
    <n v="23.56"/>
    <s v="Reservada"/>
    <n v="613"/>
    <s v="España"/>
    <d v="1899-12-30T01:38:00"/>
    <n v="152"/>
    <s v="2:32"/>
    <d v="1899-12-30T00:00:00"/>
    <n v="285"/>
    <n v="56"/>
    <d v="2023-04-06T00:00:00"/>
    <x v="5"/>
    <x v="1"/>
    <s v="Impago"/>
    <n v="0"/>
    <n v="0"/>
  </r>
  <r>
    <n v="19"/>
    <s v="Cliente_823"/>
    <n v="6"/>
    <d v="2023-04-06T00:00:00"/>
    <d v="1899-12-30T02:32:00"/>
    <d v="2023-04-06T00:00:00"/>
    <d v="1899-12-30T04:37:00"/>
    <s v="Mesero_1"/>
    <x v="1"/>
    <s v="Tarjeta de débito"/>
    <n v="26.48"/>
    <s v="Reservada"/>
    <n v="614"/>
    <s v="Venezuela"/>
    <d v="1899-12-30T02:05:00"/>
    <n v="50"/>
    <s v="0:50"/>
    <d v="1899-12-30T01:15:00"/>
    <n v="72"/>
    <n v="14"/>
    <d v="2023-04-06T00:00:00"/>
    <x v="5"/>
    <x v="0"/>
    <s v="Tarjeta de débito"/>
    <n v="26.48"/>
    <n v="98.48"/>
  </r>
  <r>
    <n v="7"/>
    <s v="Cliente_513"/>
    <n v="1"/>
    <d v="2023-04-06T00:00:00"/>
    <d v="1899-12-30T00:46:00"/>
    <d v="2023-04-06T00:00:00"/>
    <d v="1899-12-30T01:53:00"/>
    <s v="Mesero_5"/>
    <x v="2"/>
    <s v="Tarjeta de crédito"/>
    <n v="18.420000000000002"/>
    <s v="Ocupada"/>
    <n v="615"/>
    <s v="Ecuador"/>
    <d v="1899-12-30T01:22:00"/>
    <n v="156"/>
    <s v="2:36"/>
    <d v="1899-12-30T00:00:00"/>
    <n v="333"/>
    <n v="67"/>
    <d v="2023-04-06T00:00:00"/>
    <x v="5"/>
    <x v="1"/>
    <s v="Impago"/>
    <n v="0"/>
    <n v="0"/>
  </r>
  <r>
    <n v="4"/>
    <s v="Cliente_608"/>
    <n v="4"/>
    <d v="2023-04-06T00:00:00"/>
    <d v="1899-12-30T00:14:00"/>
    <d v="2023-04-06T00:00:00"/>
    <d v="1899-12-30T03:36:00"/>
    <s v="Mesero_5"/>
    <x v="2"/>
    <s v="Tarjeta de crédito"/>
    <n v="23.89"/>
    <s v="Ocupada"/>
    <n v="616"/>
    <s v="Venezuela"/>
    <d v="1899-12-30T03:37:00"/>
    <n v="47"/>
    <s v="0:47"/>
    <d v="1899-12-30T02:50:00"/>
    <n v="132"/>
    <n v="32"/>
    <d v="2023-04-06T00:00:00"/>
    <x v="5"/>
    <x v="0"/>
    <s v="Tarjeta de crédito"/>
    <n v="23.89"/>
    <n v="155.88999999999999"/>
  </r>
  <r>
    <n v="13"/>
    <s v="Cliente_27"/>
    <n v="5"/>
    <d v="2023-04-06T00:00:00"/>
    <d v="1899-12-30T01:20:00"/>
    <d v="2023-04-06T00:00:00"/>
    <d v="1899-12-30T05:17:00"/>
    <s v="Mesero_2"/>
    <x v="0"/>
    <s v="Tarjeta de crédito"/>
    <n v="38.18"/>
    <s v="Libre"/>
    <n v="617"/>
    <s v="Uruguay"/>
    <d v="1899-12-30T03:57:00"/>
    <n v="51"/>
    <s v="0:51"/>
    <d v="1899-12-30T03:06:00"/>
    <n v="142"/>
    <n v="33"/>
    <d v="2023-04-06T00:00:00"/>
    <x v="5"/>
    <x v="0"/>
    <s v="Tarjeta de crédito"/>
    <n v="38.18"/>
    <n v="180.18"/>
  </r>
  <r>
    <n v="3"/>
    <s v="Cliente_973"/>
    <n v="5"/>
    <d v="2023-04-06T00:00:00"/>
    <d v="1899-12-30T00:56:00"/>
    <d v="2023-04-06T00:00:00"/>
    <d v="1899-12-30T03:12:00"/>
    <s v="Mesero_4"/>
    <x v="1"/>
    <s v="Tarjeta de crédito"/>
    <n v="25.93"/>
    <s v="Libre"/>
    <n v="618"/>
    <s v="Chile"/>
    <d v="1899-12-30T02:16:00"/>
    <n v="118"/>
    <s v="1:58"/>
    <d v="1899-12-30T00:18:00"/>
    <n v="319"/>
    <n v="70"/>
    <d v="2023-04-06T00:00:00"/>
    <x v="5"/>
    <x v="0"/>
    <s v="Tarjeta de crédito"/>
    <n v="25.93"/>
    <n v="344.93"/>
  </r>
  <r>
    <n v="6"/>
    <s v="Cliente_619"/>
    <n v="4"/>
    <d v="2023-04-06T00:00:00"/>
    <d v="1899-12-30T00:16:00"/>
    <d v="2023-04-06T00:00:00"/>
    <d v="1899-12-30T02:41:00"/>
    <s v="Mesero_5"/>
    <x v="2"/>
    <s v="Tarjeta de crédito"/>
    <n v="16.440000000000001"/>
    <s v="Reservada"/>
    <n v="619"/>
    <s v="Ecuador"/>
    <d v="1899-12-30T02:25:00"/>
    <n v="96"/>
    <s v="1:36"/>
    <d v="1899-12-30T00:49:00"/>
    <n v="132"/>
    <n v="31"/>
    <d v="2023-04-06T00:00:00"/>
    <x v="5"/>
    <x v="0"/>
    <s v="Tarjeta de crédito"/>
    <n v="16.440000000000001"/>
    <n v="148.44"/>
  </r>
  <r>
    <n v="16"/>
    <s v="Cliente_592"/>
    <n v="3"/>
    <d v="2023-04-06T00:00:00"/>
    <d v="1899-12-30T02:49:00"/>
    <d v="2023-04-06T00:00:00"/>
    <d v="1899-12-30T06:07:00"/>
    <s v="Mesero_4"/>
    <x v="0"/>
    <s v="Tarjeta de crédito"/>
    <n v="26.64"/>
    <s v="Reservada"/>
    <n v="620"/>
    <s v="Paraguay"/>
    <d v="1899-12-30T03:18:00"/>
    <n v="40"/>
    <s v="0:40"/>
    <d v="1899-12-30T02:38:00"/>
    <n v="57"/>
    <n v="11"/>
    <d v="2023-04-06T00:00:00"/>
    <x v="5"/>
    <x v="0"/>
    <s v="Tarjeta de crédito"/>
    <n v="26.64"/>
    <n v="83.64"/>
  </r>
  <r>
    <n v="5"/>
    <s v="Cliente_575"/>
    <n v="2"/>
    <d v="2023-04-06T00:00:00"/>
    <d v="1899-12-30T01:08:00"/>
    <d v="2023-04-06T00:00:00"/>
    <d v="1899-12-30T02:27:00"/>
    <s v="Mesero_2"/>
    <x v="0"/>
    <s v="Tarjeta de crédito"/>
    <n v="42.27"/>
    <s v="Ocupada"/>
    <n v="621"/>
    <s v="Ecuador"/>
    <d v="1899-12-30T01:34:00"/>
    <n v="8"/>
    <s v="0:08"/>
    <d v="1899-12-30T01:26:00"/>
    <n v="105"/>
    <n v="21"/>
    <d v="2023-04-06T00:00:00"/>
    <x v="5"/>
    <x v="0"/>
    <s v="Tarjeta de crédito"/>
    <n v="42.27"/>
    <n v="147.27000000000001"/>
  </r>
  <r>
    <n v="7"/>
    <s v="Cliente_117"/>
    <n v="5"/>
    <d v="2023-04-06T00:00:00"/>
    <d v="1899-12-30T02:07:00"/>
    <d v="2023-04-06T00:00:00"/>
    <d v="1899-12-30T05:31:00"/>
    <s v="Mesero_3"/>
    <x v="2"/>
    <s v="Tarjeta de crédito"/>
    <n v="11.47"/>
    <s v="Reservada"/>
    <n v="622"/>
    <s v="Argentina"/>
    <d v="1899-12-30T03:24:00"/>
    <n v="78"/>
    <s v="1:18"/>
    <d v="1899-12-30T02:06:00"/>
    <n v="121"/>
    <n v="35"/>
    <d v="2023-04-06T00:00:00"/>
    <x v="5"/>
    <x v="0"/>
    <s v="Tarjeta de crédito"/>
    <n v="11.47"/>
    <n v="132.47"/>
  </r>
  <r>
    <n v="13"/>
    <s v="Cliente_395"/>
    <n v="1"/>
    <d v="2023-04-06T00:00:00"/>
    <d v="1899-12-30T00:45:00"/>
    <d v="2023-04-06T00:00:00"/>
    <d v="1899-12-30T03:10:00"/>
    <s v="Mesero_3"/>
    <x v="0"/>
    <s v="Efectivo"/>
    <n v="22.05"/>
    <s v="Libre"/>
    <n v="623"/>
    <s v="Uruguay"/>
    <d v="1899-12-30T02:25:00"/>
    <n v="145"/>
    <s v="2:25"/>
    <d v="1899-12-30T00:00:00"/>
    <n v="235"/>
    <n v="68"/>
    <d v="2023-04-06T00:00:00"/>
    <x v="5"/>
    <x v="1"/>
    <s v="Impago"/>
    <n v="0"/>
    <n v="0"/>
  </r>
  <r>
    <n v="1"/>
    <s v="Cliente_833"/>
    <n v="4"/>
    <d v="2023-04-06T00:00:00"/>
    <d v="1899-12-30T01:56:00"/>
    <d v="2023-04-06T00:00:00"/>
    <d v="1899-12-30T03:26:00"/>
    <s v="Mesero_1"/>
    <x v="2"/>
    <s v="Tarjeta de crédito"/>
    <n v="38"/>
    <s v="Reservada"/>
    <n v="624"/>
    <s v="Argentina"/>
    <d v="1899-12-30T01:30:00"/>
    <n v="79"/>
    <s v="1:19"/>
    <d v="1899-12-30T00:11:00"/>
    <n v="102"/>
    <n v="49"/>
    <d v="2023-04-06T00:00:00"/>
    <x v="5"/>
    <x v="0"/>
    <s v="Tarjeta de crédito"/>
    <n v="38"/>
    <n v="140"/>
  </r>
  <r>
    <n v="5"/>
    <s v="Cliente_511"/>
    <n v="4"/>
    <d v="2023-04-06T00:00:00"/>
    <d v="1899-12-30T00:09:00"/>
    <d v="2023-04-06T00:00:00"/>
    <d v="1899-12-30T03:22:00"/>
    <s v="Mesero_4"/>
    <x v="2"/>
    <s v="Tarjeta de crédito"/>
    <n v="41.73"/>
    <s v="Ocupada"/>
    <n v="625"/>
    <s v="Chile"/>
    <d v="1899-12-30T03:28:00"/>
    <n v="97"/>
    <s v="1:37"/>
    <d v="1899-12-30T01:51:00"/>
    <n v="139"/>
    <n v="48"/>
    <d v="2023-04-06T00:00:00"/>
    <x v="5"/>
    <x v="0"/>
    <s v="Tarjeta de crédito"/>
    <n v="41.73"/>
    <n v="180.73"/>
  </r>
  <r>
    <n v="14"/>
    <s v="Cliente_772"/>
    <n v="4"/>
    <d v="2023-04-06T00:00:00"/>
    <d v="1899-12-30T02:45:00"/>
    <d v="2023-04-06T00:00:00"/>
    <d v="1899-12-30T04:10:00"/>
    <s v="Mesero_4"/>
    <x v="1"/>
    <s v="Tarjeta de crédito"/>
    <n v="19.239999999999998"/>
    <s v="Libre"/>
    <n v="626"/>
    <s v="Argentina"/>
    <d v="1899-12-30T01:25:00"/>
    <n v="58"/>
    <s v="0:58"/>
    <d v="1899-12-30T00:27:00"/>
    <n v="137"/>
    <n v="49"/>
    <d v="2023-04-06T00:00:00"/>
    <x v="5"/>
    <x v="0"/>
    <s v="Tarjeta de crédito"/>
    <n v="19.239999999999998"/>
    <n v="156.24"/>
  </r>
  <r>
    <n v="4"/>
    <s v="Cliente_336"/>
    <n v="3"/>
    <d v="2023-04-06T00:00:00"/>
    <d v="1899-12-30T02:23:00"/>
    <d v="2023-04-06T00:00:00"/>
    <d v="1899-12-30T04:13:00"/>
    <s v="Mesero_3"/>
    <x v="0"/>
    <s v="Tarjeta de crédito"/>
    <n v="44.24"/>
    <s v="Ocupada"/>
    <n v="627"/>
    <s v="Ecuador"/>
    <d v="1899-12-30T02:05:00"/>
    <n v="37"/>
    <s v="0:37"/>
    <d v="1899-12-30T01:28:00"/>
    <n v="21"/>
    <n v="13"/>
    <d v="2023-04-06T00:00:00"/>
    <x v="5"/>
    <x v="0"/>
    <s v="Tarjeta de crédito"/>
    <n v="44.24"/>
    <n v="65.240000000000009"/>
  </r>
  <r>
    <n v="2"/>
    <s v="Cliente_124"/>
    <n v="1"/>
    <d v="2023-04-06T00:00:00"/>
    <d v="1899-12-30T00:09:00"/>
    <d v="2023-04-06T00:00:00"/>
    <d v="1899-12-30T01:37:00"/>
    <s v="Mesero_3"/>
    <x v="1"/>
    <s v="Tarjeta de crédito"/>
    <n v="15.03"/>
    <s v="Reservada"/>
    <n v="628"/>
    <s v="Chile"/>
    <d v="1899-12-30T01:28:00"/>
    <n v="43"/>
    <s v="0:43"/>
    <d v="1899-12-30T00:45:00"/>
    <n v="168"/>
    <n v="39"/>
    <d v="2023-04-06T00:00:00"/>
    <x v="5"/>
    <x v="0"/>
    <s v="Tarjeta de crédito"/>
    <n v="15.03"/>
    <n v="183.03"/>
  </r>
  <r>
    <n v="17"/>
    <s v="Cliente_828"/>
    <n v="2"/>
    <d v="2023-04-06T00:00:00"/>
    <d v="1899-12-30T02:07:00"/>
    <d v="2023-04-06T00:00:00"/>
    <d v="1899-12-30T05:55:00"/>
    <s v="Mesero_4"/>
    <x v="2"/>
    <s v="Tarjeta de débito"/>
    <n v="26.07"/>
    <s v="Ocupada"/>
    <n v="629"/>
    <s v="Argentina"/>
    <d v="1899-12-30T04:03:00"/>
    <n v="84"/>
    <s v="1:24"/>
    <d v="1899-12-30T02:39:00"/>
    <n v="130"/>
    <n v="42"/>
    <d v="2023-04-06T00:00:00"/>
    <x v="5"/>
    <x v="0"/>
    <s v="Tarjeta de débito"/>
    <n v="26.07"/>
    <n v="156.07"/>
  </r>
  <r>
    <n v="2"/>
    <s v="Cliente_385"/>
    <n v="2"/>
    <d v="2023-04-06T00:00:00"/>
    <d v="1899-12-30T00:02:00"/>
    <d v="2023-04-06T00:00:00"/>
    <d v="1899-12-30T02:49:00"/>
    <s v="Mesero_5"/>
    <x v="0"/>
    <s v="Tarjeta de débito"/>
    <n v="36.619999999999997"/>
    <s v="Libre"/>
    <n v="630"/>
    <s v="Bolivia"/>
    <d v="1899-12-30T02:47:00"/>
    <n v="75"/>
    <s v="1:15"/>
    <d v="1899-12-30T01:32:00"/>
    <n v="182"/>
    <n v="44"/>
    <d v="2023-04-06T00:00:00"/>
    <x v="5"/>
    <x v="0"/>
    <s v="Tarjeta de débito"/>
    <n v="36.619999999999997"/>
    <n v="218.62"/>
  </r>
  <r>
    <n v="6"/>
    <s v="Cliente_841"/>
    <n v="1"/>
    <d v="2023-04-06T00:00:00"/>
    <d v="1899-12-30T00:21:00"/>
    <d v="2023-04-06T00:00:00"/>
    <d v="1899-12-30T02:51:00"/>
    <s v="Mesero_5"/>
    <x v="2"/>
    <s v="Tarjeta de crédito"/>
    <n v="39.71"/>
    <s v="Reservada"/>
    <n v="631"/>
    <s v="Colombia"/>
    <d v="1899-12-30T02:30:00"/>
    <n v="46"/>
    <s v="0:46"/>
    <d v="1899-12-30T01:44:00"/>
    <n v="66"/>
    <n v="13"/>
    <d v="2023-04-06T00:00:00"/>
    <x v="5"/>
    <x v="0"/>
    <s v="Tarjeta de crédito"/>
    <n v="39.71"/>
    <n v="105.71000000000001"/>
  </r>
  <r>
    <n v="16"/>
    <s v="Cliente_605"/>
    <n v="2"/>
    <d v="2023-04-06T00:00:00"/>
    <d v="1899-12-30T00:15:00"/>
    <d v="2023-04-06T00:00:00"/>
    <d v="1899-12-30T02:55:00"/>
    <s v="Mesero_3"/>
    <x v="1"/>
    <s v="Tarjeta de crédito"/>
    <n v="22.41"/>
    <s v="Libre"/>
    <n v="632"/>
    <s v="Ecuador"/>
    <d v="1899-12-30T02:40:00"/>
    <n v="88"/>
    <s v="1:28"/>
    <d v="1899-12-30T01:12:00"/>
    <n v="129"/>
    <n v="39"/>
    <d v="2023-04-06T00:00:00"/>
    <x v="5"/>
    <x v="0"/>
    <s v="Tarjeta de crédito"/>
    <n v="22.41"/>
    <n v="151.41"/>
  </r>
  <r>
    <n v="16"/>
    <s v="Cliente_197"/>
    <n v="5"/>
    <d v="2023-04-06T00:00:00"/>
    <d v="1899-12-30T03:43:00"/>
    <d v="2023-04-06T00:00:00"/>
    <d v="1899-12-30T05:28:00"/>
    <s v="Mesero_3"/>
    <x v="0"/>
    <s v="Tarjeta de crédito"/>
    <n v="11.19"/>
    <s v="Reservada"/>
    <n v="633"/>
    <s v="Bolivia"/>
    <d v="1899-12-30T01:45:00"/>
    <n v="149"/>
    <s v="2:29"/>
    <d v="1899-12-30T00:00:00"/>
    <n v="236"/>
    <n v="55"/>
    <d v="2023-04-06T00:00:00"/>
    <x v="5"/>
    <x v="1"/>
    <s v="Impago"/>
    <n v="0"/>
    <n v="0"/>
  </r>
  <r>
    <n v="2"/>
    <s v="Cliente_285"/>
    <n v="1"/>
    <d v="2023-04-06T00:00:00"/>
    <d v="1899-12-30T00:03:00"/>
    <d v="2023-04-06T00:00:00"/>
    <d v="1899-12-30T03:36:00"/>
    <s v="Mesero_1"/>
    <x v="1"/>
    <s v="Tarjeta de crédito"/>
    <n v="29.25"/>
    <s v="Reservada"/>
    <n v="634"/>
    <s v="Venezuela"/>
    <d v="1899-12-30T03:33:00"/>
    <n v="157"/>
    <s v="2:37"/>
    <d v="1899-12-30T00:56:00"/>
    <n v="344"/>
    <n v="74"/>
    <d v="2023-04-06T00:00:00"/>
    <x v="5"/>
    <x v="0"/>
    <s v="Tarjeta de crédito"/>
    <n v="29.25"/>
    <n v="373.25"/>
  </r>
  <r>
    <n v="5"/>
    <s v="Cliente_19"/>
    <n v="2"/>
    <d v="2023-04-06T00:00:00"/>
    <d v="1899-12-30T00:17:00"/>
    <d v="2023-04-06T00:00:00"/>
    <d v="1899-12-30T03:04:00"/>
    <s v="Mesero_2"/>
    <x v="0"/>
    <s v="Tarjeta de crédito"/>
    <n v="22.15"/>
    <s v="Libre"/>
    <n v="635"/>
    <s v="Perú"/>
    <d v="1899-12-30T02:47:00"/>
    <n v="25"/>
    <s v="0:25"/>
    <d v="1899-12-30T02:22:00"/>
    <n v="58"/>
    <n v="17"/>
    <d v="2023-04-06T00:00:00"/>
    <x v="5"/>
    <x v="0"/>
    <s v="Tarjeta de crédito"/>
    <n v="22.15"/>
    <n v="80.150000000000006"/>
  </r>
  <r>
    <n v="14"/>
    <s v="Cliente_586"/>
    <n v="3"/>
    <d v="2023-04-06T00:00:00"/>
    <d v="1899-12-30T03:35:00"/>
    <d v="2023-04-06T00:00:00"/>
    <d v="1899-12-30T05:48:00"/>
    <s v="Mesero_5"/>
    <x v="2"/>
    <s v="Tarjeta de débito"/>
    <n v="32.86"/>
    <s v="Libre"/>
    <n v="636"/>
    <s v="Ecuador"/>
    <d v="1899-12-30T02:13:00"/>
    <n v="151"/>
    <s v="2:31"/>
    <d v="1899-12-30T00:00:00"/>
    <n v="126"/>
    <n v="38"/>
    <d v="2023-04-06T00:00:00"/>
    <x v="5"/>
    <x v="1"/>
    <s v="Impago"/>
    <n v="0"/>
    <n v="0"/>
  </r>
  <r>
    <n v="6"/>
    <s v="Cliente_687"/>
    <n v="3"/>
    <d v="2023-04-06T00:00:00"/>
    <d v="1899-12-30T01:55:00"/>
    <d v="2023-04-06T00:00:00"/>
    <d v="1899-12-30T04:32:00"/>
    <s v="Mesero_4"/>
    <x v="0"/>
    <s v="Tarjeta de crédito"/>
    <n v="36.58"/>
    <s v="Reservada"/>
    <n v="637"/>
    <s v="Ecuador"/>
    <d v="1899-12-30T02:37:00"/>
    <n v="61"/>
    <s v="1:01"/>
    <d v="1899-12-30T01:36:00"/>
    <n v="117"/>
    <n v="55"/>
    <d v="2023-04-06T00:00:00"/>
    <x v="5"/>
    <x v="0"/>
    <s v="Tarjeta de crédito"/>
    <n v="36.58"/>
    <n v="153.57999999999998"/>
  </r>
  <r>
    <n v="16"/>
    <s v="Cliente_406"/>
    <n v="6"/>
    <d v="2023-04-06T00:00:00"/>
    <d v="1899-12-30T00:54:00"/>
    <d v="2023-04-06T00:00:00"/>
    <d v="1899-12-30T02:16:00"/>
    <s v="Mesero_3"/>
    <x v="2"/>
    <s v="Tarjeta de crédito"/>
    <n v="30.71"/>
    <s v="Ocupada"/>
    <n v="638"/>
    <s v="Argentina"/>
    <d v="1899-12-30T01:37:00"/>
    <n v="44"/>
    <s v="0:44"/>
    <d v="1899-12-30T00:53:00"/>
    <n v="90"/>
    <n v="18"/>
    <d v="2023-04-06T00:00:00"/>
    <x v="5"/>
    <x v="0"/>
    <s v="Tarjeta de crédito"/>
    <n v="30.71"/>
    <n v="120.71000000000001"/>
  </r>
  <r>
    <n v="8"/>
    <s v="Cliente_415"/>
    <n v="4"/>
    <d v="2023-04-06T00:00:00"/>
    <d v="1899-12-30T02:17:00"/>
    <d v="2023-04-06T00:00:00"/>
    <d v="1899-12-30T05:19:00"/>
    <s v="Mesero_2"/>
    <x v="2"/>
    <s v="Tarjeta de crédito"/>
    <n v="18.97"/>
    <s v="Reservada"/>
    <n v="639"/>
    <s v="España"/>
    <d v="1899-12-30T03:02:00"/>
    <n v="136"/>
    <s v="2:16"/>
    <d v="1899-12-30T00:46:00"/>
    <n v="152"/>
    <n v="45"/>
    <d v="2023-04-06T00:00:00"/>
    <x v="5"/>
    <x v="0"/>
    <s v="Tarjeta de crédito"/>
    <n v="18.97"/>
    <n v="170.97"/>
  </r>
  <r>
    <n v="14"/>
    <s v="Cliente_456"/>
    <n v="3"/>
    <d v="2023-04-06T00:00:00"/>
    <d v="1899-12-30T00:41:00"/>
    <d v="2023-04-06T00:00:00"/>
    <d v="1899-12-30T01:50:00"/>
    <s v="Mesero_3"/>
    <x v="0"/>
    <s v="Tarjeta de débito"/>
    <n v="49.29"/>
    <s v="Libre"/>
    <n v="640"/>
    <s v="Venezuela"/>
    <d v="1899-12-30T01:09:00"/>
    <n v="75"/>
    <s v="1:15"/>
    <d v="1899-12-30T00:00:00"/>
    <n v="219"/>
    <n v="48"/>
    <d v="2023-04-06T00:00:00"/>
    <x v="5"/>
    <x v="1"/>
    <s v="Impago"/>
    <n v="0"/>
    <n v="0"/>
  </r>
  <r>
    <n v="2"/>
    <s v="Cliente_820"/>
    <n v="4"/>
    <d v="2023-04-06T00:00:00"/>
    <d v="1899-12-30T01:08:00"/>
    <d v="2023-04-06T00:00:00"/>
    <d v="1899-12-30T03:52:00"/>
    <s v="Mesero_1"/>
    <x v="0"/>
    <s v="Tarjeta de débito"/>
    <n v="39.68"/>
    <s v="Reservada"/>
    <n v="641"/>
    <s v="Ecuador"/>
    <d v="1899-12-30T02:44:00"/>
    <n v="74"/>
    <s v="1:14"/>
    <d v="1899-12-30T01:30:00"/>
    <n v="208"/>
    <n v="46"/>
    <d v="2023-04-06T00:00:00"/>
    <x v="5"/>
    <x v="0"/>
    <s v="Tarjeta de débito"/>
    <n v="39.68"/>
    <n v="247.68"/>
  </r>
  <r>
    <n v="15"/>
    <s v="Cliente_698"/>
    <n v="1"/>
    <d v="2023-04-06T00:00:00"/>
    <d v="1899-12-30T02:36:00"/>
    <d v="2023-04-06T00:00:00"/>
    <d v="1899-12-30T05:24:00"/>
    <s v="Mesero_2"/>
    <x v="0"/>
    <s v="Tarjeta de crédito"/>
    <n v="11.11"/>
    <s v="Ocupada"/>
    <n v="642"/>
    <s v="Argentina"/>
    <d v="1899-12-30T03:03:00"/>
    <n v="81"/>
    <s v="1:21"/>
    <d v="1899-12-30T01:42:00"/>
    <n v="176"/>
    <n v="45"/>
    <d v="2023-04-06T00:00:00"/>
    <x v="5"/>
    <x v="0"/>
    <s v="Tarjeta de crédito"/>
    <n v="11.11"/>
    <n v="187.11"/>
  </r>
  <r>
    <n v="17"/>
    <s v="Cliente_59"/>
    <n v="2"/>
    <d v="2023-04-06T00:00:00"/>
    <d v="1899-12-30T00:17:00"/>
    <d v="2023-04-06T00:00:00"/>
    <d v="1899-12-30T01:56:00"/>
    <s v="Mesero_2"/>
    <x v="1"/>
    <s v="Tarjeta de débito"/>
    <n v="28.81"/>
    <s v="Ocupada"/>
    <n v="643"/>
    <s v="Uruguay"/>
    <d v="1899-12-30T01:54:00"/>
    <n v="18"/>
    <s v="0:18"/>
    <d v="1899-12-30T01:36:00"/>
    <n v="33"/>
    <n v="20"/>
    <d v="2023-04-06T00:00:00"/>
    <x v="5"/>
    <x v="0"/>
    <s v="Tarjeta de débito"/>
    <n v="28.81"/>
    <n v="61.81"/>
  </r>
  <r>
    <n v="9"/>
    <s v="Cliente_799"/>
    <n v="6"/>
    <d v="2023-04-06T00:00:00"/>
    <d v="1899-12-30T03:44:00"/>
    <d v="2023-04-06T00:00:00"/>
    <d v="1899-12-30T07:10:00"/>
    <s v="Mesero_1"/>
    <x v="0"/>
    <s v="Tarjeta de débito"/>
    <n v="13.86"/>
    <s v="Reservada"/>
    <n v="644"/>
    <s v="Ecuador"/>
    <d v="1899-12-30T03:26:00"/>
    <n v="51"/>
    <s v="0:51"/>
    <d v="1899-12-30T02:35:00"/>
    <n v="93"/>
    <n v="19"/>
    <d v="2023-04-06T00:00:00"/>
    <x v="5"/>
    <x v="0"/>
    <s v="Tarjeta de débito"/>
    <n v="13.86"/>
    <n v="106.86"/>
  </r>
  <r>
    <n v="6"/>
    <s v="Cliente_196"/>
    <n v="6"/>
    <d v="2023-04-06T00:00:00"/>
    <d v="1899-12-30T02:50:00"/>
    <d v="2023-04-06T00:00:00"/>
    <d v="1899-12-30T06:25:00"/>
    <s v="Mesero_3"/>
    <x v="2"/>
    <s v="Efectivo"/>
    <n v="40.03"/>
    <s v="Libre"/>
    <n v="645"/>
    <s v="Bolivia"/>
    <d v="1899-12-30T03:35:00"/>
    <n v="97"/>
    <s v="1:37"/>
    <d v="1899-12-30T01:58:00"/>
    <n v="180"/>
    <n v="36"/>
    <d v="2023-04-06T00:00:00"/>
    <x v="5"/>
    <x v="0"/>
    <s v="Efectivo"/>
    <n v="40.03"/>
    <n v="220.03"/>
  </r>
  <r>
    <n v="12"/>
    <s v="Cliente_623"/>
    <n v="2"/>
    <d v="2023-04-06T00:00:00"/>
    <d v="1899-12-30T03:59:00"/>
    <d v="2023-04-06T00:00:00"/>
    <d v="1899-12-30T06:38:00"/>
    <s v="Mesero_2"/>
    <x v="0"/>
    <s v="Tarjeta de débito"/>
    <n v="12.59"/>
    <s v="Libre"/>
    <n v="646"/>
    <s v="Bolivia"/>
    <d v="1899-12-30T02:39:00"/>
    <n v="36"/>
    <s v="0:36"/>
    <d v="1899-12-30T02:03:00"/>
    <n v="70"/>
    <n v="21"/>
    <d v="2023-04-06T00:00:00"/>
    <x v="5"/>
    <x v="0"/>
    <s v="Tarjeta de débito"/>
    <n v="12.59"/>
    <n v="82.59"/>
  </r>
  <r>
    <n v="12"/>
    <s v="Cliente_52"/>
    <n v="2"/>
    <d v="2023-04-06T00:00:00"/>
    <d v="1899-12-30T02:55:00"/>
    <d v="2023-04-06T00:00:00"/>
    <d v="1899-12-30T06:25:00"/>
    <s v="Mesero_2"/>
    <x v="0"/>
    <s v="Tarjeta de crédito"/>
    <n v="42.79"/>
    <s v="Reservada"/>
    <n v="647"/>
    <s v="Bolivia"/>
    <d v="1899-12-30T03:30:00"/>
    <n v="39"/>
    <s v="0:39"/>
    <d v="1899-12-30T02:51:00"/>
    <n v="98"/>
    <n v="29"/>
    <d v="2023-04-06T00:00:00"/>
    <x v="5"/>
    <x v="0"/>
    <s v="Tarjeta de crédito"/>
    <n v="42.79"/>
    <n v="140.79"/>
  </r>
  <r>
    <n v="9"/>
    <s v="Cliente_946"/>
    <n v="1"/>
    <d v="2023-04-06T00:00:00"/>
    <d v="1899-12-30T02:59:00"/>
    <d v="2023-04-06T00:00:00"/>
    <d v="1899-12-30T04:55:00"/>
    <s v="Mesero_2"/>
    <x v="2"/>
    <s v="Tarjeta de crédito"/>
    <n v="17.43"/>
    <s v="Libre"/>
    <n v="648"/>
    <s v="Brasil"/>
    <d v="1899-12-30T01:56:00"/>
    <n v="47"/>
    <s v="0:47"/>
    <d v="1899-12-30T01:09:00"/>
    <n v="56"/>
    <n v="16"/>
    <d v="2023-04-06T00:00:00"/>
    <x v="5"/>
    <x v="0"/>
    <s v="Tarjeta de crédito"/>
    <n v="17.43"/>
    <n v="73.430000000000007"/>
  </r>
  <r>
    <n v="9"/>
    <s v="Cliente_278"/>
    <n v="1"/>
    <d v="2023-04-06T00:00:00"/>
    <d v="1899-12-30T00:55:00"/>
    <d v="2023-04-06T00:00:00"/>
    <d v="1899-12-30T03:45:00"/>
    <s v="Mesero_5"/>
    <x v="0"/>
    <s v="Efectivo"/>
    <n v="15.98"/>
    <s v="Ocupada"/>
    <n v="649"/>
    <s v="Paraguay"/>
    <d v="1899-12-30T03:05:00"/>
    <n v="109"/>
    <s v="1:49"/>
    <d v="1899-12-30T01:16:00"/>
    <n v="256"/>
    <n v="60"/>
    <d v="2023-04-06T00:00:00"/>
    <x v="5"/>
    <x v="0"/>
    <s v="Efectivo"/>
    <n v="15.98"/>
    <n v="271.98"/>
  </r>
  <r>
    <n v="11"/>
    <s v="Cliente_232"/>
    <n v="3"/>
    <d v="2023-04-07T00:00:00"/>
    <d v="1899-12-30T03:33:00"/>
    <d v="2023-04-07T00:00:00"/>
    <d v="1899-12-30T05:02:00"/>
    <s v="Mesero_3"/>
    <x v="0"/>
    <s v="Tarjeta de débito"/>
    <n v="38.21"/>
    <s v="Libre"/>
    <n v="650"/>
    <s v="Argentina"/>
    <d v="1899-12-30T01:29:00"/>
    <n v="76"/>
    <s v="1:16"/>
    <d v="1899-12-30T00:13:00"/>
    <n v="237"/>
    <n v="70"/>
    <d v="2023-04-07T00:00:00"/>
    <x v="6"/>
    <x v="0"/>
    <s v="Tarjeta de débito"/>
    <n v="38.21"/>
    <n v="275.20999999999998"/>
  </r>
  <r>
    <n v="16"/>
    <s v="Cliente_595"/>
    <n v="4"/>
    <d v="2023-04-07T00:00:00"/>
    <d v="1899-12-30T02:04:00"/>
    <d v="2023-04-07T00:00:00"/>
    <d v="1899-12-30T05:44:00"/>
    <s v="Mesero_4"/>
    <x v="2"/>
    <s v="Tarjeta de crédito"/>
    <n v="20.27"/>
    <s v="Libre"/>
    <n v="651"/>
    <s v="Argentina"/>
    <d v="1899-12-30T03:40:00"/>
    <n v="88"/>
    <s v="1:28"/>
    <d v="1899-12-30T02:12:00"/>
    <n v="209"/>
    <n v="58"/>
    <d v="2023-04-07T00:00:00"/>
    <x v="6"/>
    <x v="0"/>
    <s v="Tarjeta de crédito"/>
    <n v="20.27"/>
    <n v="229.27"/>
  </r>
  <r>
    <n v="14"/>
    <s v="Cliente_968"/>
    <n v="5"/>
    <d v="2023-04-07T00:00:00"/>
    <d v="1899-12-30T00:06:00"/>
    <d v="2023-04-07T00:00:00"/>
    <d v="1899-12-30T02:26:00"/>
    <s v="Mesero_2"/>
    <x v="0"/>
    <s v="Tarjeta de débito"/>
    <n v="23.26"/>
    <s v="Ocupada"/>
    <n v="652"/>
    <s v="Uruguay"/>
    <d v="1899-12-30T02:35:00"/>
    <n v="50"/>
    <s v="0:50"/>
    <d v="1899-12-30T01:45:00"/>
    <n v="170"/>
    <n v="41"/>
    <d v="2023-04-07T00:00:00"/>
    <x v="6"/>
    <x v="0"/>
    <s v="Tarjeta de débito"/>
    <n v="23.26"/>
    <n v="193.26"/>
  </r>
  <r>
    <n v="13"/>
    <s v="Cliente_2"/>
    <n v="5"/>
    <d v="2023-04-07T00:00:00"/>
    <d v="1899-12-30T02:31:00"/>
    <d v="2023-04-07T00:00:00"/>
    <d v="1899-12-30T04:20:00"/>
    <s v="Mesero_1"/>
    <x v="0"/>
    <s v="Tarjeta de crédito"/>
    <n v="34.33"/>
    <s v="Libre"/>
    <n v="653"/>
    <s v="Venezuela"/>
    <d v="1899-12-30T01:49:00"/>
    <n v="150"/>
    <s v="2:30"/>
    <d v="1899-12-30T00:00:00"/>
    <n v="244"/>
    <n v="55"/>
    <d v="2023-04-07T00:00:00"/>
    <x v="6"/>
    <x v="1"/>
    <s v="Impago"/>
    <n v="0"/>
    <n v="0"/>
  </r>
  <r>
    <n v="12"/>
    <s v="Cliente_880"/>
    <n v="5"/>
    <d v="2023-04-07T00:00:00"/>
    <d v="1899-12-30T00:02:00"/>
    <d v="2023-04-07T00:00:00"/>
    <d v="1899-12-30T01:44:00"/>
    <s v="Mesero_5"/>
    <x v="2"/>
    <s v="Tarjeta de crédito"/>
    <n v="23.98"/>
    <s v="Ocupada"/>
    <n v="654"/>
    <s v="Uruguay"/>
    <d v="1899-12-30T01:57:00"/>
    <n v="44"/>
    <s v="0:44"/>
    <d v="1899-12-30T01:13:00"/>
    <n v="42"/>
    <n v="25"/>
    <d v="2023-04-07T00:00:00"/>
    <x v="6"/>
    <x v="0"/>
    <s v="Tarjeta de crédito"/>
    <n v="23.98"/>
    <n v="65.98"/>
  </r>
  <r>
    <n v="5"/>
    <s v="Cliente_626"/>
    <n v="4"/>
    <d v="2023-04-07T00:00:00"/>
    <d v="1899-12-30T01:15:00"/>
    <d v="2023-04-07T00:00:00"/>
    <d v="1899-12-30T04:49:00"/>
    <s v="Mesero_5"/>
    <x v="0"/>
    <s v="Efectivo"/>
    <n v="21.7"/>
    <s v="Reservada"/>
    <n v="655"/>
    <s v="Brasil"/>
    <d v="1899-12-30T03:34:00"/>
    <n v="36"/>
    <s v="0:36"/>
    <d v="1899-12-30T02:58:00"/>
    <n v="93"/>
    <n v="19"/>
    <d v="2023-04-07T00:00:00"/>
    <x v="6"/>
    <x v="0"/>
    <s v="Efectivo"/>
    <n v="21.7"/>
    <n v="114.7"/>
  </r>
  <r>
    <n v="19"/>
    <s v="Cliente_411"/>
    <n v="6"/>
    <d v="2023-04-07T00:00:00"/>
    <d v="1899-12-30T03:36:00"/>
    <d v="2023-04-07T00:00:00"/>
    <d v="1899-12-30T06:40:00"/>
    <s v="Mesero_1"/>
    <x v="2"/>
    <s v="Tarjeta de crédito"/>
    <n v="31.23"/>
    <s v="Reservada"/>
    <n v="656"/>
    <s v="Argentina"/>
    <d v="1899-12-30T03:04:00"/>
    <n v="110"/>
    <s v="1:50"/>
    <d v="1899-12-30T01:14:00"/>
    <n v="157"/>
    <n v="59"/>
    <d v="2023-04-07T00:00:00"/>
    <x v="6"/>
    <x v="0"/>
    <s v="Tarjeta de crédito"/>
    <n v="31.23"/>
    <n v="188.23"/>
  </r>
  <r>
    <n v="1"/>
    <s v="Cliente_123"/>
    <n v="2"/>
    <d v="2023-04-07T00:00:00"/>
    <d v="1899-12-30T00:51:00"/>
    <d v="2023-04-07T00:00:00"/>
    <d v="1899-12-30T04:07:00"/>
    <s v="Mesero_1"/>
    <x v="0"/>
    <s v="Efectivo"/>
    <n v="44.2"/>
    <s v="Reservada"/>
    <n v="657"/>
    <s v="Chile"/>
    <d v="1899-12-30T03:16:00"/>
    <n v="134"/>
    <s v="2:14"/>
    <d v="1899-12-30T01:02:00"/>
    <n v="196"/>
    <n v="60"/>
    <d v="2023-04-07T00:00:00"/>
    <x v="6"/>
    <x v="0"/>
    <s v="Efectivo"/>
    <n v="44.2"/>
    <n v="240.2"/>
  </r>
  <r>
    <n v="19"/>
    <s v="Cliente_910"/>
    <n v="5"/>
    <d v="2023-04-07T00:00:00"/>
    <d v="1899-12-30T01:43:00"/>
    <d v="2023-04-07T00:00:00"/>
    <d v="1899-12-30T05:02:00"/>
    <s v="Mesero_5"/>
    <x v="1"/>
    <s v="Efectivo"/>
    <n v="31.27"/>
    <s v="Reservada"/>
    <n v="658"/>
    <s v="Brasil"/>
    <d v="1899-12-30T03:19:00"/>
    <n v="48"/>
    <s v="0:48"/>
    <d v="1899-12-30T02:31:00"/>
    <n v="86"/>
    <n v="35"/>
    <d v="2023-04-07T00:00:00"/>
    <x v="6"/>
    <x v="0"/>
    <s v="Efectivo"/>
    <n v="31.27"/>
    <n v="117.27"/>
  </r>
  <r>
    <n v="9"/>
    <s v="Cliente_539"/>
    <n v="4"/>
    <d v="2023-04-07T00:00:00"/>
    <d v="1899-12-30T02:50:00"/>
    <d v="2023-04-07T00:00:00"/>
    <d v="1899-12-30T04:03:00"/>
    <s v="Mesero_4"/>
    <x v="0"/>
    <s v="Tarjeta de crédito"/>
    <n v="35.24"/>
    <s v="Ocupada"/>
    <n v="659"/>
    <s v="Perú"/>
    <d v="1899-12-30T01:28:00"/>
    <n v="31"/>
    <s v="0:31"/>
    <d v="1899-12-30T00:57:00"/>
    <n v="87"/>
    <n v="17"/>
    <d v="2023-04-07T00:00:00"/>
    <x v="6"/>
    <x v="0"/>
    <s v="Tarjeta de crédito"/>
    <n v="35.24"/>
    <n v="122.24000000000001"/>
  </r>
  <r>
    <n v="19"/>
    <s v="Cliente_483"/>
    <n v="4"/>
    <d v="2023-04-07T00:00:00"/>
    <d v="1899-12-30T01:56:00"/>
    <d v="2023-04-07T00:00:00"/>
    <d v="1899-12-30T05:51:00"/>
    <s v="Mesero_2"/>
    <x v="1"/>
    <s v="Tarjeta de crédito"/>
    <n v="15.91"/>
    <s v="Reservada"/>
    <n v="660"/>
    <s v="Brasil"/>
    <d v="1899-12-30T03:55:00"/>
    <n v="45"/>
    <s v="0:45"/>
    <d v="1899-12-30T03:10:00"/>
    <n v="208"/>
    <n v="54"/>
    <d v="2023-04-07T00:00:00"/>
    <x v="6"/>
    <x v="0"/>
    <s v="Tarjeta de crédito"/>
    <n v="15.91"/>
    <n v="223.91"/>
  </r>
  <r>
    <n v="16"/>
    <s v="Cliente_949"/>
    <n v="4"/>
    <d v="2023-04-07T00:00:00"/>
    <d v="1899-12-30T03:22:00"/>
    <d v="2023-04-07T00:00:00"/>
    <d v="1899-12-30T06:52:00"/>
    <s v="Mesero_4"/>
    <x v="2"/>
    <s v="Tarjeta de crédito"/>
    <n v="32.54"/>
    <s v="Ocupada"/>
    <n v="661"/>
    <s v="Argentina"/>
    <d v="1899-12-30T03:45:00"/>
    <n v="135"/>
    <s v="2:15"/>
    <d v="1899-12-30T01:30:00"/>
    <n v="206"/>
    <n v="64"/>
    <d v="2023-04-07T00:00:00"/>
    <x v="6"/>
    <x v="0"/>
    <s v="Tarjeta de crédito"/>
    <n v="32.54"/>
    <n v="238.54"/>
  </r>
  <r>
    <n v="15"/>
    <s v="Cliente_642"/>
    <n v="4"/>
    <d v="2023-04-07T00:00:00"/>
    <d v="1899-12-30T02:01:00"/>
    <d v="2023-04-07T00:00:00"/>
    <d v="1899-12-30T05:02:00"/>
    <s v="Mesero_1"/>
    <x v="0"/>
    <s v="Tarjeta de crédito"/>
    <n v="11.64"/>
    <s v="Libre"/>
    <n v="662"/>
    <s v="Bolivia"/>
    <d v="1899-12-30T03:01:00"/>
    <n v="85"/>
    <s v="1:25"/>
    <d v="1899-12-30T01:36:00"/>
    <n v="133"/>
    <n v="51"/>
    <d v="2023-04-07T00:00:00"/>
    <x v="6"/>
    <x v="0"/>
    <s v="Tarjeta de crédito"/>
    <n v="11.64"/>
    <n v="144.63999999999999"/>
  </r>
  <r>
    <n v="3"/>
    <s v="Cliente_962"/>
    <n v="1"/>
    <d v="2023-04-07T00:00:00"/>
    <d v="1899-12-30T01:09:00"/>
    <d v="2023-04-07T00:00:00"/>
    <d v="1899-12-30T03:47:00"/>
    <s v="Mesero_1"/>
    <x v="0"/>
    <s v="Efectivo"/>
    <n v="41.8"/>
    <s v="Ocupada"/>
    <n v="663"/>
    <s v="España"/>
    <d v="1899-12-30T02:53:00"/>
    <n v="87"/>
    <s v="1:27"/>
    <d v="1899-12-30T01:26:00"/>
    <n v="114"/>
    <n v="39"/>
    <d v="2023-04-07T00:00:00"/>
    <x v="6"/>
    <x v="0"/>
    <s v="Efectivo"/>
    <n v="41.8"/>
    <n v="155.80000000000001"/>
  </r>
  <r>
    <n v="20"/>
    <s v="Cliente_883"/>
    <n v="6"/>
    <d v="2023-04-07T00:00:00"/>
    <d v="1899-12-30T01:35:00"/>
    <d v="2023-04-07T00:00:00"/>
    <d v="1899-12-30T03:53:00"/>
    <s v="Mesero_4"/>
    <x v="1"/>
    <s v="Tarjeta de débito"/>
    <n v="31.27"/>
    <s v="Reservada"/>
    <n v="664"/>
    <s v="Colombia"/>
    <d v="1899-12-30T02:18:00"/>
    <n v="99"/>
    <s v="1:39"/>
    <d v="1899-12-30T00:39:00"/>
    <n v="122"/>
    <n v="34"/>
    <d v="2023-04-07T00:00:00"/>
    <x v="6"/>
    <x v="0"/>
    <s v="Tarjeta de débito"/>
    <n v="31.27"/>
    <n v="153.27000000000001"/>
  </r>
  <r>
    <n v="6"/>
    <s v="Cliente_425"/>
    <n v="1"/>
    <d v="2023-04-07T00:00:00"/>
    <d v="1899-12-30T02:05:00"/>
    <d v="2023-04-07T00:00:00"/>
    <d v="1899-12-30T05:56:00"/>
    <s v="Mesero_5"/>
    <x v="0"/>
    <s v="Tarjeta de crédito"/>
    <n v="25.32"/>
    <s v="Ocupada"/>
    <n v="665"/>
    <s v="Bolivia"/>
    <d v="1899-12-30T04:06:00"/>
    <n v="40"/>
    <s v="0:40"/>
    <d v="1899-12-30T03:26:00"/>
    <n v="129"/>
    <n v="31"/>
    <d v="2023-04-07T00:00:00"/>
    <x v="6"/>
    <x v="0"/>
    <s v="Tarjeta de crédito"/>
    <n v="25.32"/>
    <n v="154.32"/>
  </r>
  <r>
    <n v="8"/>
    <s v="Cliente_593"/>
    <n v="4"/>
    <d v="2023-04-07T00:00:00"/>
    <d v="1899-12-30T01:04:00"/>
    <d v="2023-04-07T00:00:00"/>
    <d v="1899-12-30T04:57:00"/>
    <s v="Mesero_2"/>
    <x v="0"/>
    <s v="Tarjeta de crédito"/>
    <n v="11.86"/>
    <s v="Libre"/>
    <n v="666"/>
    <s v="Paraguay"/>
    <d v="1899-12-30T03:53:00"/>
    <n v="27"/>
    <s v="0:27"/>
    <d v="1899-12-30T03:26:00"/>
    <n v="40"/>
    <n v="12"/>
    <d v="2023-04-07T00:00:00"/>
    <x v="6"/>
    <x v="0"/>
    <s v="Tarjeta de crédito"/>
    <n v="11.86"/>
    <n v="51.86"/>
  </r>
  <r>
    <n v="6"/>
    <s v="Cliente_368"/>
    <n v="5"/>
    <d v="2023-04-07T00:00:00"/>
    <d v="1899-12-30T03:39:00"/>
    <d v="2023-04-07T00:00:00"/>
    <d v="1899-12-30T07:07:00"/>
    <s v="Mesero_3"/>
    <x v="0"/>
    <s v="Tarjeta de crédito"/>
    <n v="20.49"/>
    <s v="Reservada"/>
    <n v="667"/>
    <s v="Perú"/>
    <d v="1899-12-30T03:28:00"/>
    <n v="12"/>
    <s v="0:12"/>
    <d v="1899-12-30T03:16:00"/>
    <n v="36"/>
    <n v="22"/>
    <d v="2023-04-07T00:00:00"/>
    <x v="6"/>
    <x v="0"/>
    <s v="Tarjeta de crédito"/>
    <n v="20.49"/>
    <n v="56.489999999999995"/>
  </r>
  <r>
    <n v="12"/>
    <s v="Cliente_418"/>
    <n v="4"/>
    <d v="2023-04-07T00:00:00"/>
    <d v="1899-12-30T01:43:00"/>
    <d v="2023-04-07T00:00:00"/>
    <d v="1899-12-30T04:41:00"/>
    <s v="Mesero_1"/>
    <x v="1"/>
    <s v="Tarjeta de crédito"/>
    <n v="18.61"/>
    <s v="Reservada"/>
    <n v="668"/>
    <s v="Bolivia"/>
    <d v="1899-12-30T02:58:00"/>
    <n v="115"/>
    <s v="1:55"/>
    <d v="1899-12-30T01:03:00"/>
    <n v="201"/>
    <n v="44"/>
    <d v="2023-04-07T00:00:00"/>
    <x v="6"/>
    <x v="0"/>
    <s v="Tarjeta de crédito"/>
    <n v="18.61"/>
    <n v="219.61"/>
  </r>
  <r>
    <n v="10"/>
    <s v="Cliente_693"/>
    <n v="4"/>
    <d v="2023-04-07T00:00:00"/>
    <d v="1899-12-30T01:01:00"/>
    <d v="2023-04-07T00:00:00"/>
    <d v="1899-12-30T04:34:00"/>
    <s v="Mesero_3"/>
    <x v="0"/>
    <s v="Tarjeta de crédito"/>
    <n v="10.68"/>
    <s v="Libre"/>
    <n v="669"/>
    <s v="Venezuela"/>
    <d v="1899-12-30T03:33:00"/>
    <n v="69"/>
    <s v="1:09"/>
    <d v="1899-12-30T02:24:00"/>
    <n v="181"/>
    <n v="54"/>
    <d v="2023-04-07T00:00:00"/>
    <x v="6"/>
    <x v="0"/>
    <s v="Tarjeta de crédito"/>
    <n v="10.68"/>
    <n v="191.68"/>
  </r>
  <r>
    <n v="16"/>
    <s v="Cliente_226"/>
    <n v="6"/>
    <d v="2023-04-07T00:00:00"/>
    <d v="1899-12-30T01:52:00"/>
    <d v="2023-04-07T00:00:00"/>
    <d v="1899-12-30T03:12:00"/>
    <s v="Mesero_2"/>
    <x v="0"/>
    <s v="Efectivo"/>
    <n v="37.93"/>
    <s v="Ocupada"/>
    <n v="670"/>
    <s v="Bolivia"/>
    <d v="1899-12-30T01:35:00"/>
    <n v="75"/>
    <s v="1:15"/>
    <d v="1899-12-30T00:20:00"/>
    <n v="94"/>
    <n v="57"/>
    <d v="2023-04-07T00:00:00"/>
    <x v="6"/>
    <x v="0"/>
    <s v="Efectivo"/>
    <n v="37.93"/>
    <n v="131.93"/>
  </r>
  <r>
    <n v="17"/>
    <s v="Cliente_759"/>
    <n v="3"/>
    <d v="2023-04-07T00:00:00"/>
    <d v="1899-12-30T02:18:00"/>
    <d v="2023-04-07T00:00:00"/>
    <d v="1899-12-30T03:30:00"/>
    <s v="Mesero_3"/>
    <x v="0"/>
    <s v="Efectivo"/>
    <n v="32.200000000000003"/>
    <s v="Reservada"/>
    <n v="671"/>
    <s v="Bolivia"/>
    <d v="1899-12-30T01:12:00"/>
    <n v="95"/>
    <s v="1:35"/>
    <d v="1899-12-30T00:00:00"/>
    <n v="184"/>
    <n v="55"/>
    <d v="2023-04-07T00:00:00"/>
    <x v="6"/>
    <x v="1"/>
    <s v="Impago"/>
    <n v="0"/>
    <n v="0"/>
  </r>
  <r>
    <n v="12"/>
    <s v="Cliente_517"/>
    <n v="6"/>
    <d v="2023-04-07T00:00:00"/>
    <d v="1899-12-30T01:24:00"/>
    <d v="2023-04-07T00:00:00"/>
    <d v="1899-12-30T03:51:00"/>
    <s v="Mesero_4"/>
    <x v="2"/>
    <s v="Tarjeta de crédito"/>
    <n v="29.19"/>
    <s v="Reservada"/>
    <n v="672"/>
    <s v="Chile"/>
    <d v="1899-12-30T02:27:00"/>
    <n v="78"/>
    <s v="1:18"/>
    <d v="1899-12-30T01:09:00"/>
    <n v="157"/>
    <n v="43"/>
    <d v="2023-04-07T00:00:00"/>
    <x v="6"/>
    <x v="0"/>
    <s v="Tarjeta de crédito"/>
    <n v="29.19"/>
    <n v="186.19"/>
  </r>
  <r>
    <n v="20"/>
    <s v="Cliente_485"/>
    <n v="6"/>
    <d v="2023-04-07T00:00:00"/>
    <d v="1899-12-30T00:37:00"/>
    <d v="2023-04-07T00:00:00"/>
    <d v="1899-12-30T02:52:00"/>
    <s v="Mesero_5"/>
    <x v="0"/>
    <s v="Tarjeta de crédito"/>
    <n v="36.5"/>
    <s v="Reservada"/>
    <n v="673"/>
    <s v="Venezuela"/>
    <d v="1899-12-30T02:15:00"/>
    <n v="93"/>
    <s v="1:33"/>
    <d v="1899-12-30T00:42:00"/>
    <n v="265"/>
    <n v="79"/>
    <d v="2023-04-07T00:00:00"/>
    <x v="6"/>
    <x v="0"/>
    <s v="Tarjeta de crédito"/>
    <n v="36.5"/>
    <n v="301.5"/>
  </r>
  <r>
    <n v="1"/>
    <s v="Cliente_834"/>
    <n v="3"/>
    <d v="2023-04-07T00:00:00"/>
    <d v="1899-12-30T00:03:00"/>
    <d v="2023-04-07T00:00:00"/>
    <d v="1899-12-30T01:30:00"/>
    <s v="Mesero_5"/>
    <x v="2"/>
    <s v="Tarjeta de crédito"/>
    <n v="41.29"/>
    <s v="Libre"/>
    <n v="674"/>
    <s v="Paraguay"/>
    <d v="1899-12-30T01:27:00"/>
    <n v="65"/>
    <s v="1:05"/>
    <d v="1899-12-30T00:22:00"/>
    <n v="207"/>
    <n v="53"/>
    <d v="2023-04-07T00:00:00"/>
    <x v="6"/>
    <x v="0"/>
    <s v="Tarjeta de crédito"/>
    <n v="41.29"/>
    <n v="248.29"/>
  </r>
  <r>
    <n v="5"/>
    <s v="Cliente_104"/>
    <n v="2"/>
    <d v="2023-04-07T00:00:00"/>
    <d v="1899-12-30T00:54:00"/>
    <d v="2023-04-07T00:00:00"/>
    <d v="1899-12-30T04:33:00"/>
    <s v="Mesero_2"/>
    <x v="2"/>
    <s v="Efectivo"/>
    <n v="30.74"/>
    <s v="Reservada"/>
    <n v="675"/>
    <s v="Ecuador"/>
    <d v="1899-12-30T03:39:00"/>
    <n v="121"/>
    <s v="2:01"/>
    <d v="1899-12-30T01:38:00"/>
    <n v="193"/>
    <n v="49"/>
    <d v="2023-04-07T00:00:00"/>
    <x v="6"/>
    <x v="0"/>
    <s v="Efectivo"/>
    <n v="30.74"/>
    <n v="223.74"/>
  </r>
  <r>
    <n v="7"/>
    <s v="Cliente_494"/>
    <n v="6"/>
    <d v="2023-04-07T00:00:00"/>
    <d v="1899-12-30T00:28:00"/>
    <d v="2023-04-07T00:00:00"/>
    <d v="1899-12-30T03:45:00"/>
    <s v="Mesero_3"/>
    <x v="0"/>
    <s v="Tarjeta de crédito"/>
    <n v="41.6"/>
    <s v="Ocupada"/>
    <n v="676"/>
    <s v="Ecuador"/>
    <d v="1899-12-30T03:32:00"/>
    <n v="121"/>
    <s v="2:01"/>
    <d v="1899-12-30T01:31:00"/>
    <n v="124"/>
    <n v="62"/>
    <d v="2023-04-07T00:00:00"/>
    <x v="6"/>
    <x v="0"/>
    <s v="Tarjeta de crédito"/>
    <n v="41.6"/>
    <n v="165.6"/>
  </r>
  <r>
    <n v="14"/>
    <s v="Cliente_331"/>
    <n v="6"/>
    <d v="2023-04-07T00:00:00"/>
    <d v="1899-12-30T00:34:00"/>
    <d v="2023-04-07T00:00:00"/>
    <d v="1899-12-30T02:37:00"/>
    <s v="Mesero_2"/>
    <x v="0"/>
    <s v="Tarjeta de crédito"/>
    <n v="12.57"/>
    <s v="Ocupada"/>
    <n v="677"/>
    <s v="Bolivia"/>
    <d v="1899-12-30T02:18:00"/>
    <n v="148"/>
    <s v="2:28"/>
    <d v="1899-12-30T00:00:00"/>
    <n v="144"/>
    <n v="53"/>
    <d v="2023-04-07T00:00:00"/>
    <x v="6"/>
    <x v="1"/>
    <s v="Impago"/>
    <n v="0"/>
    <n v="0"/>
  </r>
  <r>
    <n v="19"/>
    <s v="Cliente_483"/>
    <n v="1"/>
    <d v="2023-04-07T00:00:00"/>
    <d v="1899-12-30T03:01:00"/>
    <d v="2023-04-07T00:00:00"/>
    <d v="1899-12-30T05:22:00"/>
    <s v="Mesero_3"/>
    <x v="0"/>
    <s v="Tarjeta de crédito"/>
    <n v="26.76"/>
    <s v="Ocupada"/>
    <n v="678"/>
    <s v="Chile"/>
    <d v="1899-12-30T02:36:00"/>
    <n v="121"/>
    <s v="2:01"/>
    <d v="1899-12-30T00:35:00"/>
    <n v="204"/>
    <n v="63"/>
    <d v="2023-04-07T00:00:00"/>
    <x v="6"/>
    <x v="0"/>
    <s v="Tarjeta de crédito"/>
    <n v="26.76"/>
    <n v="230.76"/>
  </r>
  <r>
    <n v="9"/>
    <s v="Cliente_26"/>
    <n v="4"/>
    <d v="2023-04-07T00:00:00"/>
    <d v="1899-12-30T00:02:00"/>
    <d v="2023-04-07T00:00:00"/>
    <d v="1899-12-30T03:03:00"/>
    <s v="Mesero_2"/>
    <x v="0"/>
    <s v="Tarjeta de crédito"/>
    <n v="36.43"/>
    <s v="Ocupada"/>
    <n v="679"/>
    <s v="Chile"/>
    <d v="1899-12-30T03:16:00"/>
    <n v="106"/>
    <s v="1:46"/>
    <d v="1899-12-30T01:30:00"/>
    <n v="199"/>
    <n v="59"/>
    <d v="2023-04-07T00:00:00"/>
    <x v="6"/>
    <x v="0"/>
    <s v="Tarjeta de crédito"/>
    <n v="36.43"/>
    <n v="235.43"/>
  </r>
  <r>
    <n v="5"/>
    <s v="Cliente_35"/>
    <n v="4"/>
    <d v="2023-04-07T00:00:00"/>
    <d v="1899-12-30T01:23:00"/>
    <d v="2023-04-07T00:00:00"/>
    <d v="1899-12-30T05:20:00"/>
    <s v="Mesero_3"/>
    <x v="0"/>
    <s v="Efectivo"/>
    <n v="12.06"/>
    <s v="Reservada"/>
    <n v="680"/>
    <s v="Paraguay"/>
    <d v="1899-12-30T03:57:00"/>
    <n v="111"/>
    <s v="1:51"/>
    <d v="1899-12-30T02:06:00"/>
    <n v="162"/>
    <n v="42"/>
    <d v="2023-04-07T00:00:00"/>
    <x v="6"/>
    <x v="0"/>
    <s v="Efectivo"/>
    <n v="12.06"/>
    <n v="174.06"/>
  </r>
  <r>
    <n v="2"/>
    <s v="Cliente_840"/>
    <n v="4"/>
    <d v="2023-04-07T00:00:00"/>
    <d v="1899-12-30T02:56:00"/>
    <d v="2023-04-07T00:00:00"/>
    <d v="1899-12-30T06:50:00"/>
    <s v="Mesero_4"/>
    <x v="0"/>
    <s v="Tarjeta de débito"/>
    <n v="37.07"/>
    <s v="Libre"/>
    <n v="681"/>
    <s v="Paraguay"/>
    <d v="1899-12-30T03:54:00"/>
    <n v="65"/>
    <s v="1:05"/>
    <d v="1899-12-30T02:49:00"/>
    <n v="75"/>
    <n v="33"/>
    <d v="2023-04-07T00:00:00"/>
    <x v="6"/>
    <x v="0"/>
    <s v="Tarjeta de débito"/>
    <n v="37.07"/>
    <n v="112.07"/>
  </r>
  <r>
    <n v="1"/>
    <s v="Cliente_36"/>
    <n v="5"/>
    <d v="2023-04-07T00:00:00"/>
    <d v="1899-12-30T01:26:00"/>
    <d v="2023-04-07T00:00:00"/>
    <d v="1899-12-30T04:05:00"/>
    <s v="Mesero_5"/>
    <x v="1"/>
    <s v="Tarjeta de crédito"/>
    <n v="21.04"/>
    <s v="Ocupada"/>
    <n v="682"/>
    <s v="Venezuela"/>
    <d v="1899-12-30T02:54:00"/>
    <n v="43"/>
    <s v="0:43"/>
    <d v="1899-12-30T02:11:00"/>
    <n v="23"/>
    <n v="14"/>
    <d v="2023-04-07T00:00:00"/>
    <x v="6"/>
    <x v="0"/>
    <s v="Tarjeta de crédito"/>
    <n v="21.04"/>
    <n v="44.04"/>
  </r>
  <r>
    <n v="2"/>
    <s v="Cliente_837"/>
    <n v="6"/>
    <d v="2023-04-07T00:00:00"/>
    <d v="1899-12-30T03:56:00"/>
    <d v="2023-04-07T00:00:00"/>
    <d v="1899-12-30T06:22:00"/>
    <s v="Mesero_5"/>
    <x v="0"/>
    <s v="Tarjeta de crédito"/>
    <n v="40.42"/>
    <s v="Ocupada"/>
    <n v="683"/>
    <s v="Colombia"/>
    <d v="1899-12-30T02:41:00"/>
    <n v="82"/>
    <s v="1:22"/>
    <d v="1899-12-30T01:19:00"/>
    <n v="164"/>
    <n v="69"/>
    <d v="2023-04-07T00:00:00"/>
    <x v="6"/>
    <x v="0"/>
    <s v="Tarjeta de crédito"/>
    <n v="40.42"/>
    <n v="204.42000000000002"/>
  </r>
  <r>
    <n v="10"/>
    <s v="Cliente_514"/>
    <n v="6"/>
    <d v="2023-04-07T00:00:00"/>
    <d v="1899-12-30T03:29:00"/>
    <d v="2023-04-07T00:00:00"/>
    <d v="1899-12-30T04:40:00"/>
    <s v="Mesero_4"/>
    <x v="2"/>
    <s v="Tarjeta de crédito"/>
    <n v="48.15"/>
    <s v="Ocupada"/>
    <n v="684"/>
    <s v="Chile"/>
    <d v="1899-12-30T01:26:00"/>
    <n v="110"/>
    <s v="1:50"/>
    <d v="1899-12-30T00:00:00"/>
    <n v="180"/>
    <n v="73"/>
    <d v="2023-04-07T00:00:00"/>
    <x v="6"/>
    <x v="1"/>
    <s v="Impago"/>
    <n v="0"/>
    <n v="0"/>
  </r>
  <r>
    <n v="5"/>
    <s v="Cliente_485"/>
    <n v="5"/>
    <d v="2023-04-07T00:00:00"/>
    <d v="1899-12-30T00:28:00"/>
    <d v="2023-04-07T00:00:00"/>
    <d v="1899-12-30T01:43:00"/>
    <s v="Mesero_2"/>
    <x v="0"/>
    <s v="Tarjeta de débito"/>
    <n v="19.89"/>
    <s v="Libre"/>
    <n v="685"/>
    <s v="España"/>
    <d v="1899-12-30T01:15:00"/>
    <n v="17"/>
    <s v="0:17"/>
    <d v="1899-12-30T00:58:00"/>
    <n v="54"/>
    <n v="16"/>
    <d v="2023-04-07T00:00:00"/>
    <x v="6"/>
    <x v="0"/>
    <s v="Tarjeta de débito"/>
    <n v="19.89"/>
    <n v="73.89"/>
  </r>
  <r>
    <n v="10"/>
    <s v="Cliente_832"/>
    <n v="6"/>
    <d v="2023-04-07T00:00:00"/>
    <d v="1899-12-30T01:12:00"/>
    <d v="2023-04-07T00:00:00"/>
    <d v="1899-12-30T03:39:00"/>
    <s v="Mesero_1"/>
    <x v="0"/>
    <s v="Efectivo"/>
    <n v="15.83"/>
    <s v="Reservada"/>
    <n v="686"/>
    <s v="Paraguay"/>
    <d v="1899-12-30T02:27:00"/>
    <n v="58"/>
    <s v="0:58"/>
    <d v="1899-12-30T01:29:00"/>
    <n v="102"/>
    <n v="31"/>
    <d v="2023-04-07T00:00:00"/>
    <x v="6"/>
    <x v="0"/>
    <s v="Efectivo"/>
    <n v="15.83"/>
    <n v="117.83"/>
  </r>
  <r>
    <n v="2"/>
    <s v="Cliente_778"/>
    <n v="6"/>
    <d v="2023-04-07T00:00:00"/>
    <d v="1899-12-30T01:54:00"/>
    <d v="2023-04-07T00:00:00"/>
    <d v="1899-12-30T05:39:00"/>
    <s v="Mesero_4"/>
    <x v="0"/>
    <s v="Efectivo"/>
    <n v="10.53"/>
    <s v="Libre"/>
    <n v="687"/>
    <s v="España"/>
    <d v="1899-12-30T03:45:00"/>
    <n v="29"/>
    <s v="0:29"/>
    <d v="1899-12-30T03:16:00"/>
    <n v="72"/>
    <n v="22"/>
    <d v="2023-04-07T00:00:00"/>
    <x v="6"/>
    <x v="0"/>
    <s v="Efectivo"/>
    <n v="10.53"/>
    <n v="82.53"/>
  </r>
  <r>
    <n v="3"/>
    <s v="Cliente_725"/>
    <n v="1"/>
    <d v="2023-04-07T00:00:00"/>
    <d v="1899-12-30T03:26:00"/>
    <d v="2023-04-07T00:00:00"/>
    <d v="1899-12-30T05:03:00"/>
    <s v="Mesero_1"/>
    <x v="0"/>
    <s v="Tarjeta de crédito"/>
    <n v="48.7"/>
    <s v="Ocupada"/>
    <n v="688"/>
    <s v="Argentina"/>
    <d v="1899-12-30T01:52:00"/>
    <n v="14"/>
    <s v="0:14"/>
    <d v="1899-12-30T01:38:00"/>
    <n v="29"/>
    <n v="17"/>
    <d v="2023-04-07T00:00:00"/>
    <x v="6"/>
    <x v="0"/>
    <s v="Tarjeta de crédito"/>
    <n v="48.7"/>
    <n v="77.7"/>
  </r>
  <r>
    <n v="14"/>
    <s v="Cliente_114"/>
    <n v="1"/>
    <d v="2023-04-07T00:00:00"/>
    <d v="1899-12-30T00:36:00"/>
    <d v="2023-04-07T00:00:00"/>
    <d v="1899-12-30T02:22:00"/>
    <s v="Mesero_1"/>
    <x v="0"/>
    <s v="Tarjeta de crédito"/>
    <n v="10.25"/>
    <s v="Ocupada"/>
    <n v="689"/>
    <s v="Paraguay"/>
    <d v="1899-12-30T02:01:00"/>
    <n v="29"/>
    <s v="0:29"/>
    <d v="1899-12-30T01:32:00"/>
    <n v="165"/>
    <n v="42"/>
    <d v="2023-04-07T00:00:00"/>
    <x v="6"/>
    <x v="0"/>
    <s v="Tarjeta de crédito"/>
    <n v="10.25"/>
    <n v="175.25"/>
  </r>
  <r>
    <n v="15"/>
    <s v="Cliente_95"/>
    <n v="4"/>
    <d v="2023-04-07T00:00:00"/>
    <d v="1899-12-30T02:43:00"/>
    <d v="2023-04-07T00:00:00"/>
    <d v="1899-12-30T05:43:00"/>
    <s v="Mesero_5"/>
    <x v="2"/>
    <s v="Tarjeta de débito"/>
    <n v="37.22"/>
    <s v="Reservada"/>
    <n v="690"/>
    <s v="España"/>
    <d v="1899-12-30T03:00:00"/>
    <n v="143"/>
    <s v="2:23"/>
    <d v="1899-12-30T00:37:00"/>
    <n v="191"/>
    <n v="80"/>
    <d v="2023-04-07T00:00:00"/>
    <x v="6"/>
    <x v="0"/>
    <s v="Tarjeta de débito"/>
    <n v="37.22"/>
    <n v="228.22"/>
  </r>
  <r>
    <n v="19"/>
    <s v="Cliente_103"/>
    <n v="4"/>
    <d v="2023-04-07T00:00:00"/>
    <d v="1899-12-30T01:43:00"/>
    <d v="2023-04-07T00:00:00"/>
    <d v="1899-12-30T05:17:00"/>
    <s v="Mesero_3"/>
    <x v="2"/>
    <s v="Tarjeta de débito"/>
    <n v="13.9"/>
    <s v="Ocupada"/>
    <n v="691"/>
    <s v="Colombia"/>
    <d v="1899-12-30T03:49:00"/>
    <n v="34"/>
    <s v="0:34"/>
    <d v="1899-12-30T03:15:00"/>
    <n v="66"/>
    <n v="13"/>
    <d v="2023-04-07T00:00:00"/>
    <x v="6"/>
    <x v="0"/>
    <s v="Tarjeta de débito"/>
    <n v="13.9"/>
    <n v="79.900000000000006"/>
  </r>
  <r>
    <n v="9"/>
    <s v="Cliente_30"/>
    <n v="2"/>
    <d v="2023-04-07T00:00:00"/>
    <d v="1899-12-30T00:53:00"/>
    <d v="2023-04-07T00:00:00"/>
    <d v="1899-12-30T04:26:00"/>
    <s v="Mesero_1"/>
    <x v="2"/>
    <s v="Tarjeta de crédito"/>
    <n v="25.92"/>
    <s v="Reservada"/>
    <n v="692"/>
    <s v="Argentina"/>
    <d v="1899-12-30T03:33:00"/>
    <n v="100"/>
    <s v="1:40"/>
    <d v="1899-12-30T01:53:00"/>
    <n v="173"/>
    <n v="61"/>
    <d v="2023-04-07T00:00:00"/>
    <x v="6"/>
    <x v="0"/>
    <s v="Tarjeta de crédito"/>
    <n v="25.92"/>
    <n v="198.92000000000002"/>
  </r>
  <r>
    <n v="15"/>
    <s v="Cliente_330"/>
    <n v="4"/>
    <d v="2023-04-07T00:00:00"/>
    <d v="1899-12-30T03:44:00"/>
    <d v="2023-04-07T00:00:00"/>
    <d v="1899-12-30T07:31:00"/>
    <s v="Mesero_3"/>
    <x v="0"/>
    <s v="Tarjeta de crédito"/>
    <n v="28.31"/>
    <s v="Libre"/>
    <n v="693"/>
    <s v="Ecuador"/>
    <d v="1899-12-30T03:47:00"/>
    <n v="44"/>
    <s v="0:44"/>
    <d v="1899-12-30T03:03:00"/>
    <n v="78"/>
    <n v="35"/>
    <d v="2023-04-07T00:00:00"/>
    <x v="6"/>
    <x v="0"/>
    <s v="Tarjeta de crédito"/>
    <n v="28.31"/>
    <n v="106.31"/>
  </r>
  <r>
    <n v="5"/>
    <s v="Cliente_88"/>
    <n v="4"/>
    <d v="2023-04-07T00:00:00"/>
    <d v="1899-12-30T01:51:00"/>
    <d v="2023-04-07T00:00:00"/>
    <d v="1899-12-30T05:13:00"/>
    <s v="Mesero_2"/>
    <x v="0"/>
    <s v="Tarjeta de crédito"/>
    <n v="23.66"/>
    <s v="Libre"/>
    <n v="694"/>
    <s v="Venezuela"/>
    <d v="1899-12-30T03:22:00"/>
    <n v="128"/>
    <s v="2:08"/>
    <d v="1899-12-30T01:14:00"/>
    <n v="157"/>
    <n v="60"/>
    <d v="2023-04-07T00:00:00"/>
    <x v="6"/>
    <x v="0"/>
    <s v="Tarjeta de crédito"/>
    <n v="23.66"/>
    <n v="180.66"/>
  </r>
  <r>
    <n v="9"/>
    <s v="Cliente_211"/>
    <n v="1"/>
    <d v="2023-04-07T00:00:00"/>
    <d v="1899-12-30T02:02:00"/>
    <d v="2023-04-07T00:00:00"/>
    <d v="1899-12-30T05:32:00"/>
    <s v="Mesero_3"/>
    <x v="0"/>
    <s v="Tarjeta de crédito"/>
    <n v="18.23"/>
    <s v="Ocupada"/>
    <n v="695"/>
    <s v="Venezuela"/>
    <d v="1899-12-30T03:45:00"/>
    <n v="37"/>
    <s v="0:37"/>
    <d v="1899-12-30T03:08:00"/>
    <n v="116"/>
    <n v="34"/>
    <d v="2023-04-07T00:00:00"/>
    <x v="6"/>
    <x v="0"/>
    <s v="Tarjeta de crédito"/>
    <n v="18.23"/>
    <n v="134.22999999999999"/>
  </r>
  <r>
    <n v="2"/>
    <s v="Cliente_282"/>
    <n v="6"/>
    <d v="2023-04-07T00:00:00"/>
    <d v="1899-12-30T02:16:00"/>
    <d v="2023-04-07T00:00:00"/>
    <d v="1899-12-30T06:11:00"/>
    <s v="Mesero_1"/>
    <x v="2"/>
    <s v="Tarjeta de crédito"/>
    <n v="18.760000000000002"/>
    <s v="Ocupada"/>
    <n v="696"/>
    <s v="Perú"/>
    <d v="1899-12-30T04:10:00"/>
    <n v="23"/>
    <s v="0:23"/>
    <d v="1899-12-30T03:47:00"/>
    <n v="46"/>
    <n v="14"/>
    <d v="2023-04-07T00:00:00"/>
    <x v="6"/>
    <x v="0"/>
    <s v="Tarjeta de crédito"/>
    <n v="18.760000000000002"/>
    <n v="64.760000000000005"/>
  </r>
  <r>
    <n v="4"/>
    <s v="Cliente_90"/>
    <n v="1"/>
    <d v="2023-04-07T00:00:00"/>
    <d v="1899-12-30T03:48:00"/>
    <d v="2023-04-07T00:00:00"/>
    <d v="1899-12-30T06:42:00"/>
    <s v="Mesero_2"/>
    <x v="0"/>
    <s v="Tarjeta de crédito"/>
    <n v="34.35"/>
    <s v="Reservada"/>
    <n v="697"/>
    <s v="Uruguay"/>
    <d v="1899-12-30T02:54:00"/>
    <n v="107"/>
    <s v="1:47"/>
    <d v="1899-12-30T01:07:00"/>
    <n v="199"/>
    <n v="68"/>
    <d v="2023-04-07T00:00:00"/>
    <x v="6"/>
    <x v="0"/>
    <s v="Tarjeta de crédito"/>
    <n v="34.35"/>
    <n v="233.35"/>
  </r>
  <r>
    <n v="19"/>
    <s v="Cliente_115"/>
    <n v="4"/>
    <d v="2023-04-07T00:00:00"/>
    <d v="1899-12-30T02:30:00"/>
    <d v="2023-04-07T00:00:00"/>
    <d v="1899-12-30T06:25:00"/>
    <s v="Mesero_1"/>
    <x v="2"/>
    <s v="Tarjeta de crédito"/>
    <n v="39.89"/>
    <s v="Libre"/>
    <n v="698"/>
    <s v="Bolivia"/>
    <d v="1899-12-30T03:55:00"/>
    <n v="101"/>
    <s v="1:41"/>
    <d v="1899-12-30T02:14:00"/>
    <n v="185"/>
    <n v="58"/>
    <d v="2023-04-07T00:00:00"/>
    <x v="6"/>
    <x v="0"/>
    <s v="Tarjeta de crédito"/>
    <n v="39.89"/>
    <n v="224.89"/>
  </r>
  <r>
    <n v="8"/>
    <s v="Cliente_143"/>
    <n v="6"/>
    <d v="2023-04-07T00:00:00"/>
    <d v="1899-12-30T01:35:00"/>
    <d v="2023-04-07T00:00:00"/>
    <d v="1899-12-30T02:56:00"/>
    <s v="Mesero_2"/>
    <x v="0"/>
    <s v="Tarjeta de crédito"/>
    <n v="38.44"/>
    <s v="Reservada"/>
    <n v="699"/>
    <s v="España"/>
    <d v="1899-12-30T01:21:00"/>
    <n v="11"/>
    <s v="0:11"/>
    <d v="1899-12-30T01:10:00"/>
    <n v="58"/>
    <n v="17"/>
    <d v="2023-04-07T00:00:00"/>
    <x v="6"/>
    <x v="0"/>
    <s v="Tarjeta de crédito"/>
    <n v="38.44"/>
    <n v="96.44"/>
  </r>
  <r>
    <n v="8"/>
    <s v="Cliente_496"/>
    <n v="2"/>
    <d v="2023-04-07T00:00:00"/>
    <d v="1899-12-30T00:23:00"/>
    <d v="2023-04-07T00:00:00"/>
    <d v="1899-12-30T02:50:00"/>
    <s v="Mesero_2"/>
    <x v="0"/>
    <s v="Tarjeta de crédito"/>
    <n v="21.66"/>
    <s v="Reservada"/>
    <n v="700"/>
    <s v="Argentina"/>
    <d v="1899-12-30T02:27:00"/>
    <n v="86"/>
    <s v="1:26"/>
    <d v="1899-12-30T01:01:00"/>
    <n v="234"/>
    <n v="51"/>
    <d v="2023-04-07T00:00:00"/>
    <x v="6"/>
    <x v="0"/>
    <s v="Tarjeta de crédito"/>
    <n v="21.66"/>
    <n v="255.66"/>
  </r>
  <r>
    <n v="19"/>
    <s v="Cliente_58"/>
    <n v="5"/>
    <d v="2023-04-07T00:00:00"/>
    <d v="1899-12-30T03:20:00"/>
    <d v="2023-04-07T00:00:00"/>
    <d v="1899-12-30T05:45:00"/>
    <s v="Mesero_4"/>
    <x v="0"/>
    <s v="Tarjeta de crédito"/>
    <n v="39.83"/>
    <s v="Libre"/>
    <n v="701"/>
    <s v="Bolivia"/>
    <d v="1899-12-30T02:25:00"/>
    <n v="97"/>
    <s v="1:37"/>
    <d v="1899-12-30T00:48:00"/>
    <n v="102"/>
    <n v="30"/>
    <d v="2023-04-07T00:00:00"/>
    <x v="6"/>
    <x v="0"/>
    <s v="Tarjeta de crédito"/>
    <n v="39.83"/>
    <n v="141.82999999999998"/>
  </r>
  <r>
    <n v="13"/>
    <s v="Cliente_468"/>
    <n v="2"/>
    <d v="2023-04-07T00:00:00"/>
    <d v="1899-12-30T02:30:00"/>
    <d v="2023-04-07T00:00:00"/>
    <d v="1899-12-30T05:15:00"/>
    <s v="Mesero_3"/>
    <x v="2"/>
    <s v="Tarjeta de crédito"/>
    <n v="47.07"/>
    <s v="Libre"/>
    <n v="702"/>
    <s v="Brasil"/>
    <d v="1899-12-30T02:45:00"/>
    <n v="155"/>
    <s v="2:35"/>
    <d v="1899-12-30T00:10:00"/>
    <n v="195"/>
    <n v="55"/>
    <d v="2023-04-07T00:00:00"/>
    <x v="6"/>
    <x v="0"/>
    <s v="Tarjeta de crédito"/>
    <n v="47.07"/>
    <n v="242.07"/>
  </r>
  <r>
    <n v="9"/>
    <s v="Cliente_714"/>
    <n v="5"/>
    <d v="2023-04-07T00:00:00"/>
    <d v="1899-12-30T00:17:00"/>
    <d v="2023-04-07T00:00:00"/>
    <d v="1899-12-30T02:19:00"/>
    <s v="Mesero_1"/>
    <x v="0"/>
    <s v="Tarjeta de crédito"/>
    <n v="22.24"/>
    <s v="Ocupada"/>
    <n v="703"/>
    <s v="Venezuela"/>
    <d v="1899-12-30T02:17:00"/>
    <n v="29"/>
    <s v="0:29"/>
    <d v="1899-12-30T01:48:00"/>
    <n v="63"/>
    <n v="13"/>
    <d v="2023-04-07T00:00:00"/>
    <x v="6"/>
    <x v="0"/>
    <s v="Tarjeta de crédito"/>
    <n v="22.24"/>
    <n v="85.24"/>
  </r>
  <r>
    <n v="13"/>
    <s v="Cliente_950"/>
    <n v="6"/>
    <d v="2023-04-07T00:00:00"/>
    <d v="1899-12-30T01:40:00"/>
    <d v="2023-04-07T00:00:00"/>
    <d v="1899-12-30T04:29:00"/>
    <s v="Mesero_2"/>
    <x v="2"/>
    <s v="Tarjeta de crédito"/>
    <n v="33.29"/>
    <s v="Reservada"/>
    <n v="704"/>
    <s v="Bolivia"/>
    <d v="1899-12-30T02:49:00"/>
    <n v="38"/>
    <s v="0:38"/>
    <d v="1899-12-30T02:11:00"/>
    <n v="18"/>
    <n v="10"/>
    <d v="2023-04-07T00:00:00"/>
    <x v="6"/>
    <x v="0"/>
    <s v="Tarjeta de crédito"/>
    <n v="33.29"/>
    <n v="51.29"/>
  </r>
  <r>
    <n v="12"/>
    <s v="Cliente_372"/>
    <n v="3"/>
    <d v="2023-04-07T00:00:00"/>
    <d v="1899-12-30T01:48:00"/>
    <d v="2023-04-07T00:00:00"/>
    <d v="1899-12-30T02:53:00"/>
    <s v="Mesero_2"/>
    <x v="0"/>
    <s v="Tarjeta de crédito"/>
    <n v="43.07"/>
    <s v="Libre"/>
    <n v="705"/>
    <s v="Venezuela"/>
    <d v="1899-12-30T01:05:00"/>
    <n v="33"/>
    <s v="0:33"/>
    <d v="1899-12-30T00:32:00"/>
    <n v="112"/>
    <n v="27"/>
    <d v="2023-04-07T00:00:00"/>
    <x v="6"/>
    <x v="0"/>
    <s v="Tarjeta de crédito"/>
    <n v="43.07"/>
    <n v="155.07"/>
  </r>
  <r>
    <n v="20"/>
    <s v="Cliente_663"/>
    <n v="6"/>
    <d v="2023-04-07T00:00:00"/>
    <d v="1899-12-30T01:14:00"/>
    <d v="2023-04-07T00:00:00"/>
    <d v="1899-12-30T04:54:00"/>
    <s v="Mesero_1"/>
    <x v="0"/>
    <s v="Tarjeta de crédito"/>
    <n v="44.45"/>
    <s v="Ocupada"/>
    <n v="706"/>
    <s v="Argentina"/>
    <d v="1899-12-30T03:55:00"/>
    <n v="33"/>
    <s v="0:33"/>
    <d v="1899-12-30T03:22:00"/>
    <n v="54"/>
    <n v="10"/>
    <d v="2023-04-07T00:00:00"/>
    <x v="6"/>
    <x v="0"/>
    <s v="Tarjeta de crédito"/>
    <n v="44.45"/>
    <n v="98.45"/>
  </r>
  <r>
    <n v="15"/>
    <s v="Cliente_801"/>
    <n v="1"/>
    <d v="2023-04-07T00:00:00"/>
    <d v="1899-12-30T03:05:00"/>
    <d v="2023-04-07T00:00:00"/>
    <d v="1899-12-30T05:23:00"/>
    <s v="Mesero_2"/>
    <x v="1"/>
    <s v="Tarjeta de crédito"/>
    <n v="40.39"/>
    <s v="Reservada"/>
    <n v="707"/>
    <s v="Uruguay"/>
    <d v="1899-12-30T02:18:00"/>
    <n v="137"/>
    <s v="2:17"/>
    <d v="1899-12-30T00:01:00"/>
    <n v="185"/>
    <n v="72"/>
    <d v="2023-04-07T00:00:00"/>
    <x v="6"/>
    <x v="0"/>
    <s v="Tarjeta de crédito"/>
    <n v="40.39"/>
    <n v="225.39"/>
  </r>
  <r>
    <n v="5"/>
    <s v="Cliente_804"/>
    <n v="2"/>
    <d v="2023-04-07T00:00:00"/>
    <d v="1899-12-30T03:36:00"/>
    <d v="2023-04-07T00:00:00"/>
    <d v="1899-12-30T07:24:00"/>
    <s v="Mesero_3"/>
    <x v="2"/>
    <s v="Tarjeta de crédito"/>
    <n v="41.8"/>
    <s v="Ocupada"/>
    <n v="708"/>
    <s v="España"/>
    <d v="1899-12-30T04:03:00"/>
    <n v="24"/>
    <s v="0:24"/>
    <d v="1899-12-30T03:39:00"/>
    <n v="54"/>
    <n v="16"/>
    <d v="2023-04-07T00:00:00"/>
    <x v="6"/>
    <x v="0"/>
    <s v="Tarjeta de crédito"/>
    <n v="41.8"/>
    <n v="95.8"/>
  </r>
  <r>
    <n v="8"/>
    <s v="Cliente_208"/>
    <n v="4"/>
    <d v="2023-04-07T00:00:00"/>
    <d v="1899-12-30T01:55:00"/>
    <d v="2023-04-07T00:00:00"/>
    <d v="1899-12-30T03:40:00"/>
    <s v="Mesero_2"/>
    <x v="0"/>
    <s v="Efectivo"/>
    <n v="26.15"/>
    <s v="Ocupada"/>
    <n v="709"/>
    <s v="Ecuador"/>
    <d v="1899-12-30T02:00:00"/>
    <n v="98"/>
    <s v="1:38"/>
    <d v="1899-12-30T00:22:00"/>
    <n v="193"/>
    <n v="69"/>
    <d v="2023-04-07T00:00:00"/>
    <x v="6"/>
    <x v="0"/>
    <s v="Efectivo"/>
    <n v="26.15"/>
    <n v="219.15"/>
  </r>
  <r>
    <n v="18"/>
    <s v="Cliente_716"/>
    <n v="1"/>
    <d v="2023-04-07T00:00:00"/>
    <d v="1899-12-30T02:28:00"/>
    <d v="2023-04-07T00:00:00"/>
    <d v="1899-12-30T03:38:00"/>
    <s v="Mesero_5"/>
    <x v="0"/>
    <s v="Tarjeta de crédito"/>
    <n v="28.43"/>
    <s v="Ocupada"/>
    <n v="710"/>
    <s v="España"/>
    <d v="1899-12-30T01:25:00"/>
    <n v="140"/>
    <s v="2:20"/>
    <d v="1899-12-30T00:00:00"/>
    <n v="138"/>
    <n v="47"/>
    <d v="2023-04-07T00:00:00"/>
    <x v="6"/>
    <x v="1"/>
    <s v="Impago"/>
    <n v="0"/>
    <n v="0"/>
  </r>
  <r>
    <n v="20"/>
    <s v="Cliente_27"/>
    <n v="6"/>
    <d v="2023-04-07T00:00:00"/>
    <d v="1899-12-30T01:51:00"/>
    <d v="2023-04-07T00:00:00"/>
    <d v="1899-12-30T05:18:00"/>
    <s v="Mesero_1"/>
    <x v="0"/>
    <s v="Tarjeta de débito"/>
    <n v="49.74"/>
    <s v="Ocupada"/>
    <n v="711"/>
    <s v="Uruguay"/>
    <d v="1899-12-30T03:42:00"/>
    <n v="59"/>
    <s v="0:59"/>
    <d v="1899-12-30T02:43:00"/>
    <n v="166"/>
    <n v="39"/>
    <d v="2023-04-07T00:00:00"/>
    <x v="6"/>
    <x v="0"/>
    <s v="Tarjeta de débito"/>
    <n v="49.74"/>
    <n v="215.74"/>
  </r>
  <r>
    <n v="10"/>
    <s v="Cliente_786"/>
    <n v="5"/>
    <d v="2023-04-07T00:00:00"/>
    <d v="1899-12-30T00:06:00"/>
    <d v="2023-04-07T00:00:00"/>
    <d v="1899-12-30T02:27:00"/>
    <s v="Mesero_2"/>
    <x v="1"/>
    <s v="Efectivo"/>
    <n v="42.21"/>
    <s v="Reservada"/>
    <n v="712"/>
    <s v="Perú"/>
    <d v="1899-12-30T02:21:00"/>
    <n v="49"/>
    <s v="0:49"/>
    <d v="1899-12-30T01:32:00"/>
    <n v="48"/>
    <n v="14"/>
    <d v="2023-04-07T00:00:00"/>
    <x v="6"/>
    <x v="0"/>
    <s v="Efectivo"/>
    <n v="42.21"/>
    <n v="90.210000000000008"/>
  </r>
  <r>
    <n v="6"/>
    <s v="Cliente_594"/>
    <n v="4"/>
    <d v="2023-04-07T00:00:00"/>
    <d v="1899-12-30T00:15:00"/>
    <d v="2023-04-07T00:00:00"/>
    <d v="1899-12-30T02:52:00"/>
    <s v="Mesero_1"/>
    <x v="2"/>
    <s v="Tarjeta de crédito"/>
    <n v="35.11"/>
    <s v="Libre"/>
    <n v="713"/>
    <s v="Uruguay"/>
    <d v="1899-12-30T02:37:00"/>
    <n v="125"/>
    <s v="2:05"/>
    <d v="1899-12-30T00:32:00"/>
    <n v="360"/>
    <n v="71"/>
    <d v="2023-04-07T00:00:00"/>
    <x v="6"/>
    <x v="0"/>
    <s v="Tarjeta de crédito"/>
    <n v="35.11"/>
    <n v="395.11"/>
  </r>
  <r>
    <n v="19"/>
    <s v="Cliente_281"/>
    <n v="2"/>
    <d v="2023-04-07T00:00:00"/>
    <d v="1899-12-30T02:21:00"/>
    <d v="2023-04-07T00:00:00"/>
    <d v="1899-12-30T04:05:00"/>
    <s v="Mesero_5"/>
    <x v="0"/>
    <s v="Tarjeta de crédito"/>
    <n v="10.69"/>
    <s v="Libre"/>
    <n v="714"/>
    <s v="Colombia"/>
    <d v="1899-12-30T01:44:00"/>
    <n v="63"/>
    <s v="1:03"/>
    <d v="1899-12-30T00:41:00"/>
    <n v="225"/>
    <n v="58"/>
    <d v="2023-04-07T00:00:00"/>
    <x v="6"/>
    <x v="0"/>
    <s v="Tarjeta de crédito"/>
    <n v="10.69"/>
    <n v="235.69"/>
  </r>
  <r>
    <n v="12"/>
    <s v="Cliente_396"/>
    <n v="6"/>
    <d v="2023-04-07T00:00:00"/>
    <d v="1899-12-30T01:45:00"/>
    <d v="2023-04-07T00:00:00"/>
    <d v="1899-12-30T04:15:00"/>
    <s v="Mesero_3"/>
    <x v="0"/>
    <s v="Tarjeta de débito"/>
    <n v="39.909999999999997"/>
    <s v="Ocupada"/>
    <n v="715"/>
    <s v="Perú"/>
    <d v="1899-12-30T02:45:00"/>
    <n v="136"/>
    <s v="2:16"/>
    <d v="1899-12-30T00:29:00"/>
    <n v="246"/>
    <n v="59"/>
    <d v="2023-04-07T00:00:00"/>
    <x v="6"/>
    <x v="0"/>
    <s v="Tarjeta de débito"/>
    <n v="39.909999999999997"/>
    <n v="285.90999999999997"/>
  </r>
  <r>
    <n v="12"/>
    <s v="Cliente_707"/>
    <n v="4"/>
    <d v="2023-04-07T00:00:00"/>
    <d v="1899-12-30T01:47:00"/>
    <d v="2023-04-07T00:00:00"/>
    <d v="1899-12-30T04:44:00"/>
    <s v="Mesero_2"/>
    <x v="2"/>
    <s v="Tarjeta de crédito"/>
    <n v="44.73"/>
    <s v="Ocupada"/>
    <n v="716"/>
    <s v="Brasil"/>
    <d v="1899-12-30T03:12:00"/>
    <n v="90"/>
    <s v="1:30"/>
    <d v="1899-12-30T01:42:00"/>
    <n v="231"/>
    <n v="47"/>
    <d v="2023-04-07T00:00:00"/>
    <x v="6"/>
    <x v="0"/>
    <s v="Tarjeta de crédito"/>
    <n v="44.73"/>
    <n v="275.73"/>
  </r>
  <r>
    <n v="8"/>
    <s v="Cliente_392"/>
    <n v="5"/>
    <d v="2023-04-07T00:00:00"/>
    <d v="1899-12-30T03:56:00"/>
    <d v="2023-04-07T00:00:00"/>
    <d v="1899-12-30T06:03:00"/>
    <s v="Mesero_1"/>
    <x v="0"/>
    <s v="Tarjeta de crédito"/>
    <n v="23.67"/>
    <s v="Libre"/>
    <n v="717"/>
    <s v="Bolivia"/>
    <d v="1899-12-30T02:07:00"/>
    <n v="72"/>
    <s v="1:12"/>
    <d v="1899-12-30T00:55:00"/>
    <n v="155"/>
    <n v="47"/>
    <d v="2023-04-07T00:00:00"/>
    <x v="6"/>
    <x v="0"/>
    <s v="Tarjeta de crédito"/>
    <n v="23.67"/>
    <n v="178.67000000000002"/>
  </r>
  <r>
    <n v="7"/>
    <s v="Cliente_489"/>
    <n v="6"/>
    <d v="2023-04-07T00:00:00"/>
    <d v="1899-12-30T03:18:00"/>
    <d v="2023-04-07T00:00:00"/>
    <d v="1899-12-30T07:06:00"/>
    <s v="Mesero_2"/>
    <x v="1"/>
    <s v="Tarjeta de crédito"/>
    <n v="37.21"/>
    <s v="Libre"/>
    <n v="718"/>
    <s v="Venezuela"/>
    <d v="1899-12-30T03:48:00"/>
    <n v="58"/>
    <s v="0:58"/>
    <d v="1899-12-30T02:50:00"/>
    <n v="20"/>
    <n v="12"/>
    <d v="2023-04-07T00:00:00"/>
    <x v="6"/>
    <x v="0"/>
    <s v="Tarjeta de crédito"/>
    <n v="37.21"/>
    <n v="57.21"/>
  </r>
  <r>
    <n v="16"/>
    <s v="Cliente_954"/>
    <n v="3"/>
    <d v="2023-04-07T00:00:00"/>
    <d v="1899-12-30T01:18:00"/>
    <d v="2023-04-07T00:00:00"/>
    <d v="1899-12-30T02:49:00"/>
    <s v="Mesero_1"/>
    <x v="0"/>
    <s v="Tarjeta de débito"/>
    <n v="17.23"/>
    <s v="Libre"/>
    <n v="719"/>
    <s v="Colombia"/>
    <d v="1899-12-30T01:31:00"/>
    <n v="70"/>
    <s v="1:10"/>
    <d v="1899-12-30T00:21:00"/>
    <n v="107"/>
    <n v="53"/>
    <d v="2023-04-07T00:00:00"/>
    <x v="6"/>
    <x v="0"/>
    <s v="Tarjeta de débito"/>
    <n v="17.23"/>
    <n v="124.23"/>
  </r>
  <r>
    <n v="4"/>
    <s v="Cliente_263"/>
    <n v="5"/>
    <d v="2023-04-07T00:00:00"/>
    <d v="1899-12-30T02:13:00"/>
    <d v="2023-04-07T00:00:00"/>
    <d v="1899-12-30T05:46:00"/>
    <s v="Mesero_3"/>
    <x v="0"/>
    <s v="Tarjeta de crédito"/>
    <n v="40.28"/>
    <s v="Reservada"/>
    <n v="720"/>
    <s v="Paraguay"/>
    <d v="1899-12-30T03:33:00"/>
    <n v="133"/>
    <s v="2:13"/>
    <d v="1899-12-30T01:20:00"/>
    <n v="168"/>
    <n v="51"/>
    <d v="2023-04-07T00:00:00"/>
    <x v="6"/>
    <x v="0"/>
    <s v="Tarjeta de crédito"/>
    <n v="40.28"/>
    <n v="208.28"/>
  </r>
  <r>
    <n v="6"/>
    <s v="Cliente_733"/>
    <n v="2"/>
    <d v="2023-04-07T00:00:00"/>
    <d v="1899-12-30T03:53:00"/>
    <d v="2023-04-07T00:00:00"/>
    <d v="1899-12-30T07:01:00"/>
    <s v="Mesero_2"/>
    <x v="1"/>
    <s v="Tarjeta de crédito"/>
    <n v="47.13"/>
    <s v="Libre"/>
    <n v="721"/>
    <s v="Paraguay"/>
    <d v="1899-12-30T03:08:00"/>
    <n v="133"/>
    <s v="2:13"/>
    <d v="1899-12-30T00:55:00"/>
    <n v="218"/>
    <n v="69"/>
    <d v="2023-04-07T00:00:00"/>
    <x v="6"/>
    <x v="0"/>
    <s v="Tarjeta de crédito"/>
    <n v="47.13"/>
    <n v="265.13"/>
  </r>
  <r>
    <n v="13"/>
    <s v="Cliente_438"/>
    <n v="5"/>
    <d v="2023-04-07T00:00:00"/>
    <d v="1899-12-30T02:51:00"/>
    <d v="2023-04-07T00:00:00"/>
    <d v="1899-12-30T04:08:00"/>
    <s v="Mesero_2"/>
    <x v="0"/>
    <s v="Tarjeta de crédito"/>
    <n v="20.62"/>
    <s v="Libre"/>
    <n v="722"/>
    <s v="Ecuador"/>
    <d v="1899-12-30T01:17:00"/>
    <n v="59"/>
    <s v="0:59"/>
    <d v="1899-12-30T00:18:00"/>
    <n v="85"/>
    <n v="26"/>
    <d v="2023-04-07T00:00:00"/>
    <x v="6"/>
    <x v="0"/>
    <s v="Tarjeta de crédito"/>
    <n v="20.62"/>
    <n v="105.62"/>
  </r>
  <r>
    <n v="12"/>
    <s v="Cliente_116"/>
    <n v="2"/>
    <d v="2023-04-07T00:00:00"/>
    <d v="1899-12-30T01:35:00"/>
    <d v="2023-04-07T00:00:00"/>
    <d v="1899-12-30T04:49:00"/>
    <s v="Mesero_4"/>
    <x v="1"/>
    <s v="Efectivo"/>
    <n v="27.79"/>
    <s v="Libre"/>
    <n v="723"/>
    <s v="Chile"/>
    <d v="1899-12-30T03:14:00"/>
    <n v="31"/>
    <s v="0:31"/>
    <d v="1899-12-30T02:43:00"/>
    <n v="126"/>
    <n v="37"/>
    <d v="2023-04-07T00:00:00"/>
    <x v="6"/>
    <x v="0"/>
    <s v="Efectivo"/>
    <n v="27.79"/>
    <n v="153.79"/>
  </r>
  <r>
    <n v="8"/>
    <s v="Cliente_929"/>
    <n v="6"/>
    <d v="2023-04-07T00:00:00"/>
    <d v="1899-12-30T02:56:00"/>
    <d v="2023-04-07T00:00:00"/>
    <d v="1899-12-30T04:15:00"/>
    <s v="Mesero_5"/>
    <x v="2"/>
    <s v="Efectivo"/>
    <n v="14.12"/>
    <s v="Libre"/>
    <n v="724"/>
    <s v="Venezuela"/>
    <d v="1899-12-30T01:19:00"/>
    <n v="56"/>
    <s v="0:56"/>
    <d v="1899-12-30T00:23:00"/>
    <n v="66"/>
    <n v="13"/>
    <d v="2023-04-07T00:00:00"/>
    <x v="6"/>
    <x v="0"/>
    <s v="Efectivo"/>
    <n v="14.12"/>
    <n v="80.12"/>
  </r>
  <r>
    <n v="10"/>
    <s v="Cliente_353"/>
    <n v="4"/>
    <d v="2023-04-07T00:00:00"/>
    <d v="1899-12-30T01:48:00"/>
    <d v="2023-04-07T00:00:00"/>
    <d v="1899-12-30T03:20:00"/>
    <s v="Mesero_4"/>
    <x v="0"/>
    <s v="Efectivo"/>
    <n v="18.66"/>
    <s v="Ocupada"/>
    <n v="725"/>
    <s v="Chile"/>
    <d v="1899-12-30T01:47:00"/>
    <n v="85"/>
    <s v="1:25"/>
    <d v="1899-12-30T00:22:00"/>
    <n v="168"/>
    <n v="33"/>
    <d v="2023-04-07T00:00:00"/>
    <x v="6"/>
    <x v="0"/>
    <s v="Efectivo"/>
    <n v="18.66"/>
    <n v="186.66"/>
  </r>
  <r>
    <n v="11"/>
    <s v="Cliente_715"/>
    <n v="2"/>
    <d v="2023-04-07T00:00:00"/>
    <d v="1899-12-30T02:28:00"/>
    <d v="2023-04-07T00:00:00"/>
    <d v="1899-12-30T05:43:00"/>
    <s v="Mesero_5"/>
    <x v="1"/>
    <s v="Tarjeta de crédito"/>
    <n v="41.38"/>
    <s v="Reservada"/>
    <n v="726"/>
    <s v="España"/>
    <d v="1899-12-30T03:15:00"/>
    <n v="74"/>
    <s v="1:14"/>
    <d v="1899-12-30T02:01:00"/>
    <n v="126"/>
    <n v="49"/>
    <d v="2023-04-07T00:00:00"/>
    <x v="6"/>
    <x v="0"/>
    <s v="Tarjeta de crédito"/>
    <n v="41.38"/>
    <n v="167.38"/>
  </r>
  <r>
    <n v="17"/>
    <s v="Cliente_117"/>
    <n v="6"/>
    <d v="2023-04-07T00:00:00"/>
    <d v="1899-12-30T00:31:00"/>
    <d v="2023-04-07T00:00:00"/>
    <d v="1899-12-30T03:02:00"/>
    <s v="Mesero_2"/>
    <x v="2"/>
    <s v="Tarjeta de débito"/>
    <n v="13.24"/>
    <s v="Reservada"/>
    <n v="727"/>
    <s v="Colombia"/>
    <d v="1899-12-30T02:31:00"/>
    <n v="21"/>
    <s v="0:21"/>
    <d v="1899-12-30T02:10:00"/>
    <n v="40"/>
    <n v="12"/>
    <d v="2023-04-07T00:00:00"/>
    <x v="6"/>
    <x v="0"/>
    <s v="Tarjeta de débito"/>
    <n v="13.24"/>
    <n v="53.24"/>
  </r>
  <r>
    <n v="9"/>
    <s v="Cliente_654"/>
    <n v="6"/>
    <d v="2023-04-07T00:00:00"/>
    <d v="1899-12-30T02:06:00"/>
    <d v="2023-04-07T00:00:00"/>
    <d v="1899-12-30T04:29:00"/>
    <s v="Mesero_1"/>
    <x v="1"/>
    <s v="Tarjeta de débito"/>
    <n v="34.28"/>
    <s v="Ocupada"/>
    <n v="728"/>
    <s v="Argentina"/>
    <d v="1899-12-30T02:38:00"/>
    <n v="72"/>
    <s v="1:12"/>
    <d v="1899-12-30T01:26:00"/>
    <n v="195"/>
    <n v="45"/>
    <d v="2023-04-07T00:00:00"/>
    <x v="6"/>
    <x v="0"/>
    <s v="Tarjeta de débito"/>
    <n v="34.28"/>
    <n v="229.28"/>
  </r>
  <r>
    <n v="20"/>
    <s v="Cliente_264"/>
    <n v="2"/>
    <d v="2023-04-07T00:00:00"/>
    <d v="1899-12-30T02:49:00"/>
    <d v="2023-04-07T00:00:00"/>
    <d v="1899-12-30T06:05:00"/>
    <s v="Mesero_5"/>
    <x v="1"/>
    <s v="Tarjeta de crédito"/>
    <n v="18.97"/>
    <s v="Ocupada"/>
    <n v="729"/>
    <s v="Uruguay"/>
    <d v="1899-12-30T03:31:00"/>
    <n v="65"/>
    <s v="1:05"/>
    <d v="1899-12-30T02:26:00"/>
    <n v="128"/>
    <n v="32"/>
    <d v="2023-04-07T00:00:00"/>
    <x v="6"/>
    <x v="0"/>
    <s v="Tarjeta de crédito"/>
    <n v="18.97"/>
    <n v="146.97"/>
  </r>
  <r>
    <n v="8"/>
    <s v="Cliente_443"/>
    <n v="3"/>
    <d v="2023-04-07T00:00:00"/>
    <d v="1899-12-30T00:29:00"/>
    <d v="2023-04-07T00:00:00"/>
    <d v="1899-12-30T02:33:00"/>
    <s v="Mesero_3"/>
    <x v="0"/>
    <s v="Tarjeta de crédito"/>
    <n v="15.02"/>
    <s v="Ocupada"/>
    <n v="730"/>
    <s v="España"/>
    <d v="1899-12-30T02:19:00"/>
    <n v="79"/>
    <s v="1:19"/>
    <d v="1899-12-30T01:00:00"/>
    <n v="114"/>
    <n v="32"/>
    <d v="2023-04-07T00:00:00"/>
    <x v="6"/>
    <x v="0"/>
    <s v="Tarjeta de crédito"/>
    <n v="15.02"/>
    <n v="129.02000000000001"/>
  </r>
  <r>
    <n v="17"/>
    <s v="Cliente_239"/>
    <n v="3"/>
    <d v="2023-04-07T00:00:00"/>
    <d v="1899-12-30T03:16:00"/>
    <d v="2023-04-07T00:00:00"/>
    <d v="1899-12-30T06:25:00"/>
    <s v="Mesero_2"/>
    <x v="0"/>
    <s v="Tarjeta de crédito"/>
    <n v="14.35"/>
    <s v="Reservada"/>
    <n v="731"/>
    <s v="Chile"/>
    <d v="1899-12-30T03:09:00"/>
    <n v="47"/>
    <s v="0:47"/>
    <d v="1899-12-30T02:22:00"/>
    <n v="64"/>
    <n v="19"/>
    <d v="2023-04-07T00:00:00"/>
    <x v="6"/>
    <x v="0"/>
    <s v="Tarjeta de crédito"/>
    <n v="14.35"/>
    <n v="78.349999999999994"/>
  </r>
  <r>
    <n v="12"/>
    <s v="Cliente_770"/>
    <n v="3"/>
    <d v="2023-04-07T00:00:00"/>
    <d v="1899-12-30T03:17:00"/>
    <d v="2023-04-07T00:00:00"/>
    <d v="1899-12-30T07:13:00"/>
    <s v="Mesero_4"/>
    <x v="0"/>
    <s v="Tarjeta de crédito"/>
    <n v="43.35"/>
    <s v="Reservada"/>
    <n v="732"/>
    <s v="Brasil"/>
    <d v="1899-12-30T03:56:00"/>
    <n v="121"/>
    <s v="2:01"/>
    <d v="1899-12-30T01:55:00"/>
    <n v="306"/>
    <n v="62"/>
    <d v="2023-04-07T00:00:00"/>
    <x v="6"/>
    <x v="0"/>
    <s v="Tarjeta de crédito"/>
    <n v="43.35"/>
    <n v="349.35"/>
  </r>
  <r>
    <n v="14"/>
    <s v="Cliente_359"/>
    <n v="6"/>
    <d v="2023-04-07T00:00:00"/>
    <d v="1899-12-30T03:40:00"/>
    <d v="2023-04-07T00:00:00"/>
    <d v="1899-12-30T05:28:00"/>
    <s v="Mesero_4"/>
    <x v="2"/>
    <s v="Tarjeta de crédito"/>
    <n v="35.090000000000003"/>
    <s v="Libre"/>
    <n v="733"/>
    <s v="Argentina"/>
    <d v="1899-12-30T01:48:00"/>
    <n v="74"/>
    <s v="1:14"/>
    <d v="1899-12-30T00:34:00"/>
    <n v="186"/>
    <n v="52"/>
    <d v="2023-04-07T00:00:00"/>
    <x v="6"/>
    <x v="0"/>
    <s v="Tarjeta de crédito"/>
    <n v="35.090000000000003"/>
    <n v="221.09"/>
  </r>
  <r>
    <n v="14"/>
    <s v="Cliente_888"/>
    <n v="2"/>
    <d v="2023-04-07T00:00:00"/>
    <d v="1899-12-30T02:27:00"/>
    <d v="2023-04-07T00:00:00"/>
    <d v="1899-12-30T04:57:00"/>
    <s v="Mesero_2"/>
    <x v="0"/>
    <s v="Efectivo"/>
    <n v="46.82"/>
    <s v="Libre"/>
    <n v="734"/>
    <s v="Venezuela"/>
    <d v="1899-12-30T02:30:00"/>
    <n v="52"/>
    <s v="0:52"/>
    <d v="1899-12-30T01:38:00"/>
    <n v="139"/>
    <n v="44"/>
    <d v="2023-04-07T00:00:00"/>
    <x v="6"/>
    <x v="0"/>
    <s v="Efectivo"/>
    <n v="46.82"/>
    <n v="185.82"/>
  </r>
  <r>
    <n v="20"/>
    <s v="Cliente_154"/>
    <n v="4"/>
    <d v="2023-04-07T00:00:00"/>
    <d v="1899-12-30T01:52:00"/>
    <d v="2023-04-07T00:00:00"/>
    <d v="1899-12-30T03:47:00"/>
    <s v="Mesero_3"/>
    <x v="1"/>
    <s v="Tarjeta de crédito"/>
    <n v="38.43"/>
    <s v="Libre"/>
    <n v="735"/>
    <s v="España"/>
    <d v="1899-12-30T01:55:00"/>
    <n v="87"/>
    <s v="1:27"/>
    <d v="1899-12-30T00:28:00"/>
    <n v="142"/>
    <n v="33"/>
    <d v="2023-04-07T00:00:00"/>
    <x v="6"/>
    <x v="0"/>
    <s v="Tarjeta de crédito"/>
    <n v="38.43"/>
    <n v="180.43"/>
  </r>
  <r>
    <n v="17"/>
    <s v="Cliente_301"/>
    <n v="2"/>
    <d v="2023-04-07T00:00:00"/>
    <d v="1899-12-30T01:08:00"/>
    <d v="2023-04-07T00:00:00"/>
    <d v="1899-12-30T03:24:00"/>
    <s v="Mesero_4"/>
    <x v="1"/>
    <s v="Tarjeta de crédito"/>
    <n v="25.91"/>
    <s v="Ocupada"/>
    <n v="736"/>
    <s v="España"/>
    <d v="1899-12-30T02:31:00"/>
    <n v="92"/>
    <s v="1:32"/>
    <d v="1899-12-30T00:59:00"/>
    <n v="215"/>
    <n v="48"/>
    <d v="2023-04-07T00:00:00"/>
    <x v="6"/>
    <x v="0"/>
    <s v="Tarjeta de crédito"/>
    <n v="25.91"/>
    <n v="240.91"/>
  </r>
  <r>
    <n v="6"/>
    <s v="Cliente_635"/>
    <n v="1"/>
    <d v="2023-04-07T00:00:00"/>
    <d v="1899-12-30T00:39:00"/>
    <d v="2023-04-07T00:00:00"/>
    <d v="1899-12-30T03:06:00"/>
    <s v="Mesero_2"/>
    <x v="1"/>
    <s v="Tarjeta de débito"/>
    <n v="24.09"/>
    <s v="Reservada"/>
    <n v="737"/>
    <s v="Paraguay"/>
    <d v="1899-12-30T02:27:00"/>
    <n v="22"/>
    <s v="0:22"/>
    <d v="1899-12-30T02:05:00"/>
    <n v="118"/>
    <n v="35"/>
    <d v="2023-04-07T00:00:00"/>
    <x v="6"/>
    <x v="0"/>
    <s v="Tarjeta de débito"/>
    <n v="24.09"/>
    <n v="142.09"/>
  </r>
  <r>
    <n v="15"/>
    <s v="Cliente_70"/>
    <n v="1"/>
    <d v="2023-04-07T00:00:00"/>
    <d v="1899-12-30T00:51:00"/>
    <d v="2023-04-07T00:00:00"/>
    <d v="1899-12-30T02:04:00"/>
    <s v="Mesero_3"/>
    <x v="0"/>
    <s v="Tarjeta de crédito"/>
    <n v="17.37"/>
    <s v="Ocupada"/>
    <n v="738"/>
    <s v="España"/>
    <d v="1899-12-30T01:28:00"/>
    <n v="94"/>
    <s v="1:34"/>
    <d v="1899-12-30T00:00:00"/>
    <n v="134"/>
    <n v="41"/>
    <d v="2023-04-07T00:00:00"/>
    <x v="6"/>
    <x v="1"/>
    <s v="Impago"/>
    <n v="0"/>
    <n v="0"/>
  </r>
  <r>
    <n v="10"/>
    <s v="Cliente_484"/>
    <n v="5"/>
    <d v="2023-04-07T00:00:00"/>
    <d v="1899-12-30T03:53:00"/>
    <d v="2023-04-07T00:00:00"/>
    <d v="1899-12-30T06:10:00"/>
    <s v="Mesero_2"/>
    <x v="0"/>
    <s v="Tarjeta de débito"/>
    <n v="33.69"/>
    <s v="Reservada"/>
    <n v="739"/>
    <s v="Colombia"/>
    <d v="1899-12-30T02:17:00"/>
    <n v="54"/>
    <s v="0:54"/>
    <d v="1899-12-30T01:23:00"/>
    <n v="46"/>
    <n v="14"/>
    <d v="2023-04-07T00:00:00"/>
    <x v="6"/>
    <x v="0"/>
    <s v="Tarjeta de débito"/>
    <n v="33.69"/>
    <n v="79.69"/>
  </r>
  <r>
    <n v="16"/>
    <s v="Cliente_297"/>
    <n v="6"/>
    <d v="2023-04-07T00:00:00"/>
    <d v="1899-12-30T03:49:00"/>
    <d v="2023-04-07T00:00:00"/>
    <d v="1899-12-30T06:24:00"/>
    <s v="Mesero_1"/>
    <x v="0"/>
    <s v="Tarjeta de débito"/>
    <n v="16.05"/>
    <s v="Reservada"/>
    <n v="740"/>
    <s v="Ecuador"/>
    <d v="1899-12-30T02:35:00"/>
    <n v="113"/>
    <s v="1:53"/>
    <d v="1899-12-30T00:42:00"/>
    <n v="293"/>
    <n v="71"/>
    <d v="2023-04-07T00:00:00"/>
    <x v="6"/>
    <x v="0"/>
    <s v="Tarjeta de débito"/>
    <n v="16.05"/>
    <n v="309.05"/>
  </r>
  <r>
    <n v="14"/>
    <s v="Cliente_196"/>
    <n v="4"/>
    <d v="2023-04-07T00:00:00"/>
    <d v="1899-12-30T00:29:00"/>
    <d v="2023-04-07T00:00:00"/>
    <d v="1899-12-30T04:23:00"/>
    <s v="Mesero_2"/>
    <x v="0"/>
    <s v="Tarjeta de débito"/>
    <n v="40.31"/>
    <s v="Ocupada"/>
    <n v="741"/>
    <s v="Uruguay"/>
    <d v="1899-12-30T04:09:00"/>
    <n v="165"/>
    <s v="2:45"/>
    <d v="1899-12-30T01:24:00"/>
    <n v="285"/>
    <n v="67"/>
    <d v="2023-04-07T00:00:00"/>
    <x v="6"/>
    <x v="0"/>
    <s v="Tarjeta de débito"/>
    <n v="40.31"/>
    <n v="325.31"/>
  </r>
  <r>
    <n v="20"/>
    <s v="Cliente_320"/>
    <n v="4"/>
    <d v="2023-04-07T00:00:00"/>
    <d v="1899-12-30T00:36:00"/>
    <d v="2023-04-07T00:00:00"/>
    <d v="1899-12-30T02:22:00"/>
    <s v="Mesero_2"/>
    <x v="1"/>
    <s v="Tarjeta de crédito"/>
    <n v="10.51"/>
    <s v="Reservada"/>
    <n v="742"/>
    <s v="Colombia"/>
    <d v="1899-12-30T01:46:00"/>
    <n v="145"/>
    <s v="2:25"/>
    <d v="1899-12-30T00:00:00"/>
    <n v="166"/>
    <n v="63"/>
    <d v="2023-04-07T00:00:00"/>
    <x v="6"/>
    <x v="1"/>
    <s v="Impago"/>
    <n v="0"/>
    <n v="0"/>
  </r>
  <r>
    <n v="19"/>
    <s v="Cliente_597"/>
    <n v="2"/>
    <d v="2023-04-07T00:00:00"/>
    <d v="1899-12-30T03:47:00"/>
    <d v="2023-04-07T00:00:00"/>
    <d v="1899-12-30T07:44:00"/>
    <s v="Mesero_3"/>
    <x v="0"/>
    <s v="Tarjeta de débito"/>
    <n v="25.7"/>
    <s v="Ocupada"/>
    <n v="743"/>
    <s v="Brasil"/>
    <d v="1899-12-30T04:12:00"/>
    <n v="143"/>
    <s v="2:23"/>
    <d v="1899-12-30T01:49:00"/>
    <n v="134"/>
    <n v="39"/>
    <d v="2023-04-07T00:00:00"/>
    <x v="6"/>
    <x v="0"/>
    <s v="Tarjeta de débito"/>
    <n v="25.7"/>
    <n v="159.69999999999999"/>
  </r>
  <r>
    <n v="11"/>
    <s v="Cliente_974"/>
    <n v="1"/>
    <d v="2023-04-07T00:00:00"/>
    <d v="1899-12-30T01:59:00"/>
    <d v="2023-04-07T00:00:00"/>
    <d v="1899-12-30T05:49:00"/>
    <s v="Mesero_1"/>
    <x v="0"/>
    <s v="Tarjeta de crédito"/>
    <n v="26.5"/>
    <s v="Libre"/>
    <n v="744"/>
    <s v="España"/>
    <d v="1899-12-30T03:50:00"/>
    <n v="67"/>
    <s v="1:07"/>
    <d v="1899-12-30T02:43:00"/>
    <n v="76"/>
    <n v="27"/>
    <d v="2023-04-07T00:00:00"/>
    <x v="6"/>
    <x v="0"/>
    <s v="Tarjeta de crédito"/>
    <n v="26.5"/>
    <n v="102.5"/>
  </r>
  <r>
    <n v="3"/>
    <s v="Cliente_90"/>
    <n v="1"/>
    <d v="2023-04-07T00:00:00"/>
    <d v="1899-12-30T02:34:00"/>
    <d v="2023-04-07T00:00:00"/>
    <d v="1899-12-30T04:52:00"/>
    <s v="Mesero_5"/>
    <x v="0"/>
    <s v="Efectivo"/>
    <n v="18.75"/>
    <s v="Libre"/>
    <n v="745"/>
    <s v="Bolivia"/>
    <d v="1899-12-30T02:18:00"/>
    <n v="73"/>
    <s v="1:13"/>
    <d v="1899-12-30T01:05:00"/>
    <n v="284"/>
    <n v="66"/>
    <d v="2023-04-07T00:00:00"/>
    <x v="6"/>
    <x v="0"/>
    <s v="Efectivo"/>
    <n v="18.75"/>
    <n v="302.75"/>
  </r>
  <r>
    <n v="13"/>
    <s v="Cliente_950"/>
    <n v="2"/>
    <d v="2023-04-07T00:00:00"/>
    <d v="1899-12-30T03:10:00"/>
    <d v="2023-04-07T00:00:00"/>
    <d v="1899-12-30T06:27:00"/>
    <s v="Mesero_1"/>
    <x v="0"/>
    <s v="Tarjeta de crédito"/>
    <n v="44.9"/>
    <s v="Ocupada"/>
    <n v="746"/>
    <s v="Chile"/>
    <d v="1899-12-30T03:32:00"/>
    <n v="77"/>
    <s v="1:17"/>
    <d v="1899-12-30T02:15:00"/>
    <n v="201"/>
    <n v="40"/>
    <d v="2023-04-07T00:00:00"/>
    <x v="6"/>
    <x v="0"/>
    <s v="Tarjeta de crédito"/>
    <n v="44.9"/>
    <n v="245.9"/>
  </r>
  <r>
    <n v="16"/>
    <s v="Cliente_446"/>
    <n v="3"/>
    <d v="2023-04-07T00:00:00"/>
    <d v="1899-12-30T02:53:00"/>
    <d v="2023-04-07T00:00:00"/>
    <d v="1899-12-30T04:49:00"/>
    <s v="Mesero_1"/>
    <x v="1"/>
    <s v="Tarjeta de débito"/>
    <n v="37.229999999999997"/>
    <s v="Reservada"/>
    <n v="747"/>
    <s v="Uruguay"/>
    <d v="1899-12-30T01:56:00"/>
    <n v="28"/>
    <s v="0:28"/>
    <d v="1899-12-30T01:28:00"/>
    <n v="25"/>
    <n v="15"/>
    <d v="2023-04-07T00:00:00"/>
    <x v="6"/>
    <x v="0"/>
    <s v="Tarjeta de débito"/>
    <n v="37.229999999999997"/>
    <n v="62.23"/>
  </r>
  <r>
    <n v="2"/>
    <s v="Cliente_298"/>
    <n v="4"/>
    <d v="2023-04-07T00:00:00"/>
    <d v="1899-12-30T02:32:00"/>
    <d v="2023-04-07T00:00:00"/>
    <d v="1899-12-30T05:58:00"/>
    <s v="Mesero_2"/>
    <x v="0"/>
    <s v="Tarjeta de crédito"/>
    <n v="12.55"/>
    <s v="Reservada"/>
    <n v="748"/>
    <s v="Venezuela"/>
    <d v="1899-12-30T03:26:00"/>
    <n v="37"/>
    <s v="0:37"/>
    <d v="1899-12-30T02:49:00"/>
    <n v="110"/>
    <n v="34"/>
    <d v="2023-04-07T00:00:00"/>
    <x v="6"/>
    <x v="0"/>
    <s v="Tarjeta de crédito"/>
    <n v="12.55"/>
    <n v="122.55"/>
  </r>
  <r>
    <n v="1"/>
    <s v="Cliente_446"/>
    <n v="2"/>
    <d v="2023-04-07T00:00:00"/>
    <d v="1899-12-30T01:21:00"/>
    <d v="2023-04-07T00:00:00"/>
    <d v="1899-12-30T02:52:00"/>
    <s v="Mesero_4"/>
    <x v="0"/>
    <s v="Tarjeta de débito"/>
    <n v="24.12"/>
    <s v="Ocupada"/>
    <n v="749"/>
    <s v="Perú"/>
    <d v="1899-12-30T01:46:00"/>
    <n v="8"/>
    <s v="0:08"/>
    <d v="1899-12-30T01:38:00"/>
    <n v="70"/>
    <n v="21"/>
    <d v="2023-04-07T00:00:00"/>
    <x v="6"/>
    <x v="0"/>
    <s v="Tarjeta de débito"/>
    <n v="24.12"/>
    <n v="94.12"/>
  </r>
  <r>
    <n v="6"/>
    <s v="Cliente_304"/>
    <n v="4"/>
    <d v="2023-04-07T00:00:00"/>
    <d v="1899-12-30T01:46:00"/>
    <d v="2023-04-07T00:00:00"/>
    <d v="1899-12-30T03:00:00"/>
    <s v="Mesero_1"/>
    <x v="0"/>
    <s v="Tarjeta de crédito"/>
    <n v="21.82"/>
    <s v="Libre"/>
    <n v="750"/>
    <s v="Bolivia"/>
    <d v="1899-12-30T01:14:00"/>
    <n v="86"/>
    <s v="1:26"/>
    <d v="1899-12-30T00:00:00"/>
    <n v="119"/>
    <n v="34"/>
    <d v="2023-04-07T00:00:00"/>
    <x v="6"/>
    <x v="1"/>
    <s v="Impago"/>
    <n v="0"/>
    <n v="0"/>
  </r>
  <r>
    <n v="17"/>
    <s v="Cliente_157"/>
    <n v="6"/>
    <d v="2023-04-07T00:00:00"/>
    <d v="1899-12-30T01:32:00"/>
    <d v="2023-04-07T00:00:00"/>
    <d v="1899-12-30T03:10:00"/>
    <s v="Mesero_2"/>
    <x v="1"/>
    <s v="Tarjeta de crédito"/>
    <n v="49.35"/>
    <s v="Libre"/>
    <n v="751"/>
    <s v="Brasil"/>
    <d v="1899-12-30T01:38:00"/>
    <n v="87"/>
    <s v="1:27"/>
    <d v="1899-12-30T00:11:00"/>
    <n v="170"/>
    <n v="45"/>
    <d v="2023-04-07T00:00:00"/>
    <x v="6"/>
    <x v="0"/>
    <s v="Tarjeta de crédito"/>
    <n v="49.35"/>
    <n v="219.35"/>
  </r>
  <r>
    <n v="3"/>
    <s v="Cliente_736"/>
    <n v="5"/>
    <d v="2023-04-07T00:00:00"/>
    <d v="1899-12-30T02:05:00"/>
    <d v="2023-04-07T00:00:00"/>
    <d v="1899-12-30T04:23:00"/>
    <s v="Mesero_3"/>
    <x v="0"/>
    <s v="Tarjeta de crédito"/>
    <n v="46.27"/>
    <s v="Libre"/>
    <n v="752"/>
    <s v="Perú"/>
    <d v="1899-12-30T02:18:00"/>
    <n v="30"/>
    <s v="0:30"/>
    <d v="1899-12-30T01:48:00"/>
    <n v="60"/>
    <n v="18"/>
    <d v="2023-04-07T00:00:00"/>
    <x v="6"/>
    <x v="0"/>
    <s v="Tarjeta de crédito"/>
    <n v="46.27"/>
    <n v="106.27000000000001"/>
  </r>
  <r>
    <n v="11"/>
    <s v="Cliente_827"/>
    <n v="4"/>
    <d v="2023-04-07T00:00:00"/>
    <d v="1899-12-30T02:27:00"/>
    <d v="2023-04-07T00:00:00"/>
    <d v="1899-12-30T04:38:00"/>
    <s v="Mesero_4"/>
    <x v="0"/>
    <s v="Tarjeta de débito"/>
    <n v="26.24"/>
    <s v="Libre"/>
    <n v="753"/>
    <s v="Chile"/>
    <d v="1899-12-30T02:11:00"/>
    <n v="128"/>
    <s v="2:08"/>
    <d v="1899-12-30T00:03:00"/>
    <n v="163"/>
    <n v="69"/>
    <d v="2023-04-07T00:00:00"/>
    <x v="6"/>
    <x v="0"/>
    <s v="Tarjeta de débito"/>
    <n v="26.24"/>
    <n v="189.24"/>
  </r>
  <r>
    <n v="8"/>
    <s v="Cliente_871"/>
    <n v="3"/>
    <d v="2023-04-07T00:00:00"/>
    <d v="1899-12-30T03:21:00"/>
    <d v="2023-04-07T00:00:00"/>
    <d v="1899-12-30T04:36:00"/>
    <s v="Mesero_3"/>
    <x v="0"/>
    <s v="Tarjeta de crédito"/>
    <n v="42.74"/>
    <s v="Reservada"/>
    <n v="754"/>
    <s v="España"/>
    <d v="1899-12-30T01:15:00"/>
    <n v="89"/>
    <s v="1:29"/>
    <d v="1899-12-30T00:00:00"/>
    <n v="237"/>
    <n v="46"/>
    <d v="2023-04-07T00:00:00"/>
    <x v="6"/>
    <x v="1"/>
    <s v="Impago"/>
    <n v="0"/>
    <n v="0"/>
  </r>
  <r>
    <n v="12"/>
    <s v="Cliente_743"/>
    <n v="3"/>
    <d v="2023-04-07T00:00:00"/>
    <d v="1899-12-30T02:01:00"/>
    <d v="2023-04-07T00:00:00"/>
    <d v="1899-12-30T04:27:00"/>
    <s v="Mesero_2"/>
    <x v="0"/>
    <s v="Tarjeta de crédito"/>
    <n v="26.65"/>
    <s v="Ocupada"/>
    <n v="755"/>
    <s v="Brasil"/>
    <d v="1899-12-30T02:41:00"/>
    <n v="109"/>
    <s v="1:49"/>
    <d v="1899-12-30T00:52:00"/>
    <n v="211"/>
    <n v="56"/>
    <d v="2023-04-07T00:00:00"/>
    <x v="6"/>
    <x v="0"/>
    <s v="Tarjeta de crédito"/>
    <n v="26.65"/>
    <n v="237.65"/>
  </r>
  <r>
    <n v="11"/>
    <s v="Cliente_428"/>
    <n v="1"/>
    <d v="2023-04-07T00:00:00"/>
    <d v="1899-12-30T03:53:00"/>
    <d v="2023-04-07T00:00:00"/>
    <d v="1899-12-30T07:51:00"/>
    <s v="Mesero_1"/>
    <x v="2"/>
    <s v="Tarjeta de crédito"/>
    <n v="31.75"/>
    <s v="Libre"/>
    <n v="756"/>
    <s v="Perú"/>
    <d v="1899-12-30T03:58:00"/>
    <n v="34"/>
    <s v="0:34"/>
    <d v="1899-12-30T03:24:00"/>
    <n v="50"/>
    <n v="30"/>
    <d v="2023-04-07T00:00:00"/>
    <x v="6"/>
    <x v="0"/>
    <s v="Tarjeta de crédito"/>
    <n v="31.75"/>
    <n v="81.75"/>
  </r>
  <r>
    <n v="3"/>
    <s v="Cliente_750"/>
    <n v="6"/>
    <d v="2023-04-07T00:00:00"/>
    <d v="1899-12-30T01:47:00"/>
    <d v="2023-04-07T00:00:00"/>
    <d v="1899-12-30T04:42:00"/>
    <s v="Mesero_2"/>
    <x v="0"/>
    <s v="Tarjeta de débito"/>
    <n v="10.029999999999999"/>
    <s v="Reservada"/>
    <n v="757"/>
    <s v="Brasil"/>
    <d v="1899-12-30T02:55:00"/>
    <n v="40"/>
    <s v="0:40"/>
    <d v="1899-12-30T02:15:00"/>
    <n v="60"/>
    <n v="18"/>
    <d v="2023-04-07T00:00:00"/>
    <x v="6"/>
    <x v="0"/>
    <s v="Tarjeta de débito"/>
    <n v="10.029999999999999"/>
    <n v="70.03"/>
  </r>
  <r>
    <n v="18"/>
    <s v="Cliente_808"/>
    <n v="4"/>
    <d v="2023-04-07T00:00:00"/>
    <d v="1899-12-30T00:17:00"/>
    <d v="2023-04-07T00:00:00"/>
    <d v="1899-12-30T02:10:00"/>
    <s v="Mesero_3"/>
    <x v="1"/>
    <s v="Efectivo"/>
    <n v="27.04"/>
    <s v="Reservada"/>
    <n v="758"/>
    <s v="Perú"/>
    <d v="1899-12-30T01:53:00"/>
    <n v="41"/>
    <s v="0:41"/>
    <d v="1899-12-30T01:12:00"/>
    <n v="52"/>
    <n v="31"/>
    <d v="2023-04-07T00:00:00"/>
    <x v="6"/>
    <x v="0"/>
    <s v="Efectivo"/>
    <n v="27.04"/>
    <n v="79.039999999999992"/>
  </r>
  <r>
    <n v="20"/>
    <s v="Cliente_376"/>
    <n v="5"/>
    <d v="2023-04-07T00:00:00"/>
    <d v="1899-12-30T00:40:00"/>
    <d v="2023-04-07T00:00:00"/>
    <d v="1899-12-30T03:45:00"/>
    <s v="Mesero_1"/>
    <x v="0"/>
    <s v="Tarjeta de crédito"/>
    <n v="13.7"/>
    <s v="Reservada"/>
    <n v="759"/>
    <s v="Argentina"/>
    <d v="1899-12-30T03:05:00"/>
    <n v="196"/>
    <s v="3:16"/>
    <d v="1899-12-30T00:00:00"/>
    <n v="342"/>
    <n v="68"/>
    <d v="2023-04-07T00:00:00"/>
    <x v="6"/>
    <x v="1"/>
    <s v="Impago"/>
    <n v="0"/>
    <n v="0"/>
  </r>
  <r>
    <n v="5"/>
    <s v="Cliente_721"/>
    <n v="6"/>
    <d v="2023-04-07T00:00:00"/>
    <d v="1899-12-30T00:25:00"/>
    <d v="2023-04-07T00:00:00"/>
    <d v="1899-12-30T01:40:00"/>
    <s v="Mesero_4"/>
    <x v="0"/>
    <s v="Tarjeta de crédito"/>
    <n v="39.42"/>
    <s v="Libre"/>
    <n v="760"/>
    <s v="Argentina"/>
    <d v="1899-12-30T01:15:00"/>
    <n v="20"/>
    <s v="0:20"/>
    <d v="1899-12-30T00:55:00"/>
    <n v="105"/>
    <n v="21"/>
    <d v="2023-04-07T00:00:00"/>
    <x v="6"/>
    <x v="0"/>
    <s v="Tarjeta de crédito"/>
    <n v="39.42"/>
    <n v="144.42000000000002"/>
  </r>
  <r>
    <n v="4"/>
    <s v="Cliente_782"/>
    <n v="4"/>
    <d v="2023-04-07T00:00:00"/>
    <d v="1899-12-30T02:39:00"/>
    <d v="2023-04-07T00:00:00"/>
    <d v="1899-12-30T03:42:00"/>
    <s v="Mesero_3"/>
    <x v="1"/>
    <s v="Tarjeta de crédito"/>
    <n v="16.850000000000001"/>
    <s v="Libre"/>
    <n v="761"/>
    <s v="España"/>
    <d v="1899-12-30T01:03:00"/>
    <n v="102"/>
    <s v="1:42"/>
    <d v="1899-12-30T00:00:00"/>
    <n v="174"/>
    <n v="44"/>
    <d v="2023-04-07T00:00:00"/>
    <x v="6"/>
    <x v="1"/>
    <s v="Impago"/>
    <n v="0"/>
    <n v="0"/>
  </r>
  <r>
    <n v="4"/>
    <s v="Cliente_729"/>
    <n v="3"/>
    <d v="2023-04-07T00:00:00"/>
    <d v="1899-12-30T01:18:00"/>
    <d v="2023-04-07T00:00:00"/>
    <d v="1899-12-30T03:25:00"/>
    <s v="Mesero_5"/>
    <x v="1"/>
    <s v="Tarjeta de crédito"/>
    <n v="49.45"/>
    <s v="Reservada"/>
    <n v="762"/>
    <s v="Uruguay"/>
    <d v="1899-12-30T02:07:00"/>
    <n v="29"/>
    <s v="0:29"/>
    <d v="1899-12-30T01:38:00"/>
    <n v="99"/>
    <n v="28"/>
    <d v="2023-04-07T00:00:00"/>
    <x v="6"/>
    <x v="0"/>
    <s v="Tarjeta de crédito"/>
    <n v="49.45"/>
    <n v="148.44999999999999"/>
  </r>
  <r>
    <n v="18"/>
    <s v="Cliente_351"/>
    <n v="3"/>
    <d v="2023-04-07T00:00:00"/>
    <d v="1899-12-30T03:49:00"/>
    <d v="2023-04-07T00:00:00"/>
    <d v="1899-12-30T05:12:00"/>
    <s v="Mesero_4"/>
    <x v="0"/>
    <s v="Tarjeta de crédito"/>
    <n v="22.88"/>
    <s v="Reservada"/>
    <n v="763"/>
    <s v="Argentina"/>
    <d v="1899-12-30T01:23:00"/>
    <n v="32"/>
    <s v="0:32"/>
    <d v="1899-12-30T00:51:00"/>
    <n v="104"/>
    <n v="31"/>
    <d v="2023-04-07T00:00:00"/>
    <x v="6"/>
    <x v="0"/>
    <s v="Tarjeta de crédito"/>
    <n v="22.88"/>
    <n v="126.88"/>
  </r>
  <r>
    <n v="20"/>
    <s v="Cliente_227"/>
    <n v="1"/>
    <d v="2023-04-07T00:00:00"/>
    <d v="1899-12-30T03:30:00"/>
    <d v="2023-04-07T00:00:00"/>
    <d v="1899-12-30T05:46:00"/>
    <s v="Mesero_4"/>
    <x v="2"/>
    <s v="Tarjeta de crédito"/>
    <n v="20.41"/>
    <s v="Ocupada"/>
    <n v="764"/>
    <s v="Colombia"/>
    <d v="1899-12-30T02:31:00"/>
    <n v="112"/>
    <s v="1:52"/>
    <d v="1899-12-30T00:39:00"/>
    <n v="85"/>
    <n v="50"/>
    <d v="2023-04-07T00:00:00"/>
    <x v="6"/>
    <x v="0"/>
    <s v="Tarjeta de crédito"/>
    <n v="20.41"/>
    <n v="105.41"/>
  </r>
  <r>
    <n v="20"/>
    <s v="Cliente_825"/>
    <n v="4"/>
    <d v="2023-04-07T00:00:00"/>
    <d v="1899-12-30T00:24:00"/>
    <d v="2023-04-07T00:00:00"/>
    <d v="1899-12-30T01:37:00"/>
    <s v="Mesero_3"/>
    <x v="2"/>
    <s v="Tarjeta de crédito"/>
    <n v="30.77"/>
    <s v="Libre"/>
    <n v="765"/>
    <s v="Chile"/>
    <d v="1899-12-30T01:13:00"/>
    <n v="164"/>
    <s v="2:44"/>
    <d v="1899-12-30T00:00:00"/>
    <n v="233"/>
    <n v="66"/>
    <d v="2023-04-07T00:00:00"/>
    <x v="6"/>
    <x v="1"/>
    <s v="Impago"/>
    <n v="0"/>
    <n v="0"/>
  </r>
  <r>
    <n v="17"/>
    <s v="Cliente_175"/>
    <n v="6"/>
    <d v="2023-04-07T00:00:00"/>
    <d v="1899-12-30T01:34:00"/>
    <d v="2023-04-07T00:00:00"/>
    <d v="1899-12-30T04:50:00"/>
    <s v="Mesero_2"/>
    <x v="2"/>
    <s v="Tarjeta de crédito"/>
    <n v="12.57"/>
    <s v="Reservada"/>
    <n v="766"/>
    <s v="Argentina"/>
    <d v="1899-12-30T03:16:00"/>
    <n v="134"/>
    <s v="2:14"/>
    <d v="1899-12-30T01:02:00"/>
    <n v="185"/>
    <n v="55"/>
    <d v="2023-04-07T00:00:00"/>
    <x v="6"/>
    <x v="0"/>
    <s v="Tarjeta de crédito"/>
    <n v="12.57"/>
    <n v="197.57"/>
  </r>
  <r>
    <n v="10"/>
    <s v="Cliente_757"/>
    <n v="3"/>
    <d v="2023-04-07T00:00:00"/>
    <d v="1899-12-30T01:08:00"/>
    <d v="2023-04-07T00:00:00"/>
    <d v="1899-12-30T03:57:00"/>
    <s v="Mesero_2"/>
    <x v="1"/>
    <s v="Tarjeta de crédito"/>
    <n v="15.98"/>
    <s v="Reservada"/>
    <n v="767"/>
    <s v="Ecuador"/>
    <d v="1899-12-30T02:49:00"/>
    <n v="85"/>
    <s v="1:25"/>
    <d v="1899-12-30T01:24:00"/>
    <n v="169"/>
    <n v="44"/>
    <d v="2023-04-07T00:00:00"/>
    <x v="6"/>
    <x v="0"/>
    <s v="Tarjeta de crédito"/>
    <n v="15.98"/>
    <n v="184.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AAA284-DBE2-416F-8645-F3EF94997CF3}" name="TablaDinámica6" cacheId="162" applyNumberFormats="0" applyBorderFormats="0" applyFontFormats="0" applyPatternFormats="0" applyAlignmentFormats="0" applyWidthHeightFormats="1" dataCaption="Valores" updatedVersion="8" minRefreshableVersion="3" useAutoFormatting="1" subtotalHiddenItems="1" itemPrintTitles="1" createdVersion="8" indent="0" outline="1" outlineData="1" multipleFieldFilters="0" chartFormat="6">
  <location ref="G9:H15" firstHeaderRow="1" firstDataRow="1" firstDataCol="1"/>
  <pivotFields count="2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a de Propina real" fld="1" baseField="0" baseItem="0"/>
  </dataFields>
  <formats count="1">
    <format dxfId="27">
      <pivotArea outline="0" collapsedLevelsAreSubtotals="1" fieldPosition="0"/>
    </format>
  </formats>
  <chartFormats count="2"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Intento2.xlsx!Sala">
        <x15:activeTabTopLevelEntity name="[Sal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A44BCD-CAB6-4F4C-A0F0-3AA7807C9E8A}" name="TablaDinámica5" cacheId="159" applyNumberFormats="0" applyBorderFormats="0" applyFontFormats="0" applyPatternFormats="0" applyAlignmentFormats="0" applyWidthHeightFormats="1" dataCaption="Valores" updatedVersion="8" minRefreshableVersion="3" useAutoFormatting="1" subtotalHiddenItems="1" itemPrintTitles="1" createdVersion="8" indent="0" outline="1" outlineData="1" multipleFieldFilters="0" chartFormat="10">
  <location ref="D3:E15" firstHeaderRow="1" firstDataRow="1" firstDataCol="1"/>
  <pivotFields count="2"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dataField="1" subtotalTop="0" showAll="0" defaultSubtota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a de Ingresos" fld="1" baseField="0" baseItem="0"/>
  </dataFields>
  <formats count="1">
    <format dxfId="0">
      <pivotArea outline="0" collapsedLevelsAreSubtotals="1" fieldPosition="0"/>
    </format>
  </format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Intento2.xlsx!Sala">
        <x15:activeTabTopLevelEntity name="[Sal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61A2EA-C553-468F-A370-E16793018579}" name="TablaDinámica9" cacheId="156" dataPosition="0" applyNumberFormats="0" applyBorderFormats="0" applyFontFormats="0" applyPatternFormats="0" applyAlignmentFormats="0" applyWidthHeightFormats="1" dataCaption="Valores" updatedVersion="8" minRefreshableVersion="3" useAutoFormatting="1" subtotalHiddenItems="1" itemPrintTitles="1" createdVersion="8" indent="0" outline="1" outlineData="1" multipleFieldFilters="0" chartFormat="19">
  <location ref="T3:U7" firstHeaderRow="1" firstDataRow="1" firstDataCol="1" rowPageCount="1" colPageCount="1"/>
  <pivotFields count="3">
    <pivotField dataField="1" subtotalTop="0" showAll="0" defaultSubtotal="0"/>
    <pivotField axis="axisPage" allDrilled="1" subtotalTop="0" showAll="0" dataSourceSort="1" defaultSubtotal="0" defaultAttributeDrillState="1">
      <items count="2">
        <item s="1" x="0"/>
        <item x="1"/>
      </items>
    </pivotField>
    <pivotField axis="axisRow" allDrilled="1" subtotalTop="0" showAll="0" dataSourceSort="1" defaultSubtotal="0" defaultAttributeDrillState="1">
      <items count="3">
        <item x="0"/>
        <item x="1"/>
        <item x="2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" hier="22" name="[Sala].[Cobrada].&amp;[No]" cap="No"/>
  </pageFields>
  <dataFields count="1">
    <dataField name="Órdenes asignadas" fld="0" subtotal="count" baseField="0" baseItem="0" numFmtId="1"/>
  </dataFields>
  <formats count="1">
    <format dxfId="26">
      <pivotArea outline="0" collapsedLevelsAreSubtotals="1" fieldPosition="0"/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Hierarchies count="4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 caption="Órdenes asignadas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Intento2.xlsx!Sala">
        <x15:activeTabTopLevelEntity name="[Sal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666DD9-C663-4EA9-BCFB-0DB139DF8ACB}" name="TablaDinámica4" cacheId="199" applyNumberFormats="0" applyBorderFormats="0" applyFontFormats="0" applyPatternFormats="0" applyAlignmentFormats="0" applyWidthHeightFormats="1" dataCaption="Valores" updatedVersion="8" minRefreshableVersion="3" useAutoFormatting="1" subtotalHiddenItems="1" itemPrintTitles="1" createdVersion="8" indent="0" outline="1" outlineData="1" multipleFieldFilters="0" chartFormat="10" rowHeaderCaption="Día de la semana" colHeaderCaption="Servicio">
  <location ref="A18:E27" firstHeaderRow="1" firstDataRow="2" firstDataCol="1"/>
  <pivotFields count="3"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sortType="ascending" defaultSubtotal="0" defaultAttributeDrillState="1">
      <items count="7">
        <item x="2"/>
        <item x="3"/>
        <item x="4"/>
        <item x="1"/>
        <item x="6"/>
        <item x="5"/>
        <item x="0"/>
      </items>
    </pivotField>
    <pivotField dataField="1" subtotalTop="0" showAll="0" defaultSubtota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Ingresos" fld="2" baseField="0" baseItem="0"/>
  </dataFields>
  <formats count="1">
    <format dxfId="5">
      <pivotArea outline="0" collapsedLevelsAreSubtotals="1" fieldPosition="0"/>
    </format>
  </formats>
  <chartFormats count="12">
    <chartFormat chart="2" format="9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2" format="10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2" format="11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5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4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Ingresos"/>
    <pivotHierarchy dragToData="1"/>
    <pivotHierarchy dragToData="1"/>
    <pivotHierarchy dragToData="1"/>
    <pivotHierarchy dragToData="1" caption="Ingresos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Intento2.xlsx!Sala">
        <x15:activeTabTopLevelEntity name="[Sal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4133D1-5281-4659-AFF5-EEB97CB8EC83}" name="TablaDinámica7" cacheId="147" applyNumberFormats="0" applyBorderFormats="0" applyFontFormats="0" applyPatternFormats="0" applyAlignmentFormats="0" applyWidthHeightFormats="1" dataCaption="Valores" updatedVersion="8" minRefreshableVersion="3" useAutoFormatting="1" subtotalHiddenItems="1" itemPrintTitles="1" createdVersion="8" indent="0" outline="1" outlineData="1" multipleFieldFilters="0" chartFormat="8">
  <location ref="G18:H39" firstHeaderRow="1" firstDataRow="1" firstDataCol="1"/>
  <pivotFields count="3">
    <pivotField axis="axisRow" allDrilled="1" subtotalTop="0" showAll="0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3">
        <item x="0"/>
        <item x="1"/>
        <item x="2"/>
      </items>
    </pivotField>
  </pivotFields>
  <rowFields count="2">
    <field x="0"/>
    <field x="2"/>
  </rowFields>
  <rowItems count="21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 t="grand">
      <x/>
    </i>
  </rowItems>
  <colItems count="1">
    <i/>
  </colItems>
  <dataFields count="1">
    <dataField name="Recuento de Mesero Asignado" fld="1" subtotal="count" baseField="0" baseItem="0" numFmtId="1"/>
  </dataFields>
  <formats count="1">
    <format dxfId="25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7"/>
    <rowHierarchyUsage hierarchyUsage="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Intento2.xlsx!Sala">
        <x15:activeTabTopLevelEntity name="[Sal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4C4CF9-D33E-4094-B407-69B5A3042524}" name="TablaDinámica3" cacheId="183" applyNumberFormats="0" applyBorderFormats="0" applyFontFormats="0" applyPatternFormats="0" applyAlignmentFormats="0" applyWidthHeightFormats="1" dataCaption="Valores" updatedVersion="8" minRefreshableVersion="3" useAutoFormatting="1" subtotalHiddenItems="1" itemPrintTitles="1" createdVersion="8" indent="0" outline="1" outlineData="1" multipleFieldFilters="0" chartFormat="20">
  <location ref="A10:B15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Transacciones" fld="0" subtotal="count" showDataAs="percentOfTotal" baseField="1" baseItem="0" numFmtId="9"/>
  </dataFields>
  <formats count="3">
    <format dxfId="22">
      <pivotArea dataOnly="0" labelOnly="1" grandCol="1" outline="0" fieldPosition="0"/>
    </format>
    <format dxfId="23">
      <pivotArea dataOnly="0" labelOnly="1" grandCol="1" outline="0" fieldPosition="0"/>
    </format>
    <format dxfId="24">
      <pivotArea outline="0" fieldPosition="0">
        <references count="1">
          <reference field="4294967294" count="1">
            <x v="0"/>
          </reference>
        </references>
      </pivotArea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 caption="Transacciones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Intento2.xlsx!Sala">
        <x15:activeTabTopLevelEntity name="[Sal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35F974-4B18-4D91-9845-4D823236FDE2}" name="TablaDinámica1" cacheId="141" applyNumberFormats="0" applyBorderFormats="0" applyFontFormats="0" applyPatternFormats="0" applyAlignmentFormats="0" applyWidthHeightFormats="1" dataCaption="Valores" updatedVersion="8" minRefreshableVersion="3" useAutoFormatting="1" subtotalHiddenItems="1" itemPrintTitles="1" createdVersion="8" indent="0" outline="1" outlineData="1" multipleFieldFilters="0" chartFormat="11">
  <location ref="A3:B7" firstHeaderRow="1" firstDataRow="1" firstDataCol="1"/>
  <pivotFields count="2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Ingresos" fld="1" baseField="0" baseItem="0"/>
  </dataFields>
  <formats count="3">
    <format dxfId="19">
      <pivotArea outline="0" collapsedLevelsAreSubtotals="1" fieldPosition="0"/>
    </format>
    <format dxfId="20">
      <pivotArea collapsedLevelsAreSubtotals="1" fieldPosition="0">
        <references count="1">
          <reference field="0" count="0"/>
        </references>
      </pivotArea>
    </format>
    <format dxfId="21">
      <pivotArea grandRow="1" outline="0" collapsedLevelsAreSubtotals="1" fieldPosition="0"/>
    </format>
  </formats>
  <chartFormats count="2"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Ingresos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Intento2.xlsx!Sala">
        <x15:activeTabTopLevelEntity name="[Sal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7938CD-B708-4A82-9005-3B5C75F4FE2A}" name="TablaDinámica8" cacheId="16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Z2:AB7" firstHeaderRow="1" firstDataRow="2" firstDataCol="1"/>
  <pivotFields count="26">
    <pivotField showAll="0"/>
    <pivotField showAll="0"/>
    <pivotField showAll="0"/>
    <pivotField numFmtId="14" showAll="0"/>
    <pivotField numFmtId="164" showAll="0"/>
    <pivotField numFmtId="14" showAll="0"/>
    <pivotField numFmtId="164" showAll="0"/>
    <pivotField showAll="0"/>
    <pivotField axis="axisRow" showAll="0" sortType="ascending">
      <items count="4">
        <item sd="0" x="0"/>
        <item sd="0" x="2"/>
        <item sd="0" x="1"/>
        <item t="default"/>
      </items>
    </pivotField>
    <pivotField showAll="0"/>
    <pivotField numFmtId="44" showAll="0"/>
    <pivotField showAll="0"/>
    <pivotField showAll="0"/>
    <pivotField showAll="0"/>
    <pivotField numFmtId="164" showAll="0"/>
    <pivotField showAll="0"/>
    <pivotField showAll="0"/>
    <pivotField numFmtId="164" showAll="0"/>
    <pivotField numFmtId="166" showAll="0"/>
    <pivotField numFmtId="166" showAll="0"/>
    <pivotField numFmtId="14" showAll="0"/>
    <pivotField axis="axisRow" showAll="0">
      <items count="8">
        <item x="2"/>
        <item x="3"/>
        <item x="4"/>
        <item x="5"/>
        <item x="6"/>
        <item x="0"/>
        <item x="1"/>
        <item t="default"/>
      </items>
    </pivotField>
    <pivotField axis="axisCol" dataField="1" showAll="0">
      <items count="3">
        <item x="1"/>
        <item h="1" x="0"/>
        <item t="default"/>
      </items>
    </pivotField>
    <pivotField showAll="0"/>
    <pivotField showAll="0"/>
    <pivotField showAll="0"/>
  </pivotFields>
  <rowFields count="2">
    <field x="8"/>
    <field x="21"/>
  </rowFields>
  <rowItems count="4">
    <i>
      <x/>
    </i>
    <i>
      <x v="1"/>
    </i>
    <i>
      <x v="2"/>
    </i>
    <i t="grand">
      <x/>
    </i>
  </rowItems>
  <colFields count="1">
    <field x="22"/>
  </colFields>
  <colItems count="2">
    <i>
      <x/>
    </i>
    <i t="grand">
      <x/>
    </i>
  </colItems>
  <dataFields count="1">
    <dataField name="Cuenta de Cobrada" fld="2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5F369C-B7B3-424E-80C7-7D735F9739C1}" name="TablaDinámica12" cacheId="16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75:B79" firstHeaderRow="1" firstDataRow="1" firstDataCol="1" rowPageCount="1" colPageCount="1"/>
  <pivotFields count="26">
    <pivotField showAll="0"/>
    <pivotField showAll="0"/>
    <pivotField showAll="0"/>
    <pivotField numFmtId="14" showAll="0"/>
    <pivotField numFmtId="164" showAll="0"/>
    <pivotField numFmtId="14" showAll="0"/>
    <pivotField numFmtId="164"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numFmtId="44" showAll="0"/>
    <pivotField showAll="0"/>
    <pivotField showAll="0"/>
    <pivotField showAll="0"/>
    <pivotField numFmtId="164" showAll="0"/>
    <pivotField dataField="1" showAll="0"/>
    <pivotField showAll="0"/>
    <pivotField numFmtId="164" showAll="0"/>
    <pivotField numFmtId="166" showAll="0"/>
    <pivotField numFmtId="166" showAll="0"/>
    <pivotField numFmtId="14"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22" item="0" hier="-1"/>
  </pageFields>
  <dataFields count="1">
    <dataField name="Promedio de Tiempo de preparación (min)" fld="15" subtotal="average" baseField="8" baseItem="0"/>
  </dataFields>
  <formats count="1">
    <format dxfId="28">
      <pivotArea collapsedLevelsAreSubtotals="1" fieldPosition="0">
        <references count="1">
          <reference field="8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721FCC-3EEE-43A9-AE37-4DF5EB560665}" name="TablaDinámica10" cacheId="138" applyNumberFormats="0" applyBorderFormats="0" applyFontFormats="0" applyPatternFormats="0" applyAlignmentFormats="0" applyWidthHeightFormats="1" dataCaption="Valores" updatedVersion="8" minRefreshableVersion="3" useAutoFormatting="1" subtotalHiddenItems="1" itemPrintTitles="1" createdVersion="8" indent="0" outline="1" outlineData="1" multipleFieldFilters="0" chartFormat="10">
  <location ref="A66:H70" firstHeaderRow="0" firstDataRow="1" firstDataCol="1"/>
  <pivotFields count="8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Recuento de Tipo de Servicio" fld="1" subtotal="count" baseField="0" baseItem="0"/>
    <dataField name="Promedio de Monto total" fld="2" subtotal="average" baseField="0" baseItem="0" numFmtId="44"/>
    <dataField name="Promedio de Número de Comensales" fld="3" subtotal="average" baseField="0" baseItem="0" numFmtId="2"/>
    <dataField name="Suma de Propina real" fld="4" baseField="0" baseItem="0" numFmtId="44"/>
    <dataField name="Suma de Ingresos" fld="6" baseField="0" baseItem="0" numFmtId="44"/>
    <dataField name="Suma de Coste total" fld="5" baseField="0" baseItem="0" numFmtId="44"/>
    <dataField name="Promedio de Tiempo de preparación (min)" fld="7" subtotal="average" baseField="0" baseItem="0" numFmtId="1"/>
  </dataFields>
  <formats count="9">
    <format dxfId="10">
      <pivotArea collapsedLevelsAreSubtotals="1" fieldPosition="0">
        <references count="1">
          <reference field="0" count="0"/>
        </references>
      </pivotArea>
    </format>
    <format dxfId="11">
      <pivotArea grandRow="1" outline="0" collapsedLevelsAreSubtotals="1" fieldPosition="0"/>
    </format>
    <format dxfId="12">
      <pivotArea outline="0" collapsedLevelsAreSubtotals="1" fieldPosition="0"/>
    </format>
    <format dxfId="1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4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5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6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17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18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</formats>
  <pivotHierarchies count="4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Ingresos"/>
    <pivotHierarchy dragToData="1"/>
    <pivotHierarchy dragToData="1"/>
    <pivotHierarchy dragToData="1"/>
    <pivotHierarchy dragToData="1"/>
    <pivotHierarchy dragToData="1"/>
    <pivotHierarchy dragToData="1" caption="Promedio de Monto total"/>
    <pivotHierarchy dragToData="1"/>
    <pivotHierarchy dragToData="1" caption="Promedio de Número de Comensales"/>
    <pivotHierarchy dragToData="1"/>
    <pivotHierarchy dragToData="1"/>
    <pivotHierarchy dragToData="1"/>
    <pivotHierarchy dragToData="1" caption="Promedio de Tiempo de preparación (min)"/>
  </pivotHierarchies>
  <pivotTableStyleInfo name="PivotStyleLight16" showRowHeaders="1" showColHeaders="1" showRowStripes="0" showColStripes="0" showLastColumn="1"/>
  <rowHierarchiesUsage count="1">
    <rowHierarchyUsage hierarchyUsage="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Intento2.xlsx!Sala">
        <x15:activeTabTopLevelEntity name="[Sal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C780DE-597F-49F0-AF24-7CED6B467A55}" name="Sala" displayName="Sala" ref="A1:Z768" totalsRowShown="0">
  <autoFilter ref="A1:Z768" xr:uid="{49C780DE-597F-49F0-AF24-7CED6B467A55}"/>
  <tableColumns count="26">
    <tableColumn id="1" xr3:uid="{A196D465-4316-4143-8C07-EB5F30A9F683}" name="Número de Mesa"/>
    <tableColumn id="2" xr3:uid="{EC1A739B-E84F-4E75-9B50-6A7B6A41F41F}" name="Nombre del Cliente"/>
    <tableColumn id="3" xr3:uid="{3BC90B3B-7F19-427F-B3ED-9E103D691A76}" name="Número de Comensales"/>
    <tableColumn id="4" xr3:uid="{A487FD62-E49F-4C97-BE9B-95339345D47F}" name="Fecha de Llegada" dataDxfId="48"/>
    <tableColumn id="13" xr3:uid="{0E7AF415-105C-42DA-8467-553F6E22DCEC}" name="Hora de llegada" dataDxfId="47"/>
    <tableColumn id="5" xr3:uid="{519E3A13-7555-4E6C-9780-2196AF8C04A7}" name="Fecha de Salida" dataDxfId="46"/>
    <tableColumn id="14" xr3:uid="{FCE41D83-97F1-4464-B251-F5642B4EC82A}" name="Hora de Salida" dataDxfId="45"/>
    <tableColumn id="6" xr3:uid="{DBB8D4C7-C7E7-407A-B8F7-193CB83DF448}" name="Mesero Asignado" dataDxfId="44"/>
    <tableColumn id="7" xr3:uid="{531685C4-A9C1-4D49-A7F6-BDB8DB236E2D}" name="Tipo de Servicio"/>
    <tableColumn id="8" xr3:uid="{417FCFF0-C41A-47E2-BA81-1B4A774EB03F}" name="Método de Pago"/>
    <tableColumn id="9" xr3:uid="{E782989A-4CBD-4E0D-9695-8A71DBE0211B}" name="Propina" dataCellStyle="Moneda"/>
    <tableColumn id="10" xr3:uid="{C2922257-202C-43AA-9351-6E5CAD153C64}" name="Estado de la Mesa"/>
    <tableColumn id="11" xr3:uid="{F7B7B767-9D43-4C19-A01A-25CE2503B7F3}" name="Número de Orden"/>
    <tableColumn id="12" xr3:uid="{C9F0A8F1-77DA-4A8F-8BB4-C167F1C20F48}" name="País de Origen"/>
    <tableColumn id="17" xr3:uid="{A7A22785-F043-49D1-A3DC-ABEAC0020F5A}" name="Tiempo de permanencia" dataDxfId="32">
      <calculatedColumnFormula>(Sala[[#This Row],[Hora de Salida]]-Sala[[#This Row],[Hora de llegada]])+IF(Sala[[#This Row],[Estado de la Mesa]]="Ocupada",(TEXT((15/(60*24)),"h:mm")),(TEXT(0,"h:mm")))</calculatedColumnFormula>
    </tableColumn>
    <tableColumn id="25" xr3:uid="{118C4FE4-2A9F-44C3-8E4B-B74F0C073637}" name="Tiempo de preparación (min)" dataDxfId="30">
      <calculatedColumnFormula>(SUMIF(Cocina[Número de Orden],Sala[[#This Row],[Número de Orden]],Cocina[Tiempo de Preparación]))</calculatedColumnFormula>
    </tableColumn>
    <tableColumn id="18" xr3:uid="{DF87FC38-3D91-451F-BD8A-2A485D5DA1A5}" name="Tiempo de preparación (h)" dataDxfId="31">
      <calculatedColumnFormula>TEXT(((SUMIF(Cocina[Número de Orden],Sala[[#This Row],[Número de Orden]],Cocina[Tiempo de Preparación]))/(60*24)),"h:mm")</calculatedColumnFormula>
    </tableColumn>
    <tableColumn id="19" xr3:uid="{971E2D42-FA42-454A-85CF-F558357F2D00}" name="Tiempo de degustación" dataDxfId="43">
      <calculatedColumnFormula>MAX((Sala[[#This Row],[Tiempo de permanencia]]-Sala[[#This Row],[Tiempo de preparación (h)]]),0)</calculatedColumnFormula>
    </tableColumn>
    <tableColumn id="15" xr3:uid="{266DB2B1-060A-4476-9A0D-25AEAA07CC9C}" name="Monto total" dataDxfId="42">
      <calculatedColumnFormula>SUMIF(Cocina[Número de Orden],Sala[[#This Row],[Número de Orden]],Cocina[Ganancia bruta])</calculatedColumnFormula>
    </tableColumn>
    <tableColumn id="24" xr3:uid="{2B279E54-7D86-4CC0-AE95-41812BE9EE4D}" name="Coste total" dataDxfId="41">
      <calculatedColumnFormula>SUMIF(Cocina[Número de Orden],Sala[[#This Row],[Número de Orden]],Cocina[Costo Unitario])</calculatedColumnFormula>
    </tableColumn>
    <tableColumn id="16" xr3:uid="{6344DA1F-DC99-4C11-B395-EA8B37875F88}" name="Fecha factura" dataDxfId="40">
      <calculatedColumnFormula>Sala[[#This Row],[Fecha de Salida]]</calculatedColumnFormula>
    </tableColumn>
    <tableColumn id="22" xr3:uid="{B3CD6BEB-86AA-42F7-9CA0-7602EBA02DED}" name="Día semana" dataDxfId="39">
      <calculatedColumnFormula>TEXT(Sala[[#This Row],[Fecha factura]],"dddd")</calculatedColumnFormula>
    </tableColumn>
    <tableColumn id="20" xr3:uid="{717E0093-425F-404E-88C0-A44FC875CF05}" name="Cobrada" dataDxfId="38">
      <calculatedColumnFormula>IF(Sala[[#This Row],[Tiempo de degustación]]&gt;0,"Sí","No")</calculatedColumnFormula>
    </tableColumn>
    <tableColumn id="26" xr3:uid="{4168A176-FA26-4062-8ADF-CF55CA949DDC}" name="Método pago real" dataDxfId="29">
      <calculatedColumnFormula>IF(Sala[[#This Row],[Cobrada]]="Sí",Sala[[#This Row],[Método de Pago]],"Impago")</calculatedColumnFormula>
    </tableColumn>
    <tableColumn id="21" xr3:uid="{E2A3ACCA-4B53-41E5-A7E8-8836A8168B0B}" name="Propina real" dataDxfId="37">
      <calculatedColumnFormula>IF(Sala[[#This Row],[Cobrada]]="Sí",Sala[[#This Row],[Propina]],0)</calculatedColumnFormula>
    </tableColumn>
    <tableColumn id="23" xr3:uid="{12D19C9D-A90F-46C3-84C5-C1E662536825}" name="Ingresos" dataDxfId="36">
      <calculatedColumnFormula>(IF(Sala[[#This Row],[Cobrada]]="Sí",Sala[[#This Row],[Monto total]],0))+Sala[[#This Row],[Propina real]]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8E8A94-92FE-4D64-913D-D4603CD30A86}" name="Cocina" displayName="Cocina" ref="A1:L1903" totalsRowShown="0">
  <autoFilter ref="A1:L1903" xr:uid="{908E8A94-92FE-4D64-913D-D4603CD30A86}"/>
  <tableColumns count="12">
    <tableColumn id="1" xr3:uid="{31F24998-D195-46F4-93F5-234E980C2FCF}" name="Número de Orden"/>
    <tableColumn id="2" xr3:uid="{AB87D3DA-3902-4E94-B914-3329BC7B03A0}" name="Número de Mesa"/>
    <tableColumn id="3" xr3:uid="{3B6B0D3A-E302-46C8-9622-2E69B9FF1568}" name="Nombre del Plato"/>
    <tableColumn id="4" xr3:uid="{43B0399B-2303-41B2-8BE1-7F5B680A8FE0}" name="DescripcióndelPlato"/>
    <tableColumn id="5" xr3:uid="{8CF4C92C-2B15-4925-8294-A399045D1271}" name="Costo Unitario"/>
    <tableColumn id="6" xr3:uid="{35308874-E6B5-4D44-B591-DEF2F7B3DF80}" name="Precio Unitario"/>
    <tableColumn id="7" xr3:uid="{6BA48045-4351-41F7-A395-23FCB9079919}" name="Cantidad Ordenada"/>
    <tableColumn id="8" xr3:uid="{5DBD8016-20D3-438D-9646-075A5D72CD35}" name="Tiempo de Preparación"/>
    <tableColumn id="12" xr3:uid="{F68AC82E-2910-4D62-8963-588F2F40E573}" name="Ganancia bruta" dataDxfId="35">
      <calculatedColumnFormula>Cocina[[#This Row],[Precio Unitario]]*Cocina[[#This Row],[Cantidad Ordenada]]</calculatedColumnFormula>
    </tableColumn>
    <tableColumn id="11" xr3:uid="{E973814F-DFBA-4404-9D93-44D2B02C3C8E}" name="Ganancia neta" dataDxfId="34">
      <calculatedColumnFormula>(Cocina[[#This Row],[Precio Unitario]]-Cocina[[#This Row],[Costo Unitario]])*Cocina[[#This Row],[Cantidad Ordenada]]</calculatedColumnFormula>
    </tableColumn>
    <tableColumn id="10" xr3:uid="{8975BDCD-36A9-43B1-B27C-D5B648E460FC}" name="Porcentaje de ganancia" dataDxfId="33">
      <calculatedColumnFormula>Cocina[[#This Row],[Ganancia neta]]/_xlfn.XLOOKUP(Cocina[[#This Row],[Número de Orden]],Sala[Número de Orden],Sala[Monto total],"fracaso",0,1)</calculatedColumnFormula>
    </tableColumn>
    <tableColumn id="9" xr3:uid="{C6B103DC-24CF-46C2-9C03-A376FE84ACCD}" name="Observaciones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D139B-68EF-46E6-827A-87605E3ED6D8}">
  <dimension ref="A1:Z768"/>
  <sheetViews>
    <sheetView topLeftCell="N732" workbookViewId="0">
      <selection activeCell="X3" sqref="X3"/>
    </sheetView>
  </sheetViews>
  <sheetFormatPr baseColWidth="10" defaultRowHeight="15" x14ac:dyDescent="0.25"/>
  <cols>
    <col min="1" max="1" width="18.5703125" bestFit="1" customWidth="1"/>
    <col min="2" max="2" width="21.140625" bestFit="1" customWidth="1"/>
    <col min="3" max="3" width="25.28515625" bestFit="1" customWidth="1"/>
    <col min="4" max="4" width="18.7109375" style="2" bestFit="1" customWidth="1"/>
    <col min="5" max="5" width="17.140625" style="3" bestFit="1" customWidth="1"/>
    <col min="6" max="6" width="17.140625" bestFit="1" customWidth="1"/>
    <col min="7" max="7" width="16.140625" style="3" bestFit="1" customWidth="1"/>
    <col min="8" max="8" width="18.7109375" bestFit="1" customWidth="1"/>
    <col min="9" max="10" width="17.5703125" bestFit="1" customWidth="1"/>
    <col min="11" max="11" width="10.140625" style="9" bestFit="1" customWidth="1"/>
    <col min="12" max="13" width="19.42578125" bestFit="1" customWidth="1"/>
    <col min="14" max="14" width="16.140625" bestFit="1" customWidth="1"/>
    <col min="15" max="15" width="25.140625" bestFit="1" customWidth="1"/>
    <col min="16" max="16" width="25.140625" style="43" customWidth="1"/>
    <col min="17" max="17" width="25.140625" style="5" customWidth="1"/>
    <col min="18" max="18" width="25.140625" style="3" customWidth="1"/>
    <col min="19" max="19" width="13.5703125" style="8" bestFit="1" customWidth="1"/>
    <col min="20" max="20" width="13.5703125" style="8" customWidth="1"/>
    <col min="21" max="21" width="12.42578125" style="2" bestFit="1" customWidth="1"/>
    <col min="22" max="22" width="17" style="7" customWidth="1"/>
  </cols>
  <sheetData>
    <row r="1" spans="1:26" x14ac:dyDescent="0.25">
      <c r="A1" t="s">
        <v>595</v>
      </c>
      <c r="B1" t="s">
        <v>0</v>
      </c>
      <c r="C1" t="s">
        <v>596</v>
      </c>
      <c r="D1" s="2" t="s">
        <v>610</v>
      </c>
      <c r="E1" s="3" t="s">
        <v>611</v>
      </c>
      <c r="F1" t="s">
        <v>612</v>
      </c>
      <c r="G1" s="3" t="s">
        <v>1</v>
      </c>
      <c r="H1" t="s">
        <v>2</v>
      </c>
      <c r="I1" t="s">
        <v>3</v>
      </c>
      <c r="J1" t="s">
        <v>598</v>
      </c>
      <c r="K1" s="9" t="s">
        <v>4</v>
      </c>
      <c r="L1" t="s">
        <v>5</v>
      </c>
      <c r="M1" t="s">
        <v>597</v>
      </c>
      <c r="N1" t="s">
        <v>599</v>
      </c>
      <c r="O1" t="s">
        <v>638</v>
      </c>
      <c r="P1" s="50" t="s">
        <v>682</v>
      </c>
      <c r="Q1" s="6" t="s">
        <v>683</v>
      </c>
      <c r="R1" s="3" t="s">
        <v>639</v>
      </c>
      <c r="S1" s="8" t="s">
        <v>616</v>
      </c>
      <c r="T1" s="8" t="s">
        <v>666</v>
      </c>
      <c r="U1" s="2" t="s">
        <v>640</v>
      </c>
      <c r="V1" s="7" t="s">
        <v>655</v>
      </c>
      <c r="W1" t="s">
        <v>641</v>
      </c>
      <c r="X1" t="s">
        <v>686</v>
      </c>
      <c r="Y1" t="s">
        <v>668</v>
      </c>
      <c r="Z1" t="s">
        <v>654</v>
      </c>
    </row>
    <row r="2" spans="1:26" x14ac:dyDescent="0.25">
      <c r="A2">
        <v>10</v>
      </c>
      <c r="B2" t="s">
        <v>6</v>
      </c>
      <c r="C2">
        <v>6</v>
      </c>
      <c r="D2" s="2">
        <v>45017</v>
      </c>
      <c r="E2" s="3">
        <v>4.6527777777777779E-2</v>
      </c>
      <c r="F2" s="2">
        <v>45017</v>
      </c>
      <c r="G2" s="3">
        <v>0.15972222222222221</v>
      </c>
      <c r="H2" s="1" t="s">
        <v>7</v>
      </c>
      <c r="I2" t="s">
        <v>8</v>
      </c>
      <c r="J2" t="s">
        <v>600</v>
      </c>
      <c r="K2" s="9">
        <v>48.55</v>
      </c>
      <c r="L2" t="s">
        <v>9</v>
      </c>
      <c r="M2">
        <v>1</v>
      </c>
      <c r="N2" t="s">
        <v>594</v>
      </c>
      <c r="O2" s="3">
        <f>(Sala[[#This Row],[Hora de Salida]]-Sala[[#This Row],[Hora de llegada]])+IF(Sala[[#This Row],[Estado de la Mesa]]="Ocupada",(TEXT((15/(60*24)),"h:mm")),(TEXT(0,"h:mm")))</f>
        <v>0.11319444444444443</v>
      </c>
      <c r="P2" s="43">
        <f>(SUMIF(Cocina[Número de Orden],Sala[[#This Row],[Número de Orden]],Cocina[Tiempo de Preparación]))</f>
        <v>57</v>
      </c>
      <c r="Q2" s="5" t="str">
        <f>TEXT(((SUMIF(Cocina[Número de Orden],Sala[[#This Row],[Número de Orden]],Cocina[Tiempo de Preparación]))/(60*24)),"h:mm")</f>
        <v>0:57</v>
      </c>
      <c r="R2" s="3">
        <f>MAX((Sala[[#This Row],[Tiempo de permanencia]]-Sala[[#This Row],[Tiempo de preparación (h)]]),0)</f>
        <v>7.3611111111111099E-2</v>
      </c>
      <c r="S2" s="8">
        <f>SUMIF(Cocina[Número de Orden],Sala[[#This Row],[Número de Orden]],Cocina[Ganancia bruta])</f>
        <v>138</v>
      </c>
      <c r="T2" s="8">
        <f>SUMIF(Cocina[Número de Orden],Sala[[#This Row],[Número de Orden]],Cocina[Costo Unitario])</f>
        <v>32</v>
      </c>
      <c r="U2" s="2">
        <f>Sala[[#This Row],[Fecha de Salida]]</f>
        <v>45017</v>
      </c>
      <c r="V2" s="7" t="str">
        <f>TEXT(Sala[[#This Row],[Fecha factura]],"dddd")</f>
        <v>sábado</v>
      </c>
      <c r="W2" t="str">
        <f>IF(Sala[[#This Row],[Tiempo de degustación]]&gt;0,"Sí","No")</f>
        <v>Sí</v>
      </c>
      <c r="X2" t="str">
        <f>IF(Sala[[#This Row],[Cobrada]]="Sí",Sala[[#This Row],[Método de Pago]],"Impago")</f>
        <v>Tarjeta de débito</v>
      </c>
      <c r="Y2">
        <f>IF(Sala[[#This Row],[Cobrada]]="Sí",Sala[[#This Row],[Propina]],0)</f>
        <v>48.55</v>
      </c>
      <c r="Z2">
        <f>(IF(Sala[[#This Row],[Cobrada]]="Sí",Sala[[#This Row],[Monto total]],0))+Sala[[#This Row],[Propina real]]</f>
        <v>186.55</v>
      </c>
    </row>
    <row r="3" spans="1:26" x14ac:dyDescent="0.25">
      <c r="A3">
        <v>6</v>
      </c>
      <c r="B3" t="s">
        <v>10</v>
      </c>
      <c r="C3">
        <v>6</v>
      </c>
      <c r="D3" s="2">
        <v>45017</v>
      </c>
      <c r="E3" s="3">
        <v>6.1111111111111109E-2</v>
      </c>
      <c r="F3" s="2">
        <v>45017</v>
      </c>
      <c r="G3" s="3">
        <v>0.15902777777777777</v>
      </c>
      <c r="H3" s="1" t="s">
        <v>11</v>
      </c>
      <c r="I3" t="s">
        <v>12</v>
      </c>
      <c r="J3" t="s">
        <v>13</v>
      </c>
      <c r="K3" s="9">
        <v>43.3</v>
      </c>
      <c r="L3" t="s">
        <v>9</v>
      </c>
      <c r="M3">
        <v>2</v>
      </c>
      <c r="N3" t="s">
        <v>14</v>
      </c>
      <c r="O3" s="3">
        <f>(Sala[[#This Row],[Hora de Salida]]-Sala[[#This Row],[Hora de llegada]])+IF(Sala[[#This Row],[Estado de la Mesa]]="Ocupada",(TEXT((15/(60*24)),"h:mm")),(TEXT(0,"h:mm")))</f>
        <v>9.7916666666666652E-2</v>
      </c>
      <c r="P3" s="43">
        <f>(SUMIF(Cocina[Número de Orden],Sala[[#This Row],[Número de Orden]],Cocina[Tiempo de Preparación]))</f>
        <v>85</v>
      </c>
      <c r="Q3" s="5" t="str">
        <f>TEXT(((SUMIF(Cocina[Número de Orden],Sala[[#This Row],[Número de Orden]],Cocina[Tiempo de Preparación]))/(60*24)),"h:mm")</f>
        <v>1:25</v>
      </c>
      <c r="R3" s="3">
        <f>MAX((Sala[[#This Row],[Tiempo de permanencia]]-Sala[[#This Row],[Tiempo de preparación (h)]]),0)</f>
        <v>3.8888888888888876E-2</v>
      </c>
      <c r="S3" s="8">
        <f>SUMIF(Cocina[Número de Orden],Sala[[#This Row],[Número de Orden]],Cocina[Ganancia bruta])</f>
        <v>58</v>
      </c>
      <c r="T3" s="8">
        <f>SUMIF(Cocina[Número de Orden],Sala[[#This Row],[Número de Orden]],Cocina[Costo Unitario])</f>
        <v>35</v>
      </c>
      <c r="U3" s="2">
        <f>Sala[[#This Row],[Fecha de Salida]]</f>
        <v>45017</v>
      </c>
      <c r="V3" s="7" t="str">
        <f>TEXT(Sala[[#This Row],[Fecha factura]],"dddd")</f>
        <v>sábado</v>
      </c>
      <c r="W3" t="str">
        <f>IF(Sala[[#This Row],[Tiempo de degustación]]&gt;0,"Sí","No")</f>
        <v>Sí</v>
      </c>
      <c r="X3" t="str">
        <f>IF(Sala[[#This Row],[Cobrada]]="Sí",Sala[[#This Row],[Método de Pago]],"Impago")</f>
        <v>Efectivo</v>
      </c>
      <c r="Y3">
        <f>IF(Sala[[#This Row],[Cobrada]]="Sí",Sala[[#This Row],[Propina]],0)</f>
        <v>43.3</v>
      </c>
      <c r="Z3">
        <f>(IF(Sala[[#This Row],[Cobrada]]="Sí",Sala[[#This Row],[Monto total]],0))+Sala[[#This Row],[Propina real]]</f>
        <v>101.3</v>
      </c>
    </row>
    <row r="4" spans="1:26" x14ac:dyDescent="0.25">
      <c r="A4">
        <v>20</v>
      </c>
      <c r="B4" t="s">
        <v>15</v>
      </c>
      <c r="C4">
        <v>1</v>
      </c>
      <c r="D4" s="2">
        <v>45017</v>
      </c>
      <c r="E4" s="3">
        <v>2.013888888888889E-2</v>
      </c>
      <c r="F4" s="2">
        <v>45017</v>
      </c>
      <c r="G4" s="3">
        <v>0.16388888888888889</v>
      </c>
      <c r="H4" s="1" t="s">
        <v>16</v>
      </c>
      <c r="I4" t="s">
        <v>12</v>
      </c>
      <c r="J4" t="s">
        <v>601</v>
      </c>
      <c r="K4" s="9">
        <v>30.87</v>
      </c>
      <c r="L4" t="s">
        <v>17</v>
      </c>
      <c r="M4">
        <v>3</v>
      </c>
      <c r="N4" t="s">
        <v>18</v>
      </c>
      <c r="O4" s="3">
        <f>(Sala[[#This Row],[Hora de Salida]]-Sala[[#This Row],[Hora de llegada]])+IF(Sala[[#This Row],[Estado de la Mesa]]="Ocupada",(TEXT((15/(60*24)),"h:mm")),(TEXT(0,"h:mm")))</f>
        <v>0.14374999999999999</v>
      </c>
      <c r="P4" s="43">
        <f>(SUMIF(Cocina[Número de Orden],Sala[[#This Row],[Número de Orden]],Cocina[Tiempo de Preparación]))</f>
        <v>126</v>
      </c>
      <c r="Q4" s="5" t="str">
        <f>TEXT(((SUMIF(Cocina[Número de Orden],Sala[[#This Row],[Número de Orden]],Cocina[Tiempo de Preparación]))/(60*24)),"h:mm")</f>
        <v>2:06</v>
      </c>
      <c r="R4" s="3">
        <f>MAX((Sala[[#This Row],[Tiempo de permanencia]]-Sala[[#This Row],[Tiempo de preparación (h)]]),0)</f>
        <v>5.6249999999999994E-2</v>
      </c>
      <c r="S4" s="8">
        <f>SUMIF(Cocina[Número de Orden],Sala[[#This Row],[Número de Orden]],Cocina[Ganancia bruta])</f>
        <v>165</v>
      </c>
      <c r="T4" s="8">
        <f>SUMIF(Cocina[Número de Orden],Sala[[#This Row],[Número de Orden]],Cocina[Costo Unitario])</f>
        <v>83</v>
      </c>
      <c r="U4" s="2">
        <f>Sala[[#This Row],[Fecha de Salida]]</f>
        <v>45017</v>
      </c>
      <c r="V4" s="7" t="str">
        <f>TEXT(Sala[[#This Row],[Fecha factura]],"dddd")</f>
        <v>sábado</v>
      </c>
      <c r="W4" t="str">
        <f>IF(Sala[[#This Row],[Tiempo de degustación]]&gt;0,"Sí","No")</f>
        <v>Sí</v>
      </c>
      <c r="X4" t="str">
        <f>IF(Sala[[#This Row],[Cobrada]]="Sí",Sala[[#This Row],[Método de Pago]],"Impago")</f>
        <v>Tarjeta de crédito</v>
      </c>
      <c r="Y4">
        <f>IF(Sala[[#This Row],[Cobrada]]="Sí",Sala[[#This Row],[Propina]],0)</f>
        <v>30.87</v>
      </c>
      <c r="Z4">
        <f>(IF(Sala[[#This Row],[Cobrada]]="Sí",Sala[[#This Row],[Monto total]],0))+Sala[[#This Row],[Propina real]]</f>
        <v>195.87</v>
      </c>
    </row>
    <row r="5" spans="1:26" x14ac:dyDescent="0.25">
      <c r="A5">
        <v>3</v>
      </c>
      <c r="B5" t="s">
        <v>19</v>
      </c>
      <c r="C5">
        <v>1</v>
      </c>
      <c r="D5" s="2">
        <v>45017</v>
      </c>
      <c r="E5" s="3">
        <v>0.12708333333333333</v>
      </c>
      <c r="F5" s="2">
        <v>45017</v>
      </c>
      <c r="G5" s="3">
        <v>0.18819444444444444</v>
      </c>
      <c r="H5" s="1" t="s">
        <v>20</v>
      </c>
      <c r="I5" t="s">
        <v>8</v>
      </c>
      <c r="J5" t="s">
        <v>601</v>
      </c>
      <c r="K5" s="9">
        <v>34.68</v>
      </c>
      <c r="L5" t="s">
        <v>17</v>
      </c>
      <c r="M5">
        <v>4</v>
      </c>
      <c r="N5" t="s">
        <v>21</v>
      </c>
      <c r="O5" s="3">
        <f>(Sala[[#This Row],[Hora de Salida]]-Sala[[#This Row],[Hora de llegada]])+IF(Sala[[#This Row],[Estado de la Mesa]]="Ocupada",(TEXT((15/(60*24)),"h:mm")),(TEXT(0,"h:mm")))</f>
        <v>6.1111111111111116E-2</v>
      </c>
      <c r="P5" s="43">
        <f>(SUMIF(Cocina[Número de Orden],Sala[[#This Row],[Número de Orden]],Cocina[Tiempo de Preparación]))</f>
        <v>40</v>
      </c>
      <c r="Q5" s="5" t="str">
        <f>TEXT(((SUMIF(Cocina[Número de Orden],Sala[[#This Row],[Número de Orden]],Cocina[Tiempo de Preparación]))/(60*24)),"h:mm")</f>
        <v>0:40</v>
      </c>
      <c r="R5" s="3">
        <f>MAX((Sala[[#This Row],[Tiempo de permanencia]]-Sala[[#This Row],[Tiempo de preparación (h)]]),0)</f>
        <v>3.333333333333334E-2</v>
      </c>
      <c r="S5" s="8">
        <f>SUMIF(Cocina[Número de Orden],Sala[[#This Row],[Número de Orden]],Cocina[Ganancia bruta])</f>
        <v>183</v>
      </c>
      <c r="T5" s="8">
        <f>SUMIF(Cocina[Número de Orden],Sala[[#This Row],[Número de Orden]],Cocina[Costo Unitario])</f>
        <v>36</v>
      </c>
      <c r="U5" s="2">
        <f>Sala[[#This Row],[Fecha de Salida]]</f>
        <v>45017</v>
      </c>
      <c r="V5" s="7" t="str">
        <f>TEXT(Sala[[#This Row],[Fecha factura]],"dddd")</f>
        <v>sábado</v>
      </c>
      <c r="W5" t="str">
        <f>IF(Sala[[#This Row],[Tiempo de degustación]]&gt;0,"Sí","No")</f>
        <v>Sí</v>
      </c>
      <c r="X5" t="str">
        <f>IF(Sala[[#This Row],[Cobrada]]="Sí",Sala[[#This Row],[Método de Pago]],"Impago")</f>
        <v>Tarjeta de crédito</v>
      </c>
      <c r="Y5">
        <f>IF(Sala[[#This Row],[Cobrada]]="Sí",Sala[[#This Row],[Propina]],0)</f>
        <v>34.68</v>
      </c>
      <c r="Z5">
        <f>(IF(Sala[[#This Row],[Cobrada]]="Sí",Sala[[#This Row],[Monto total]],0))+Sala[[#This Row],[Propina real]]</f>
        <v>217.68</v>
      </c>
    </row>
    <row r="6" spans="1:26" x14ac:dyDescent="0.25">
      <c r="A6">
        <v>8</v>
      </c>
      <c r="B6" t="s">
        <v>22</v>
      </c>
      <c r="C6">
        <v>2</v>
      </c>
      <c r="D6" s="2">
        <v>45017</v>
      </c>
      <c r="E6" s="3">
        <v>6.9444444444444447E-4</v>
      </c>
      <c r="F6" s="2">
        <v>45017</v>
      </c>
      <c r="G6" s="3">
        <v>8.7499999999999994E-2</v>
      </c>
      <c r="H6" s="1" t="s">
        <v>23</v>
      </c>
      <c r="I6" t="s">
        <v>8</v>
      </c>
      <c r="J6" t="s">
        <v>601</v>
      </c>
      <c r="K6" s="9">
        <v>24.33</v>
      </c>
      <c r="L6" t="s">
        <v>17</v>
      </c>
      <c r="M6">
        <v>5</v>
      </c>
      <c r="N6" t="s">
        <v>593</v>
      </c>
      <c r="O6" s="3">
        <f>(Sala[[#This Row],[Hora de Salida]]-Sala[[#This Row],[Hora de llegada]])+IF(Sala[[#This Row],[Estado de la Mesa]]="Ocupada",(TEXT((15/(60*24)),"h:mm")),(TEXT(0,"h:mm")))</f>
        <v>8.6805555555555552E-2</v>
      </c>
      <c r="P6" s="43">
        <f>(SUMIF(Cocina[Número de Orden],Sala[[#This Row],[Número de Orden]],Cocina[Tiempo de Preparación]))</f>
        <v>17</v>
      </c>
      <c r="Q6" s="5" t="str">
        <f>TEXT(((SUMIF(Cocina[Número de Orden],Sala[[#This Row],[Número de Orden]],Cocina[Tiempo de Preparación]))/(60*24)),"h:mm")</f>
        <v>0:17</v>
      </c>
      <c r="R6" s="3">
        <f>MAX((Sala[[#This Row],[Tiempo de permanencia]]-Sala[[#This Row],[Tiempo de preparación (h)]]),0)</f>
        <v>7.4999999999999997E-2</v>
      </c>
      <c r="S6" s="8">
        <f>SUMIF(Cocina[Número de Orden],Sala[[#This Row],[Número de Orden]],Cocina[Ganancia bruta])</f>
        <v>67</v>
      </c>
      <c r="T6" s="8">
        <f>SUMIF(Cocina[Número de Orden],Sala[[#This Row],[Número de Orden]],Cocina[Costo Unitario])</f>
        <v>25</v>
      </c>
      <c r="U6" s="2">
        <f>Sala[[#This Row],[Fecha de Salida]]</f>
        <v>45017</v>
      </c>
      <c r="V6" s="7" t="str">
        <f>TEXT(Sala[[#This Row],[Fecha factura]],"dddd")</f>
        <v>sábado</v>
      </c>
      <c r="W6" t="str">
        <f>IF(Sala[[#This Row],[Tiempo de degustación]]&gt;0,"Sí","No")</f>
        <v>Sí</v>
      </c>
      <c r="X6" t="str">
        <f>IF(Sala[[#This Row],[Cobrada]]="Sí",Sala[[#This Row],[Método de Pago]],"Impago")</f>
        <v>Tarjeta de crédito</v>
      </c>
      <c r="Y6">
        <f>IF(Sala[[#This Row],[Cobrada]]="Sí",Sala[[#This Row],[Propina]],0)</f>
        <v>24.33</v>
      </c>
      <c r="Z6">
        <f>(IF(Sala[[#This Row],[Cobrada]]="Sí",Sala[[#This Row],[Monto total]],0))+Sala[[#This Row],[Propina real]]</f>
        <v>91.33</v>
      </c>
    </row>
    <row r="7" spans="1:26" x14ac:dyDescent="0.25">
      <c r="A7">
        <v>7</v>
      </c>
      <c r="B7" t="s">
        <v>24</v>
      </c>
      <c r="C7">
        <v>5</v>
      </c>
      <c r="D7" s="2">
        <v>45017</v>
      </c>
      <c r="E7" s="3">
        <v>5.8333333333333334E-2</v>
      </c>
      <c r="F7" s="2">
        <v>45017</v>
      </c>
      <c r="G7" s="3">
        <v>0.14722222222222223</v>
      </c>
      <c r="H7" s="1" t="s">
        <v>23</v>
      </c>
      <c r="I7" t="s">
        <v>25</v>
      </c>
      <c r="J7" t="s">
        <v>601</v>
      </c>
      <c r="K7" s="9">
        <v>26.57</v>
      </c>
      <c r="L7" t="s">
        <v>17</v>
      </c>
      <c r="M7">
        <v>6</v>
      </c>
      <c r="N7" t="s">
        <v>593</v>
      </c>
      <c r="O7" s="3">
        <f>(Sala[[#This Row],[Hora de Salida]]-Sala[[#This Row],[Hora de llegada]])+IF(Sala[[#This Row],[Estado de la Mesa]]="Ocupada",(TEXT((15/(60*24)),"h:mm")),(TEXT(0,"h:mm")))</f>
        <v>8.8888888888888892E-2</v>
      </c>
      <c r="P7" s="43">
        <f>(SUMIF(Cocina[Número de Orden],Sala[[#This Row],[Número de Orden]],Cocina[Tiempo de Preparación]))</f>
        <v>11</v>
      </c>
      <c r="Q7" s="5" t="str">
        <f>TEXT(((SUMIF(Cocina[Número de Orden],Sala[[#This Row],[Número de Orden]],Cocina[Tiempo de Preparación]))/(60*24)),"h:mm")</f>
        <v>0:11</v>
      </c>
      <c r="R7" s="3">
        <f>MAX((Sala[[#This Row],[Tiempo de permanencia]]-Sala[[#This Row],[Tiempo de preparación (h)]]),0)</f>
        <v>8.1250000000000003E-2</v>
      </c>
      <c r="S7" s="8">
        <f>SUMIF(Cocina[Número de Orden],Sala[[#This Row],[Número de Orden]],Cocina[Ganancia bruta])</f>
        <v>70</v>
      </c>
      <c r="T7" s="8">
        <f>SUMIF(Cocina[Número de Orden],Sala[[#This Row],[Número de Orden]],Cocina[Costo Unitario])</f>
        <v>21</v>
      </c>
      <c r="U7" s="2">
        <f>Sala[[#This Row],[Fecha de Salida]]</f>
        <v>45017</v>
      </c>
      <c r="V7" s="7" t="str">
        <f>TEXT(Sala[[#This Row],[Fecha factura]],"dddd")</f>
        <v>sábado</v>
      </c>
      <c r="W7" t="str">
        <f>IF(Sala[[#This Row],[Tiempo de degustación]]&gt;0,"Sí","No")</f>
        <v>Sí</v>
      </c>
      <c r="X7" t="str">
        <f>IF(Sala[[#This Row],[Cobrada]]="Sí",Sala[[#This Row],[Método de Pago]],"Impago")</f>
        <v>Tarjeta de crédito</v>
      </c>
      <c r="Y7">
        <f>IF(Sala[[#This Row],[Cobrada]]="Sí",Sala[[#This Row],[Propina]],0)</f>
        <v>26.57</v>
      </c>
      <c r="Z7">
        <f>(IF(Sala[[#This Row],[Cobrada]]="Sí",Sala[[#This Row],[Monto total]],0))+Sala[[#This Row],[Propina real]]</f>
        <v>96.57</v>
      </c>
    </row>
    <row r="8" spans="1:26" x14ac:dyDescent="0.25">
      <c r="A8">
        <v>17</v>
      </c>
      <c r="B8" t="s">
        <v>27</v>
      </c>
      <c r="C8">
        <v>6</v>
      </c>
      <c r="D8" s="2">
        <v>45017</v>
      </c>
      <c r="E8" s="3">
        <v>8.1250000000000003E-2</v>
      </c>
      <c r="F8" s="2">
        <v>45017</v>
      </c>
      <c r="G8" s="3">
        <v>0.18194444444444444</v>
      </c>
      <c r="H8" s="1" t="s">
        <v>16</v>
      </c>
      <c r="I8" t="s">
        <v>25</v>
      </c>
      <c r="J8" t="s">
        <v>601</v>
      </c>
      <c r="K8" s="9">
        <v>10.54</v>
      </c>
      <c r="L8" t="s">
        <v>28</v>
      </c>
      <c r="M8">
        <v>7</v>
      </c>
      <c r="N8" t="s">
        <v>29</v>
      </c>
      <c r="O8" s="3">
        <f>(Sala[[#This Row],[Hora de Salida]]-Sala[[#This Row],[Hora de llegada]])+IF(Sala[[#This Row],[Estado de la Mesa]]="Ocupada",(TEXT((15/(60*24)),"h:mm")),(TEXT(0,"h:mm")))</f>
        <v>0.1111111111111111</v>
      </c>
      <c r="P8" s="43">
        <f>(SUMIF(Cocina[Número de Orden],Sala[[#This Row],[Número de Orden]],Cocina[Tiempo de Preparación]))</f>
        <v>41</v>
      </c>
      <c r="Q8" s="5" t="str">
        <f>TEXT(((SUMIF(Cocina[Número de Orden],Sala[[#This Row],[Número de Orden]],Cocina[Tiempo de Preparación]))/(60*24)),"h:mm")</f>
        <v>0:41</v>
      </c>
      <c r="R8" s="3">
        <f>MAX((Sala[[#This Row],[Tiempo de permanencia]]-Sala[[#This Row],[Tiempo de preparación (h)]]),0)</f>
        <v>8.2638888888888887E-2</v>
      </c>
      <c r="S8" s="8">
        <f>SUMIF(Cocina[Número de Orden],Sala[[#This Row],[Número de Orden]],Cocina[Ganancia bruta])</f>
        <v>172</v>
      </c>
      <c r="T8" s="8">
        <f>SUMIF(Cocina[Número de Orden],Sala[[#This Row],[Número de Orden]],Cocina[Costo Unitario])</f>
        <v>41</v>
      </c>
      <c r="U8" s="2">
        <f>Sala[[#This Row],[Fecha de Salida]]</f>
        <v>45017</v>
      </c>
      <c r="V8" s="7" t="str">
        <f>TEXT(Sala[[#This Row],[Fecha factura]],"dddd")</f>
        <v>sábado</v>
      </c>
      <c r="W8" t="str">
        <f>IF(Sala[[#This Row],[Tiempo de degustación]]&gt;0,"Sí","No")</f>
        <v>Sí</v>
      </c>
      <c r="X8" t="str">
        <f>IF(Sala[[#This Row],[Cobrada]]="Sí",Sala[[#This Row],[Método de Pago]],"Impago")</f>
        <v>Tarjeta de crédito</v>
      </c>
      <c r="Y8">
        <f>IF(Sala[[#This Row],[Cobrada]]="Sí",Sala[[#This Row],[Propina]],0)</f>
        <v>10.54</v>
      </c>
      <c r="Z8">
        <f>(IF(Sala[[#This Row],[Cobrada]]="Sí",Sala[[#This Row],[Monto total]],0))+Sala[[#This Row],[Propina real]]</f>
        <v>182.54</v>
      </c>
    </row>
    <row r="9" spans="1:26" x14ac:dyDescent="0.25">
      <c r="A9">
        <v>11</v>
      </c>
      <c r="B9" t="s">
        <v>30</v>
      </c>
      <c r="C9">
        <v>1</v>
      </c>
      <c r="D9" s="2">
        <v>45017</v>
      </c>
      <c r="E9" s="3">
        <v>9.0972222222222218E-2</v>
      </c>
      <c r="F9" s="2">
        <v>45017</v>
      </c>
      <c r="G9" s="3">
        <v>0.20069444444444445</v>
      </c>
      <c r="H9" s="1" t="s">
        <v>16</v>
      </c>
      <c r="I9" t="s">
        <v>12</v>
      </c>
      <c r="J9" t="s">
        <v>601</v>
      </c>
      <c r="K9" s="9">
        <v>49.18</v>
      </c>
      <c r="L9" t="s">
        <v>9</v>
      </c>
      <c r="M9">
        <v>8</v>
      </c>
      <c r="N9" t="s">
        <v>21</v>
      </c>
      <c r="O9" s="3">
        <f>(Sala[[#This Row],[Hora de Salida]]-Sala[[#This Row],[Hora de llegada]])+IF(Sala[[#This Row],[Estado de la Mesa]]="Ocupada",(TEXT((15/(60*24)),"h:mm")),(TEXT(0,"h:mm")))</f>
        <v>0.10972222222222223</v>
      </c>
      <c r="P9" s="43">
        <f>(SUMIF(Cocina[Número de Orden],Sala[[#This Row],[Número de Orden]],Cocina[Tiempo de Preparación]))</f>
        <v>55</v>
      </c>
      <c r="Q9" s="5" t="str">
        <f>TEXT(((SUMIF(Cocina[Número de Orden],Sala[[#This Row],[Número de Orden]],Cocina[Tiempo de Preparación]))/(60*24)),"h:mm")</f>
        <v>0:55</v>
      </c>
      <c r="R9" s="3">
        <f>MAX((Sala[[#This Row],[Tiempo de permanencia]]-Sala[[#This Row],[Tiempo de preparación (h)]]),0)</f>
        <v>7.1527777777777787E-2</v>
      </c>
      <c r="S9" s="8">
        <f>SUMIF(Cocina[Número de Orden],Sala[[#This Row],[Número de Orden]],Cocina[Ganancia bruta])</f>
        <v>242</v>
      </c>
      <c r="T9" s="8">
        <f>SUMIF(Cocina[Número de Orden],Sala[[#This Row],[Número de Orden]],Cocina[Costo Unitario])</f>
        <v>54</v>
      </c>
      <c r="U9" s="2">
        <f>Sala[[#This Row],[Fecha de Salida]]</f>
        <v>45017</v>
      </c>
      <c r="V9" s="7" t="str">
        <f>TEXT(Sala[[#This Row],[Fecha factura]],"dddd")</f>
        <v>sábado</v>
      </c>
      <c r="W9" t="str">
        <f>IF(Sala[[#This Row],[Tiempo de degustación]]&gt;0,"Sí","No")</f>
        <v>Sí</v>
      </c>
      <c r="X9" t="str">
        <f>IF(Sala[[#This Row],[Cobrada]]="Sí",Sala[[#This Row],[Método de Pago]],"Impago")</f>
        <v>Tarjeta de crédito</v>
      </c>
      <c r="Y9">
        <f>IF(Sala[[#This Row],[Cobrada]]="Sí",Sala[[#This Row],[Propina]],0)</f>
        <v>49.18</v>
      </c>
      <c r="Z9">
        <f>(IF(Sala[[#This Row],[Cobrada]]="Sí",Sala[[#This Row],[Monto total]],0))+Sala[[#This Row],[Propina real]]</f>
        <v>291.18</v>
      </c>
    </row>
    <row r="10" spans="1:26" x14ac:dyDescent="0.25">
      <c r="A10">
        <v>15</v>
      </c>
      <c r="B10" t="s">
        <v>31</v>
      </c>
      <c r="C10">
        <v>5</v>
      </c>
      <c r="D10" s="2">
        <v>45017</v>
      </c>
      <c r="E10" s="3">
        <v>8.5416666666666669E-2</v>
      </c>
      <c r="F10" s="2">
        <v>45017</v>
      </c>
      <c r="G10" s="3">
        <v>0.18402777777777779</v>
      </c>
      <c r="H10" s="1" t="s">
        <v>16</v>
      </c>
      <c r="I10" t="s">
        <v>8</v>
      </c>
      <c r="J10" t="s">
        <v>600</v>
      </c>
      <c r="K10" s="9">
        <v>46.85</v>
      </c>
      <c r="L10" t="s">
        <v>17</v>
      </c>
      <c r="M10">
        <v>9</v>
      </c>
      <c r="N10" t="s">
        <v>32</v>
      </c>
      <c r="O10" s="3">
        <f>(Sala[[#This Row],[Hora de Salida]]-Sala[[#This Row],[Hora de llegada]])+IF(Sala[[#This Row],[Estado de la Mesa]]="Ocupada",(TEXT((15/(60*24)),"h:mm")),(TEXT(0,"h:mm")))</f>
        <v>9.8611111111111122E-2</v>
      </c>
      <c r="P10" s="43">
        <f>(SUMIF(Cocina[Número de Orden],Sala[[#This Row],[Número de Orden]],Cocina[Tiempo de Preparación]))</f>
        <v>146</v>
      </c>
      <c r="Q10" s="5" t="str">
        <f>TEXT(((SUMIF(Cocina[Número de Orden],Sala[[#This Row],[Número de Orden]],Cocina[Tiempo de Preparación]))/(60*24)),"h:mm")</f>
        <v>2:26</v>
      </c>
      <c r="R10" s="3">
        <f>MAX((Sala[[#This Row],[Tiempo de permanencia]]-Sala[[#This Row],[Tiempo de preparación (h)]]),0)</f>
        <v>0</v>
      </c>
      <c r="S10" s="8">
        <f>SUMIF(Cocina[Número de Orden],Sala[[#This Row],[Número de Orden]],Cocina[Ganancia bruta])</f>
        <v>169</v>
      </c>
      <c r="T10" s="8">
        <f>SUMIF(Cocina[Número de Orden],Sala[[#This Row],[Número de Orden]],Cocina[Costo Unitario])</f>
        <v>62</v>
      </c>
      <c r="U10" s="2">
        <f>Sala[[#This Row],[Fecha de Salida]]</f>
        <v>45017</v>
      </c>
      <c r="V10" s="7" t="str">
        <f>TEXT(Sala[[#This Row],[Fecha factura]],"dddd")</f>
        <v>sábado</v>
      </c>
      <c r="W10" t="str">
        <f>IF(Sala[[#This Row],[Tiempo de degustación]]&gt;0,"Sí","No")</f>
        <v>No</v>
      </c>
      <c r="X10" t="str">
        <f>IF(Sala[[#This Row],[Cobrada]]="Sí",Sala[[#This Row],[Método de Pago]],"Impago")</f>
        <v>Impago</v>
      </c>
      <c r="Y10">
        <f>IF(Sala[[#This Row],[Cobrada]]="Sí",Sala[[#This Row],[Propina]],0)</f>
        <v>0</v>
      </c>
      <c r="Z10">
        <f>(IF(Sala[[#This Row],[Cobrada]]="Sí",Sala[[#This Row],[Monto total]],0))+Sala[[#This Row],[Propina real]]</f>
        <v>0</v>
      </c>
    </row>
    <row r="11" spans="1:26" x14ac:dyDescent="0.25">
      <c r="A11">
        <v>17</v>
      </c>
      <c r="B11" t="s">
        <v>33</v>
      </c>
      <c r="C11">
        <v>1</v>
      </c>
      <c r="D11" s="2">
        <v>45017</v>
      </c>
      <c r="E11" s="3">
        <v>1.3888888888888889E-3</v>
      </c>
      <c r="F11" s="2">
        <v>45017</v>
      </c>
      <c r="G11" s="3">
        <v>7.8472222222222221E-2</v>
      </c>
      <c r="H11" s="1" t="s">
        <v>23</v>
      </c>
      <c r="I11" t="s">
        <v>8</v>
      </c>
      <c r="J11" t="s">
        <v>601</v>
      </c>
      <c r="K11" s="9">
        <v>16.600000000000001</v>
      </c>
      <c r="L11" t="s">
        <v>28</v>
      </c>
      <c r="M11">
        <v>10</v>
      </c>
      <c r="N11" t="s">
        <v>34</v>
      </c>
      <c r="O11" s="3">
        <f>(Sala[[#This Row],[Hora de Salida]]-Sala[[#This Row],[Hora de llegada]])+IF(Sala[[#This Row],[Estado de la Mesa]]="Ocupada",(TEXT((15/(60*24)),"h:mm")),(TEXT(0,"h:mm")))</f>
        <v>8.7500000000000008E-2</v>
      </c>
      <c r="P11" s="43">
        <f>(SUMIF(Cocina[Número de Orden],Sala[[#This Row],[Número de Orden]],Cocina[Tiempo de Preparación]))</f>
        <v>29</v>
      </c>
      <c r="Q11" s="5" t="str">
        <f>TEXT(((SUMIF(Cocina[Número de Orden],Sala[[#This Row],[Número de Orden]],Cocina[Tiempo de Preparación]))/(60*24)),"h:mm")</f>
        <v>0:29</v>
      </c>
      <c r="R11" s="3">
        <f>MAX((Sala[[#This Row],[Tiempo de permanencia]]-Sala[[#This Row],[Tiempo de preparación (h)]]),0)</f>
        <v>6.7361111111111122E-2</v>
      </c>
      <c r="S11" s="8">
        <f>SUMIF(Cocina[Número de Orden],Sala[[#This Row],[Número de Orden]],Cocina[Ganancia bruta])</f>
        <v>148</v>
      </c>
      <c r="T11" s="8">
        <f>SUMIF(Cocina[Número de Orden],Sala[[#This Row],[Número de Orden]],Cocina[Costo Unitario])</f>
        <v>45</v>
      </c>
      <c r="U11" s="2">
        <f>Sala[[#This Row],[Fecha de Salida]]</f>
        <v>45017</v>
      </c>
      <c r="V11" s="7" t="str">
        <f>TEXT(Sala[[#This Row],[Fecha factura]],"dddd")</f>
        <v>sábado</v>
      </c>
      <c r="W11" t="str">
        <f>IF(Sala[[#This Row],[Tiempo de degustación]]&gt;0,"Sí","No")</f>
        <v>Sí</v>
      </c>
      <c r="X11" t="str">
        <f>IF(Sala[[#This Row],[Cobrada]]="Sí",Sala[[#This Row],[Método de Pago]],"Impago")</f>
        <v>Tarjeta de crédito</v>
      </c>
      <c r="Y11">
        <f>IF(Sala[[#This Row],[Cobrada]]="Sí",Sala[[#This Row],[Propina]],0)</f>
        <v>16.600000000000001</v>
      </c>
      <c r="Z11">
        <f>(IF(Sala[[#This Row],[Cobrada]]="Sí",Sala[[#This Row],[Monto total]],0))+Sala[[#This Row],[Propina real]]</f>
        <v>164.6</v>
      </c>
    </row>
    <row r="12" spans="1:26" x14ac:dyDescent="0.25">
      <c r="A12">
        <v>14</v>
      </c>
      <c r="B12" t="s">
        <v>35</v>
      </c>
      <c r="C12">
        <v>1</v>
      </c>
      <c r="D12" s="2">
        <v>45017</v>
      </c>
      <c r="E12" s="3">
        <v>0.15694444444444444</v>
      </c>
      <c r="F12" s="2">
        <v>45017</v>
      </c>
      <c r="G12" s="3">
        <v>0.27291666666666664</v>
      </c>
      <c r="H12" s="1" t="s">
        <v>11</v>
      </c>
      <c r="I12" t="s">
        <v>8</v>
      </c>
      <c r="J12" t="s">
        <v>601</v>
      </c>
      <c r="K12" s="9">
        <v>32.89</v>
      </c>
      <c r="L12" t="s">
        <v>17</v>
      </c>
      <c r="M12">
        <v>11</v>
      </c>
      <c r="N12" t="s">
        <v>593</v>
      </c>
      <c r="O12" s="3">
        <f>(Sala[[#This Row],[Hora de Salida]]-Sala[[#This Row],[Hora de llegada]])+IF(Sala[[#This Row],[Estado de la Mesa]]="Ocupada",(TEXT((15/(60*24)),"h:mm")),(TEXT(0,"h:mm")))</f>
        <v>0.1159722222222222</v>
      </c>
      <c r="P12" s="43">
        <f>(SUMIF(Cocina[Número de Orden],Sala[[#This Row],[Número de Orden]],Cocina[Tiempo de Preparación]))</f>
        <v>56</v>
      </c>
      <c r="Q12" s="5" t="str">
        <f>TEXT(((SUMIF(Cocina[Número de Orden],Sala[[#This Row],[Número de Orden]],Cocina[Tiempo de Preparación]))/(60*24)),"h:mm")</f>
        <v>0:56</v>
      </c>
      <c r="R12" s="3">
        <f>MAX((Sala[[#This Row],[Tiempo de permanencia]]-Sala[[#This Row],[Tiempo de preparación (h)]]),0)</f>
        <v>7.7083333333333309E-2</v>
      </c>
      <c r="S12" s="8">
        <f>SUMIF(Cocina[Número de Orden],Sala[[#This Row],[Número de Orden]],Cocina[Ganancia bruta])</f>
        <v>88</v>
      </c>
      <c r="T12" s="8">
        <f>SUMIF(Cocina[Número de Orden],Sala[[#This Row],[Número de Orden]],Cocina[Costo Unitario])</f>
        <v>34</v>
      </c>
      <c r="U12" s="2">
        <f>Sala[[#This Row],[Fecha de Salida]]</f>
        <v>45017</v>
      </c>
      <c r="V12" s="7" t="str">
        <f>TEXT(Sala[[#This Row],[Fecha factura]],"dddd")</f>
        <v>sábado</v>
      </c>
      <c r="W12" t="str">
        <f>IF(Sala[[#This Row],[Tiempo de degustación]]&gt;0,"Sí","No")</f>
        <v>Sí</v>
      </c>
      <c r="X12" t="str">
        <f>IF(Sala[[#This Row],[Cobrada]]="Sí",Sala[[#This Row],[Método de Pago]],"Impago")</f>
        <v>Tarjeta de crédito</v>
      </c>
      <c r="Y12">
        <f>IF(Sala[[#This Row],[Cobrada]]="Sí",Sala[[#This Row],[Propina]],0)</f>
        <v>32.89</v>
      </c>
      <c r="Z12">
        <f>(IF(Sala[[#This Row],[Cobrada]]="Sí",Sala[[#This Row],[Monto total]],0))+Sala[[#This Row],[Propina real]]</f>
        <v>120.89</v>
      </c>
    </row>
    <row r="13" spans="1:26" x14ac:dyDescent="0.25">
      <c r="A13">
        <v>14</v>
      </c>
      <c r="B13" t="s">
        <v>36</v>
      </c>
      <c r="C13">
        <v>6</v>
      </c>
      <c r="D13" s="2">
        <v>45017</v>
      </c>
      <c r="E13" s="3">
        <v>2.7777777777777779E-3</v>
      </c>
      <c r="F13" s="2">
        <v>45017</v>
      </c>
      <c r="G13" s="3">
        <v>0.14097222222222222</v>
      </c>
      <c r="H13" s="1" t="s">
        <v>23</v>
      </c>
      <c r="I13" t="s">
        <v>25</v>
      </c>
      <c r="J13" t="s">
        <v>601</v>
      </c>
      <c r="K13" s="9">
        <v>45.27</v>
      </c>
      <c r="L13" t="s">
        <v>28</v>
      </c>
      <c r="M13">
        <v>12</v>
      </c>
      <c r="N13" t="s">
        <v>14</v>
      </c>
      <c r="O13" s="3">
        <f>(Sala[[#This Row],[Hora de Salida]]-Sala[[#This Row],[Hora de llegada]])+IF(Sala[[#This Row],[Estado de la Mesa]]="Ocupada",(TEXT((15/(60*24)),"h:mm")),(TEXT(0,"h:mm")))</f>
        <v>0.14861111111111111</v>
      </c>
      <c r="P13" s="43">
        <f>(SUMIF(Cocina[Número de Orden],Sala[[#This Row],[Número de Orden]],Cocina[Tiempo de Preparación]))</f>
        <v>95</v>
      </c>
      <c r="Q13" s="5" t="str">
        <f>TEXT(((SUMIF(Cocina[Número de Orden],Sala[[#This Row],[Número de Orden]],Cocina[Tiempo de Preparación]))/(60*24)),"h:mm")</f>
        <v>1:35</v>
      </c>
      <c r="R13" s="3">
        <f>MAX((Sala[[#This Row],[Tiempo de permanencia]]-Sala[[#This Row],[Tiempo de preparación (h)]]),0)</f>
        <v>8.2638888888888887E-2</v>
      </c>
      <c r="S13" s="8">
        <f>SUMIF(Cocina[Número de Orden],Sala[[#This Row],[Número de Orden]],Cocina[Ganancia bruta])</f>
        <v>326</v>
      </c>
      <c r="T13" s="8">
        <f>SUMIF(Cocina[Número de Orden],Sala[[#This Row],[Número de Orden]],Cocina[Costo Unitario])</f>
        <v>84</v>
      </c>
      <c r="U13" s="2">
        <f>Sala[[#This Row],[Fecha de Salida]]</f>
        <v>45017</v>
      </c>
      <c r="V13" s="7" t="str">
        <f>TEXT(Sala[[#This Row],[Fecha factura]],"dddd")</f>
        <v>sábado</v>
      </c>
      <c r="W13" t="str">
        <f>IF(Sala[[#This Row],[Tiempo de degustación]]&gt;0,"Sí","No")</f>
        <v>Sí</v>
      </c>
      <c r="X13" t="str">
        <f>IF(Sala[[#This Row],[Cobrada]]="Sí",Sala[[#This Row],[Método de Pago]],"Impago")</f>
        <v>Tarjeta de crédito</v>
      </c>
      <c r="Y13">
        <f>IF(Sala[[#This Row],[Cobrada]]="Sí",Sala[[#This Row],[Propina]],0)</f>
        <v>45.27</v>
      </c>
      <c r="Z13">
        <f>(IF(Sala[[#This Row],[Cobrada]]="Sí",Sala[[#This Row],[Monto total]],0))+Sala[[#This Row],[Propina real]]</f>
        <v>371.27</v>
      </c>
    </row>
    <row r="14" spans="1:26" x14ac:dyDescent="0.25">
      <c r="A14">
        <v>2</v>
      </c>
      <c r="B14" t="s">
        <v>37</v>
      </c>
      <c r="C14">
        <v>1</v>
      </c>
      <c r="D14" s="2">
        <v>45017</v>
      </c>
      <c r="E14" s="3">
        <v>0.13125000000000001</v>
      </c>
      <c r="F14" s="2">
        <v>45017</v>
      </c>
      <c r="G14" s="3">
        <v>0.23055555555555557</v>
      </c>
      <c r="H14" s="1" t="s">
        <v>20</v>
      </c>
      <c r="I14" t="s">
        <v>8</v>
      </c>
      <c r="J14" t="s">
        <v>13</v>
      </c>
      <c r="K14" s="9">
        <v>22.06</v>
      </c>
      <c r="L14" t="s">
        <v>28</v>
      </c>
      <c r="M14">
        <v>13</v>
      </c>
      <c r="N14" t="s">
        <v>18</v>
      </c>
      <c r="O14" s="3">
        <f>(Sala[[#This Row],[Hora de Salida]]-Sala[[#This Row],[Hora de llegada]])+IF(Sala[[#This Row],[Estado de la Mesa]]="Ocupada",(TEXT((15/(60*24)),"h:mm")),(TEXT(0,"h:mm")))</f>
        <v>0.10972222222222223</v>
      </c>
      <c r="P14" s="43">
        <f>(SUMIF(Cocina[Número de Orden],Sala[[#This Row],[Número de Orden]],Cocina[Tiempo de Preparación]))</f>
        <v>59</v>
      </c>
      <c r="Q14" s="5" t="str">
        <f>TEXT(((SUMIF(Cocina[Número de Orden],Sala[[#This Row],[Número de Orden]],Cocina[Tiempo de Preparación]))/(60*24)),"h:mm")</f>
        <v>0:59</v>
      </c>
      <c r="R14" s="3">
        <f>MAX((Sala[[#This Row],[Tiempo de permanencia]]-Sala[[#This Row],[Tiempo de preparación (h)]]),0)</f>
        <v>6.8750000000000006E-2</v>
      </c>
      <c r="S14" s="8">
        <f>SUMIF(Cocina[Número de Orden],Sala[[#This Row],[Número de Orden]],Cocina[Ganancia bruta])</f>
        <v>87</v>
      </c>
      <c r="T14" s="8">
        <f>SUMIF(Cocina[Número de Orden],Sala[[#This Row],[Número de Orden]],Cocina[Costo Unitario])</f>
        <v>17</v>
      </c>
      <c r="U14" s="2">
        <f>Sala[[#This Row],[Fecha de Salida]]</f>
        <v>45017</v>
      </c>
      <c r="V14" s="7" t="str">
        <f>TEXT(Sala[[#This Row],[Fecha factura]],"dddd")</f>
        <v>sábado</v>
      </c>
      <c r="W14" t="str">
        <f>IF(Sala[[#This Row],[Tiempo de degustación]]&gt;0,"Sí","No")</f>
        <v>Sí</v>
      </c>
      <c r="X14" t="str">
        <f>IF(Sala[[#This Row],[Cobrada]]="Sí",Sala[[#This Row],[Método de Pago]],"Impago")</f>
        <v>Efectivo</v>
      </c>
      <c r="Y14">
        <f>IF(Sala[[#This Row],[Cobrada]]="Sí",Sala[[#This Row],[Propina]],0)</f>
        <v>22.06</v>
      </c>
      <c r="Z14">
        <f>(IF(Sala[[#This Row],[Cobrada]]="Sí",Sala[[#This Row],[Monto total]],0))+Sala[[#This Row],[Propina real]]</f>
        <v>109.06</v>
      </c>
    </row>
    <row r="15" spans="1:26" x14ac:dyDescent="0.25">
      <c r="A15">
        <v>16</v>
      </c>
      <c r="B15" t="s">
        <v>39</v>
      </c>
      <c r="C15">
        <v>6</v>
      </c>
      <c r="D15" s="2">
        <v>45017</v>
      </c>
      <c r="E15" s="3">
        <v>1.2500000000000001E-2</v>
      </c>
      <c r="F15" s="2">
        <v>45017</v>
      </c>
      <c r="G15" s="3">
        <v>8.1944444444444445E-2</v>
      </c>
      <c r="H15" s="1" t="s">
        <v>16</v>
      </c>
      <c r="I15" t="s">
        <v>8</v>
      </c>
      <c r="J15" t="s">
        <v>13</v>
      </c>
      <c r="K15" s="9">
        <v>48.76</v>
      </c>
      <c r="L15" t="s">
        <v>17</v>
      </c>
      <c r="M15">
        <v>14</v>
      </c>
      <c r="N15" t="s">
        <v>593</v>
      </c>
      <c r="O15" s="3">
        <f>(Sala[[#This Row],[Hora de Salida]]-Sala[[#This Row],[Hora de llegada]])+IF(Sala[[#This Row],[Estado de la Mesa]]="Ocupada",(TEXT((15/(60*24)),"h:mm")),(TEXT(0,"h:mm")))</f>
        <v>6.9444444444444448E-2</v>
      </c>
      <c r="P15" s="43">
        <f>(SUMIF(Cocina[Número de Orden],Sala[[#This Row],[Número de Orden]],Cocina[Tiempo de Preparación]))</f>
        <v>154</v>
      </c>
      <c r="Q15" s="5" t="str">
        <f>TEXT(((SUMIF(Cocina[Número de Orden],Sala[[#This Row],[Número de Orden]],Cocina[Tiempo de Preparación]))/(60*24)),"h:mm")</f>
        <v>2:34</v>
      </c>
      <c r="R15" s="3">
        <f>MAX((Sala[[#This Row],[Tiempo de permanencia]]-Sala[[#This Row],[Tiempo de preparación (h)]]),0)</f>
        <v>0</v>
      </c>
      <c r="S15" s="8">
        <f>SUMIF(Cocina[Número de Orden],Sala[[#This Row],[Número de Orden]],Cocina[Ganancia bruta])</f>
        <v>129</v>
      </c>
      <c r="T15" s="8">
        <f>SUMIF(Cocina[Número de Orden],Sala[[#This Row],[Número de Orden]],Cocina[Costo Unitario])</f>
        <v>64</v>
      </c>
      <c r="U15" s="2">
        <f>Sala[[#This Row],[Fecha de Salida]]</f>
        <v>45017</v>
      </c>
      <c r="V15" s="7" t="str">
        <f>TEXT(Sala[[#This Row],[Fecha factura]],"dddd")</f>
        <v>sábado</v>
      </c>
      <c r="W15" t="str">
        <f>IF(Sala[[#This Row],[Tiempo de degustación]]&gt;0,"Sí","No")</f>
        <v>No</v>
      </c>
      <c r="X15" t="str">
        <f>IF(Sala[[#This Row],[Cobrada]]="Sí",Sala[[#This Row],[Método de Pago]],"Impago")</f>
        <v>Impago</v>
      </c>
      <c r="Y15">
        <f>IF(Sala[[#This Row],[Cobrada]]="Sí",Sala[[#This Row],[Propina]],0)</f>
        <v>0</v>
      </c>
      <c r="Z15">
        <f>(IF(Sala[[#This Row],[Cobrada]]="Sí",Sala[[#This Row],[Monto total]],0))+Sala[[#This Row],[Propina real]]</f>
        <v>0</v>
      </c>
    </row>
    <row r="16" spans="1:26" x14ac:dyDescent="0.25">
      <c r="A16">
        <v>6</v>
      </c>
      <c r="B16" t="s">
        <v>40</v>
      </c>
      <c r="C16">
        <v>4</v>
      </c>
      <c r="D16" s="2">
        <v>45017</v>
      </c>
      <c r="E16" s="3">
        <v>0.14166666666666666</v>
      </c>
      <c r="F16" s="2">
        <v>45017</v>
      </c>
      <c r="G16" s="3">
        <v>0.2076388888888889</v>
      </c>
      <c r="H16" s="1" t="s">
        <v>11</v>
      </c>
      <c r="I16" t="s">
        <v>12</v>
      </c>
      <c r="J16" t="s">
        <v>601</v>
      </c>
      <c r="K16" s="9">
        <v>28.77</v>
      </c>
      <c r="L16" t="s">
        <v>28</v>
      </c>
      <c r="M16">
        <v>15</v>
      </c>
      <c r="N16" t="s">
        <v>34</v>
      </c>
      <c r="O16" s="3">
        <f>(Sala[[#This Row],[Hora de Salida]]-Sala[[#This Row],[Hora de llegada]])+IF(Sala[[#This Row],[Estado de la Mesa]]="Ocupada",(TEXT((15/(60*24)),"h:mm")),(TEXT(0,"h:mm")))</f>
        <v>7.6388888888888909E-2</v>
      </c>
      <c r="P16" s="43">
        <f>(SUMIF(Cocina[Número de Orden],Sala[[#This Row],[Número de Orden]],Cocina[Tiempo de Preparación]))</f>
        <v>103</v>
      </c>
      <c r="Q16" s="5" t="str">
        <f>TEXT(((SUMIF(Cocina[Número de Orden],Sala[[#This Row],[Número de Orden]],Cocina[Tiempo de Preparación]))/(60*24)),"h:mm")</f>
        <v>1:43</v>
      </c>
      <c r="R16" s="3">
        <f>MAX((Sala[[#This Row],[Tiempo de permanencia]]-Sala[[#This Row],[Tiempo de preparación (h)]]),0)</f>
        <v>4.8611111111111355E-3</v>
      </c>
      <c r="S16" s="8">
        <f>SUMIF(Cocina[Número de Orden],Sala[[#This Row],[Número de Orden]],Cocina[Ganancia bruta])</f>
        <v>224</v>
      </c>
      <c r="T16" s="8">
        <f>SUMIF(Cocina[Número de Orden],Sala[[#This Row],[Número de Orden]],Cocina[Costo Unitario])</f>
        <v>50</v>
      </c>
      <c r="U16" s="2">
        <f>Sala[[#This Row],[Fecha de Salida]]</f>
        <v>45017</v>
      </c>
      <c r="V16" s="7" t="str">
        <f>TEXT(Sala[[#This Row],[Fecha factura]],"dddd")</f>
        <v>sábado</v>
      </c>
      <c r="W16" t="str">
        <f>IF(Sala[[#This Row],[Tiempo de degustación]]&gt;0,"Sí","No")</f>
        <v>Sí</v>
      </c>
      <c r="X16" t="str">
        <f>IF(Sala[[#This Row],[Cobrada]]="Sí",Sala[[#This Row],[Método de Pago]],"Impago")</f>
        <v>Tarjeta de crédito</v>
      </c>
      <c r="Y16">
        <f>IF(Sala[[#This Row],[Cobrada]]="Sí",Sala[[#This Row],[Propina]],0)</f>
        <v>28.77</v>
      </c>
      <c r="Z16">
        <f>(IF(Sala[[#This Row],[Cobrada]]="Sí",Sala[[#This Row],[Monto total]],0))+Sala[[#This Row],[Propina real]]</f>
        <v>252.77</v>
      </c>
    </row>
    <row r="17" spans="1:26" x14ac:dyDescent="0.25">
      <c r="A17">
        <v>20</v>
      </c>
      <c r="B17" t="s">
        <v>41</v>
      </c>
      <c r="C17">
        <v>5</v>
      </c>
      <c r="D17" s="2">
        <v>45017</v>
      </c>
      <c r="E17" s="3">
        <v>0.10486111111111111</v>
      </c>
      <c r="F17" s="2">
        <v>45017</v>
      </c>
      <c r="G17" s="3">
        <v>0.18333333333333332</v>
      </c>
      <c r="H17" s="1" t="s">
        <v>23</v>
      </c>
      <c r="I17" t="s">
        <v>8</v>
      </c>
      <c r="J17" t="s">
        <v>13</v>
      </c>
      <c r="K17" s="9">
        <v>37.9</v>
      </c>
      <c r="L17" t="s">
        <v>9</v>
      </c>
      <c r="M17">
        <v>16</v>
      </c>
      <c r="N17" t="s">
        <v>32</v>
      </c>
      <c r="O17" s="3">
        <f>(Sala[[#This Row],[Hora de Salida]]-Sala[[#This Row],[Hora de llegada]])+IF(Sala[[#This Row],[Estado de la Mesa]]="Ocupada",(TEXT((15/(60*24)),"h:mm")),(TEXT(0,"h:mm")))</f>
        <v>7.8472222222222207E-2</v>
      </c>
      <c r="P17" s="43">
        <f>(SUMIF(Cocina[Número de Orden],Sala[[#This Row],[Número de Orden]],Cocina[Tiempo de Preparación]))</f>
        <v>38</v>
      </c>
      <c r="Q17" s="5" t="str">
        <f>TEXT(((SUMIF(Cocina[Número de Orden],Sala[[#This Row],[Número de Orden]],Cocina[Tiempo de Preparación]))/(60*24)),"h:mm")</f>
        <v>0:38</v>
      </c>
      <c r="R17" s="3">
        <f>MAX((Sala[[#This Row],[Tiempo de permanencia]]-Sala[[#This Row],[Tiempo de preparación (h)]]),0)</f>
        <v>5.2083333333333315E-2</v>
      </c>
      <c r="S17" s="8">
        <f>SUMIF(Cocina[Número de Orden],Sala[[#This Row],[Número de Orden]],Cocina[Ganancia bruta])</f>
        <v>28</v>
      </c>
      <c r="T17" s="8">
        <f>SUMIF(Cocina[Número de Orden],Sala[[#This Row],[Número de Orden]],Cocina[Costo Unitario])</f>
        <v>16</v>
      </c>
      <c r="U17" s="2">
        <f>Sala[[#This Row],[Fecha de Salida]]</f>
        <v>45017</v>
      </c>
      <c r="V17" s="7" t="str">
        <f>TEXT(Sala[[#This Row],[Fecha factura]],"dddd")</f>
        <v>sábado</v>
      </c>
      <c r="W17" t="str">
        <f>IF(Sala[[#This Row],[Tiempo de degustación]]&gt;0,"Sí","No")</f>
        <v>Sí</v>
      </c>
      <c r="X17" t="str">
        <f>IF(Sala[[#This Row],[Cobrada]]="Sí",Sala[[#This Row],[Método de Pago]],"Impago")</f>
        <v>Efectivo</v>
      </c>
      <c r="Y17">
        <f>IF(Sala[[#This Row],[Cobrada]]="Sí",Sala[[#This Row],[Propina]],0)</f>
        <v>37.9</v>
      </c>
      <c r="Z17">
        <f>(IF(Sala[[#This Row],[Cobrada]]="Sí",Sala[[#This Row],[Monto total]],0))+Sala[[#This Row],[Propina real]]</f>
        <v>65.900000000000006</v>
      </c>
    </row>
    <row r="18" spans="1:26" x14ac:dyDescent="0.25">
      <c r="A18">
        <v>14</v>
      </c>
      <c r="B18" t="s">
        <v>43</v>
      </c>
      <c r="C18">
        <v>6</v>
      </c>
      <c r="D18" s="2">
        <v>45017</v>
      </c>
      <c r="E18" s="3">
        <v>6.2500000000000003E-3</v>
      </c>
      <c r="F18" s="2">
        <v>45017</v>
      </c>
      <c r="G18" s="3">
        <v>0.14374999999999999</v>
      </c>
      <c r="H18" s="1" t="s">
        <v>16</v>
      </c>
      <c r="I18" t="s">
        <v>12</v>
      </c>
      <c r="J18" t="s">
        <v>601</v>
      </c>
      <c r="K18" s="9">
        <v>12.17</v>
      </c>
      <c r="L18" t="s">
        <v>17</v>
      </c>
      <c r="M18">
        <v>17</v>
      </c>
      <c r="N18" t="s">
        <v>44</v>
      </c>
      <c r="O18" s="3">
        <f>(Sala[[#This Row],[Hora de Salida]]-Sala[[#This Row],[Hora de llegada]])+IF(Sala[[#This Row],[Estado de la Mesa]]="Ocupada",(TEXT((15/(60*24)),"h:mm")),(TEXT(0,"h:mm")))</f>
        <v>0.13749999999999998</v>
      </c>
      <c r="P18" s="43">
        <f>(SUMIF(Cocina[Número de Orden],Sala[[#This Row],[Número de Orden]],Cocina[Tiempo de Preparación]))</f>
        <v>158</v>
      </c>
      <c r="Q18" s="5" t="str">
        <f>TEXT(((SUMIF(Cocina[Número de Orden],Sala[[#This Row],[Número de Orden]],Cocina[Tiempo de Preparación]))/(60*24)),"h:mm")</f>
        <v>2:38</v>
      </c>
      <c r="R18" s="3">
        <f>MAX((Sala[[#This Row],[Tiempo de permanencia]]-Sala[[#This Row],[Tiempo de preparación (h)]]),0)</f>
        <v>2.7777777777777762E-2</v>
      </c>
      <c r="S18" s="8">
        <f>SUMIF(Cocina[Número de Orden],Sala[[#This Row],[Número de Orden]],Cocina[Ganancia bruta])</f>
        <v>137</v>
      </c>
      <c r="T18" s="8">
        <f>SUMIF(Cocina[Número de Orden],Sala[[#This Row],[Número de Orden]],Cocina[Costo Unitario])</f>
        <v>44</v>
      </c>
      <c r="U18" s="2">
        <f>Sala[[#This Row],[Fecha de Salida]]</f>
        <v>45017</v>
      </c>
      <c r="V18" s="7" t="str">
        <f>TEXT(Sala[[#This Row],[Fecha factura]],"dddd")</f>
        <v>sábado</v>
      </c>
      <c r="W18" t="str">
        <f>IF(Sala[[#This Row],[Tiempo de degustación]]&gt;0,"Sí","No")</f>
        <v>Sí</v>
      </c>
      <c r="X18" t="str">
        <f>IF(Sala[[#This Row],[Cobrada]]="Sí",Sala[[#This Row],[Método de Pago]],"Impago")</f>
        <v>Tarjeta de crédito</v>
      </c>
      <c r="Y18">
        <f>IF(Sala[[#This Row],[Cobrada]]="Sí",Sala[[#This Row],[Propina]],0)</f>
        <v>12.17</v>
      </c>
      <c r="Z18">
        <f>(IF(Sala[[#This Row],[Cobrada]]="Sí",Sala[[#This Row],[Monto total]],0))+Sala[[#This Row],[Propina real]]</f>
        <v>149.16999999999999</v>
      </c>
    </row>
    <row r="19" spans="1:26" x14ac:dyDescent="0.25">
      <c r="A19">
        <v>9</v>
      </c>
      <c r="B19" t="s">
        <v>45</v>
      </c>
      <c r="C19">
        <v>2</v>
      </c>
      <c r="D19" s="2">
        <v>45017</v>
      </c>
      <c r="E19" s="3">
        <v>8.7499999999999994E-2</v>
      </c>
      <c r="F19" s="2">
        <v>45017</v>
      </c>
      <c r="G19" s="3">
        <v>0.18472222222222223</v>
      </c>
      <c r="H19" s="1" t="s">
        <v>16</v>
      </c>
      <c r="I19" t="s">
        <v>12</v>
      </c>
      <c r="J19" t="s">
        <v>601</v>
      </c>
      <c r="K19" s="9">
        <v>33.090000000000003</v>
      </c>
      <c r="L19" t="s">
        <v>17</v>
      </c>
      <c r="M19">
        <v>18</v>
      </c>
      <c r="N19" t="s">
        <v>14</v>
      </c>
      <c r="O19" s="3">
        <f>(Sala[[#This Row],[Hora de Salida]]-Sala[[#This Row],[Hora de llegada]])+IF(Sala[[#This Row],[Estado de la Mesa]]="Ocupada",(TEXT((15/(60*24)),"h:mm")),(TEXT(0,"h:mm")))</f>
        <v>9.7222222222222238E-2</v>
      </c>
      <c r="P19" s="43">
        <f>(SUMIF(Cocina[Número de Orden],Sala[[#This Row],[Número de Orden]],Cocina[Tiempo de Preparación]))</f>
        <v>134</v>
      </c>
      <c r="Q19" s="5" t="str">
        <f>TEXT(((SUMIF(Cocina[Número de Orden],Sala[[#This Row],[Número de Orden]],Cocina[Tiempo de Preparación]))/(60*24)),"h:mm")</f>
        <v>2:14</v>
      </c>
      <c r="R19" s="3">
        <f>MAX((Sala[[#This Row],[Tiempo de permanencia]]-Sala[[#This Row],[Tiempo de preparación (h)]]),0)</f>
        <v>4.1666666666666796E-3</v>
      </c>
      <c r="S19" s="8">
        <f>SUMIF(Cocina[Número de Orden],Sala[[#This Row],[Número de Orden]],Cocina[Ganancia bruta])</f>
        <v>251</v>
      </c>
      <c r="T19" s="8">
        <f>SUMIF(Cocina[Número de Orden],Sala[[#This Row],[Número de Orden]],Cocina[Costo Unitario])</f>
        <v>76</v>
      </c>
      <c r="U19" s="2">
        <f>Sala[[#This Row],[Fecha de Salida]]</f>
        <v>45017</v>
      </c>
      <c r="V19" s="7" t="str">
        <f>TEXT(Sala[[#This Row],[Fecha factura]],"dddd")</f>
        <v>sábado</v>
      </c>
      <c r="W19" t="str">
        <f>IF(Sala[[#This Row],[Tiempo de degustación]]&gt;0,"Sí","No")</f>
        <v>Sí</v>
      </c>
      <c r="X19" t="str">
        <f>IF(Sala[[#This Row],[Cobrada]]="Sí",Sala[[#This Row],[Método de Pago]],"Impago")</f>
        <v>Tarjeta de crédito</v>
      </c>
      <c r="Y19">
        <f>IF(Sala[[#This Row],[Cobrada]]="Sí",Sala[[#This Row],[Propina]],0)</f>
        <v>33.090000000000003</v>
      </c>
      <c r="Z19">
        <f>(IF(Sala[[#This Row],[Cobrada]]="Sí",Sala[[#This Row],[Monto total]],0))+Sala[[#This Row],[Propina real]]</f>
        <v>284.09000000000003</v>
      </c>
    </row>
    <row r="20" spans="1:26" x14ac:dyDescent="0.25">
      <c r="A20">
        <v>18</v>
      </c>
      <c r="B20" t="s">
        <v>46</v>
      </c>
      <c r="C20">
        <v>3</v>
      </c>
      <c r="D20" s="2">
        <v>45017</v>
      </c>
      <c r="E20" s="3">
        <v>2.4305555555555556E-2</v>
      </c>
      <c r="F20" s="2">
        <v>45017</v>
      </c>
      <c r="G20" s="3">
        <v>0.1451388888888889</v>
      </c>
      <c r="H20" s="1" t="s">
        <v>16</v>
      </c>
      <c r="I20" t="s">
        <v>8</v>
      </c>
      <c r="J20" t="s">
        <v>601</v>
      </c>
      <c r="K20" s="9">
        <v>17.45</v>
      </c>
      <c r="L20" t="s">
        <v>17</v>
      </c>
      <c r="M20">
        <v>19</v>
      </c>
      <c r="N20" t="s">
        <v>47</v>
      </c>
      <c r="O20" s="3">
        <f>(Sala[[#This Row],[Hora de Salida]]-Sala[[#This Row],[Hora de llegada]])+IF(Sala[[#This Row],[Estado de la Mesa]]="Ocupada",(TEXT((15/(60*24)),"h:mm")),(TEXT(0,"h:mm")))</f>
        <v>0.12083333333333335</v>
      </c>
      <c r="P20" s="43">
        <f>(SUMIF(Cocina[Número de Orden],Sala[[#This Row],[Número de Orden]],Cocina[Tiempo de Preparación]))</f>
        <v>44</v>
      </c>
      <c r="Q20" s="5" t="str">
        <f>TEXT(((SUMIF(Cocina[Número de Orden],Sala[[#This Row],[Número de Orden]],Cocina[Tiempo de Preparación]))/(60*24)),"h:mm")</f>
        <v>0:44</v>
      </c>
      <c r="R20" s="3">
        <f>MAX((Sala[[#This Row],[Tiempo de permanencia]]-Sala[[#This Row],[Tiempo de preparación (h)]]),0)</f>
        <v>9.027777777777779E-2</v>
      </c>
      <c r="S20" s="8">
        <f>SUMIF(Cocina[Número de Orden],Sala[[#This Row],[Número de Orden]],Cocina[Ganancia bruta])</f>
        <v>80</v>
      </c>
      <c r="T20" s="8">
        <f>SUMIF(Cocina[Número de Orden],Sala[[#This Row],[Número de Orden]],Cocina[Costo Unitario])</f>
        <v>25</v>
      </c>
      <c r="U20" s="2">
        <f>Sala[[#This Row],[Fecha de Salida]]</f>
        <v>45017</v>
      </c>
      <c r="V20" s="7" t="str">
        <f>TEXT(Sala[[#This Row],[Fecha factura]],"dddd")</f>
        <v>sábado</v>
      </c>
      <c r="W20" t="str">
        <f>IF(Sala[[#This Row],[Tiempo de degustación]]&gt;0,"Sí","No")</f>
        <v>Sí</v>
      </c>
      <c r="X20" t="str">
        <f>IF(Sala[[#This Row],[Cobrada]]="Sí",Sala[[#This Row],[Método de Pago]],"Impago")</f>
        <v>Tarjeta de crédito</v>
      </c>
      <c r="Y20">
        <f>IF(Sala[[#This Row],[Cobrada]]="Sí",Sala[[#This Row],[Propina]],0)</f>
        <v>17.45</v>
      </c>
      <c r="Z20">
        <f>(IF(Sala[[#This Row],[Cobrada]]="Sí",Sala[[#This Row],[Monto total]],0))+Sala[[#This Row],[Propina real]]</f>
        <v>97.45</v>
      </c>
    </row>
    <row r="21" spans="1:26" x14ac:dyDescent="0.25">
      <c r="A21">
        <v>8</v>
      </c>
      <c r="B21" t="s">
        <v>49</v>
      </c>
      <c r="C21">
        <v>2</v>
      </c>
      <c r="D21" s="2">
        <v>45017</v>
      </c>
      <c r="E21" s="3">
        <v>5.9027777777777776E-2</v>
      </c>
      <c r="F21" s="2">
        <v>45017</v>
      </c>
      <c r="G21" s="3">
        <v>0.21666666666666667</v>
      </c>
      <c r="H21" s="1" t="s">
        <v>7</v>
      </c>
      <c r="I21" t="s">
        <v>8</v>
      </c>
      <c r="J21" t="s">
        <v>601</v>
      </c>
      <c r="K21" s="9">
        <v>31.7</v>
      </c>
      <c r="L21" t="s">
        <v>9</v>
      </c>
      <c r="M21">
        <v>20</v>
      </c>
      <c r="N21" t="s">
        <v>47</v>
      </c>
      <c r="O21" s="3">
        <f>(Sala[[#This Row],[Hora de Salida]]-Sala[[#This Row],[Hora de llegada]])+IF(Sala[[#This Row],[Estado de la Mesa]]="Ocupada",(TEXT((15/(60*24)),"h:mm")),(TEXT(0,"h:mm")))</f>
        <v>0.15763888888888888</v>
      </c>
      <c r="P21" s="43">
        <f>(SUMIF(Cocina[Número de Orden],Sala[[#This Row],[Número de Orden]],Cocina[Tiempo de Preparación]))</f>
        <v>70</v>
      </c>
      <c r="Q21" s="5" t="str">
        <f>TEXT(((SUMIF(Cocina[Número de Orden],Sala[[#This Row],[Número de Orden]],Cocina[Tiempo de Preparación]))/(60*24)),"h:mm")</f>
        <v>1:10</v>
      </c>
      <c r="R21" s="3">
        <f>MAX((Sala[[#This Row],[Tiempo de permanencia]]-Sala[[#This Row],[Tiempo de preparación (h)]]),0)</f>
        <v>0.10902777777777778</v>
      </c>
      <c r="S21" s="8">
        <f>SUMIF(Cocina[Número de Orden],Sala[[#This Row],[Número de Orden]],Cocina[Ganancia bruta])</f>
        <v>178</v>
      </c>
      <c r="T21" s="8">
        <f>SUMIF(Cocina[Número de Orden],Sala[[#This Row],[Número de Orden]],Cocina[Costo Unitario])</f>
        <v>50</v>
      </c>
      <c r="U21" s="2">
        <f>Sala[[#This Row],[Fecha de Salida]]</f>
        <v>45017</v>
      </c>
      <c r="V21" s="7" t="str">
        <f>TEXT(Sala[[#This Row],[Fecha factura]],"dddd")</f>
        <v>sábado</v>
      </c>
      <c r="W21" t="str">
        <f>IF(Sala[[#This Row],[Tiempo de degustación]]&gt;0,"Sí","No")</f>
        <v>Sí</v>
      </c>
      <c r="X21" t="str">
        <f>IF(Sala[[#This Row],[Cobrada]]="Sí",Sala[[#This Row],[Método de Pago]],"Impago")</f>
        <v>Tarjeta de crédito</v>
      </c>
      <c r="Y21">
        <f>IF(Sala[[#This Row],[Cobrada]]="Sí",Sala[[#This Row],[Propina]],0)</f>
        <v>31.7</v>
      </c>
      <c r="Z21">
        <f>(IF(Sala[[#This Row],[Cobrada]]="Sí",Sala[[#This Row],[Monto total]],0))+Sala[[#This Row],[Propina real]]</f>
        <v>209.7</v>
      </c>
    </row>
    <row r="22" spans="1:26" x14ac:dyDescent="0.25">
      <c r="A22">
        <v>12</v>
      </c>
      <c r="B22" t="s">
        <v>50</v>
      </c>
      <c r="C22">
        <v>2</v>
      </c>
      <c r="D22" s="2">
        <v>45017</v>
      </c>
      <c r="E22" s="3">
        <v>0.15208333333333332</v>
      </c>
      <c r="F22" s="2">
        <v>45017</v>
      </c>
      <c r="G22" s="3">
        <v>0.24444444444444444</v>
      </c>
      <c r="H22" s="1" t="s">
        <v>7</v>
      </c>
      <c r="I22" t="s">
        <v>8</v>
      </c>
      <c r="J22" t="s">
        <v>601</v>
      </c>
      <c r="K22" s="9">
        <v>20.53</v>
      </c>
      <c r="L22" t="s">
        <v>9</v>
      </c>
      <c r="M22">
        <v>21</v>
      </c>
      <c r="N22" t="s">
        <v>34</v>
      </c>
      <c r="O22" s="3">
        <f>(Sala[[#This Row],[Hora de Salida]]-Sala[[#This Row],[Hora de llegada]])+IF(Sala[[#This Row],[Estado de la Mesa]]="Ocupada",(TEXT((15/(60*24)),"h:mm")),(TEXT(0,"h:mm")))</f>
        <v>9.2361111111111116E-2</v>
      </c>
      <c r="P22" s="43">
        <f>(SUMIF(Cocina[Número de Orden],Sala[[#This Row],[Número de Orden]],Cocina[Tiempo de Preparación]))</f>
        <v>152</v>
      </c>
      <c r="Q22" s="5" t="str">
        <f>TEXT(((SUMIF(Cocina[Número de Orden],Sala[[#This Row],[Número de Orden]],Cocina[Tiempo de Preparación]))/(60*24)),"h:mm")</f>
        <v>2:32</v>
      </c>
      <c r="R22" s="3">
        <f>MAX((Sala[[#This Row],[Tiempo de permanencia]]-Sala[[#This Row],[Tiempo de preparación (h)]]),0)</f>
        <v>0</v>
      </c>
      <c r="S22" s="8">
        <f>SUMIF(Cocina[Número de Orden],Sala[[#This Row],[Número de Orden]],Cocina[Ganancia bruta])</f>
        <v>274</v>
      </c>
      <c r="T22" s="8">
        <f>SUMIF(Cocina[Número de Orden],Sala[[#This Row],[Número de Orden]],Cocina[Costo Unitario])</f>
        <v>71</v>
      </c>
      <c r="U22" s="2">
        <f>Sala[[#This Row],[Fecha de Salida]]</f>
        <v>45017</v>
      </c>
      <c r="V22" s="7" t="str">
        <f>TEXT(Sala[[#This Row],[Fecha factura]],"dddd")</f>
        <v>sábado</v>
      </c>
      <c r="W22" t="str">
        <f>IF(Sala[[#This Row],[Tiempo de degustación]]&gt;0,"Sí","No")</f>
        <v>No</v>
      </c>
      <c r="X22" t="str">
        <f>IF(Sala[[#This Row],[Cobrada]]="Sí",Sala[[#This Row],[Método de Pago]],"Impago")</f>
        <v>Impago</v>
      </c>
      <c r="Y22">
        <f>IF(Sala[[#This Row],[Cobrada]]="Sí",Sala[[#This Row],[Propina]],0)</f>
        <v>0</v>
      </c>
      <c r="Z22">
        <f>(IF(Sala[[#This Row],[Cobrada]]="Sí",Sala[[#This Row],[Monto total]],0))+Sala[[#This Row],[Propina real]]</f>
        <v>0</v>
      </c>
    </row>
    <row r="23" spans="1:26" x14ac:dyDescent="0.25">
      <c r="A23">
        <v>15</v>
      </c>
      <c r="B23" t="s">
        <v>51</v>
      </c>
      <c r="C23">
        <v>1</v>
      </c>
      <c r="D23" s="2">
        <v>45017</v>
      </c>
      <c r="E23" s="3">
        <v>9.4444444444444442E-2</v>
      </c>
      <c r="F23" s="2">
        <v>45017</v>
      </c>
      <c r="G23" s="3">
        <v>0.19930555555555557</v>
      </c>
      <c r="H23" s="1" t="s">
        <v>23</v>
      </c>
      <c r="I23" t="s">
        <v>8</v>
      </c>
      <c r="J23" t="s">
        <v>601</v>
      </c>
      <c r="K23" s="9">
        <v>45.41</v>
      </c>
      <c r="L23" t="s">
        <v>17</v>
      </c>
      <c r="M23">
        <v>22</v>
      </c>
      <c r="N23" t="s">
        <v>44</v>
      </c>
      <c r="O23" s="3">
        <f>(Sala[[#This Row],[Hora de Salida]]-Sala[[#This Row],[Hora de llegada]])+IF(Sala[[#This Row],[Estado de la Mesa]]="Ocupada",(TEXT((15/(60*24)),"h:mm")),(TEXT(0,"h:mm")))</f>
        <v>0.10486111111111113</v>
      </c>
      <c r="P23" s="43">
        <f>(SUMIF(Cocina[Número de Orden],Sala[[#This Row],[Número de Orden]],Cocina[Tiempo de Preparación]))</f>
        <v>123</v>
      </c>
      <c r="Q23" s="5" t="str">
        <f>TEXT(((SUMIF(Cocina[Número de Orden],Sala[[#This Row],[Número de Orden]],Cocina[Tiempo de Preparación]))/(60*24)),"h:mm")</f>
        <v>2:03</v>
      </c>
      <c r="R23" s="3">
        <f>MAX((Sala[[#This Row],[Tiempo de permanencia]]-Sala[[#This Row],[Tiempo de preparación (h)]]),0)</f>
        <v>1.9444444444444459E-2</v>
      </c>
      <c r="S23" s="8">
        <f>SUMIF(Cocina[Número de Orden],Sala[[#This Row],[Número de Orden]],Cocina[Ganancia bruta])</f>
        <v>213</v>
      </c>
      <c r="T23" s="8">
        <f>SUMIF(Cocina[Número de Orden],Sala[[#This Row],[Número de Orden]],Cocina[Costo Unitario])</f>
        <v>68</v>
      </c>
      <c r="U23" s="2">
        <f>Sala[[#This Row],[Fecha de Salida]]</f>
        <v>45017</v>
      </c>
      <c r="V23" s="7" t="str">
        <f>TEXT(Sala[[#This Row],[Fecha factura]],"dddd")</f>
        <v>sábado</v>
      </c>
      <c r="W23" t="str">
        <f>IF(Sala[[#This Row],[Tiempo de degustación]]&gt;0,"Sí","No")</f>
        <v>Sí</v>
      </c>
      <c r="X23" t="str">
        <f>IF(Sala[[#This Row],[Cobrada]]="Sí",Sala[[#This Row],[Método de Pago]],"Impago")</f>
        <v>Tarjeta de crédito</v>
      </c>
      <c r="Y23">
        <f>IF(Sala[[#This Row],[Cobrada]]="Sí",Sala[[#This Row],[Propina]],0)</f>
        <v>45.41</v>
      </c>
      <c r="Z23">
        <f>(IF(Sala[[#This Row],[Cobrada]]="Sí",Sala[[#This Row],[Monto total]],0))+Sala[[#This Row],[Propina real]]</f>
        <v>258.40999999999997</v>
      </c>
    </row>
    <row r="24" spans="1:26" x14ac:dyDescent="0.25">
      <c r="A24">
        <v>1</v>
      </c>
      <c r="B24" t="s">
        <v>52</v>
      </c>
      <c r="C24">
        <v>5</v>
      </c>
      <c r="D24" s="2">
        <v>45017</v>
      </c>
      <c r="E24" s="3">
        <v>0.11388888888888889</v>
      </c>
      <c r="F24" s="2">
        <v>45017</v>
      </c>
      <c r="G24" s="3">
        <v>0.17291666666666666</v>
      </c>
      <c r="H24" s="1" t="s">
        <v>20</v>
      </c>
      <c r="I24" t="s">
        <v>25</v>
      </c>
      <c r="J24" t="s">
        <v>601</v>
      </c>
      <c r="K24" s="9">
        <v>38.46</v>
      </c>
      <c r="L24" t="s">
        <v>17</v>
      </c>
      <c r="M24">
        <v>23</v>
      </c>
      <c r="N24" t="s">
        <v>47</v>
      </c>
      <c r="O24" s="3">
        <f>(Sala[[#This Row],[Hora de Salida]]-Sala[[#This Row],[Hora de llegada]])+IF(Sala[[#This Row],[Estado de la Mesa]]="Ocupada",(TEXT((15/(60*24)),"h:mm")),(TEXT(0,"h:mm")))</f>
        <v>5.9027777777777776E-2</v>
      </c>
      <c r="P24" s="43">
        <f>(SUMIF(Cocina[Número de Orden],Sala[[#This Row],[Número de Orden]],Cocina[Tiempo de Preparación]))</f>
        <v>63</v>
      </c>
      <c r="Q24" s="5" t="str">
        <f>TEXT(((SUMIF(Cocina[Número de Orden],Sala[[#This Row],[Número de Orden]],Cocina[Tiempo de Preparación]))/(60*24)),"h:mm")</f>
        <v>1:03</v>
      </c>
      <c r="R24" s="3">
        <f>MAX((Sala[[#This Row],[Tiempo de permanencia]]-Sala[[#This Row],[Tiempo de preparación (h)]]),0)</f>
        <v>1.5277777777777779E-2</v>
      </c>
      <c r="S24" s="8">
        <f>SUMIF(Cocina[Número de Orden],Sala[[#This Row],[Número de Orden]],Cocina[Ganancia bruta])</f>
        <v>138</v>
      </c>
      <c r="T24" s="8">
        <f>SUMIF(Cocina[Número de Orden],Sala[[#This Row],[Número de Orden]],Cocina[Costo Unitario])</f>
        <v>27</v>
      </c>
      <c r="U24" s="2">
        <f>Sala[[#This Row],[Fecha de Salida]]</f>
        <v>45017</v>
      </c>
      <c r="V24" s="7" t="str">
        <f>TEXT(Sala[[#This Row],[Fecha factura]],"dddd")</f>
        <v>sábado</v>
      </c>
      <c r="W24" t="str">
        <f>IF(Sala[[#This Row],[Tiempo de degustación]]&gt;0,"Sí","No")</f>
        <v>Sí</v>
      </c>
      <c r="X24" t="str">
        <f>IF(Sala[[#This Row],[Cobrada]]="Sí",Sala[[#This Row],[Método de Pago]],"Impago")</f>
        <v>Tarjeta de crédito</v>
      </c>
      <c r="Y24">
        <f>IF(Sala[[#This Row],[Cobrada]]="Sí",Sala[[#This Row],[Propina]],0)</f>
        <v>38.46</v>
      </c>
      <c r="Z24">
        <f>(IF(Sala[[#This Row],[Cobrada]]="Sí",Sala[[#This Row],[Monto total]],0))+Sala[[#This Row],[Propina real]]</f>
        <v>176.46</v>
      </c>
    </row>
    <row r="25" spans="1:26" x14ac:dyDescent="0.25">
      <c r="A25">
        <v>5</v>
      </c>
      <c r="B25" t="s">
        <v>53</v>
      </c>
      <c r="C25">
        <v>5</v>
      </c>
      <c r="D25" s="2">
        <v>45017</v>
      </c>
      <c r="E25" s="3">
        <v>0.12569444444444444</v>
      </c>
      <c r="F25" s="2">
        <v>45017</v>
      </c>
      <c r="G25" s="3">
        <v>0.2638888888888889</v>
      </c>
      <c r="H25" s="1" t="s">
        <v>7</v>
      </c>
      <c r="I25" t="s">
        <v>8</v>
      </c>
      <c r="J25" t="s">
        <v>601</v>
      </c>
      <c r="K25" s="9">
        <v>38.18</v>
      </c>
      <c r="L25" t="s">
        <v>28</v>
      </c>
      <c r="M25">
        <v>24</v>
      </c>
      <c r="N25" t="s">
        <v>29</v>
      </c>
      <c r="O25" s="3">
        <f>(Sala[[#This Row],[Hora de Salida]]-Sala[[#This Row],[Hora de llegada]])+IF(Sala[[#This Row],[Estado de la Mesa]]="Ocupada",(TEXT((15/(60*24)),"h:mm")),(TEXT(0,"h:mm")))</f>
        <v>0.14861111111111111</v>
      </c>
      <c r="P25" s="43">
        <f>(SUMIF(Cocina[Número de Orden],Sala[[#This Row],[Número de Orden]],Cocina[Tiempo de Preparación]))</f>
        <v>180</v>
      </c>
      <c r="Q25" s="5" t="str">
        <f>TEXT(((SUMIF(Cocina[Número de Orden],Sala[[#This Row],[Número de Orden]],Cocina[Tiempo de Preparación]))/(60*24)),"h:mm")</f>
        <v>3:00</v>
      </c>
      <c r="R25" s="3">
        <f>MAX((Sala[[#This Row],[Tiempo de permanencia]]-Sala[[#This Row],[Tiempo de preparación (h)]]),0)</f>
        <v>2.361111111111111E-2</v>
      </c>
      <c r="S25" s="8">
        <f>SUMIF(Cocina[Número de Orden],Sala[[#This Row],[Número de Orden]],Cocina[Ganancia bruta])</f>
        <v>233</v>
      </c>
      <c r="T25" s="8">
        <f>SUMIF(Cocina[Número de Orden],Sala[[#This Row],[Número de Orden]],Cocina[Costo Unitario])</f>
        <v>71</v>
      </c>
      <c r="U25" s="2">
        <f>Sala[[#This Row],[Fecha de Salida]]</f>
        <v>45017</v>
      </c>
      <c r="V25" s="7" t="str">
        <f>TEXT(Sala[[#This Row],[Fecha factura]],"dddd")</f>
        <v>sábado</v>
      </c>
      <c r="W25" t="str">
        <f>IF(Sala[[#This Row],[Tiempo de degustación]]&gt;0,"Sí","No")</f>
        <v>Sí</v>
      </c>
      <c r="X25" t="str">
        <f>IF(Sala[[#This Row],[Cobrada]]="Sí",Sala[[#This Row],[Método de Pago]],"Impago")</f>
        <v>Tarjeta de crédito</v>
      </c>
      <c r="Y25">
        <f>IF(Sala[[#This Row],[Cobrada]]="Sí",Sala[[#This Row],[Propina]],0)</f>
        <v>38.18</v>
      </c>
      <c r="Z25">
        <f>(IF(Sala[[#This Row],[Cobrada]]="Sí",Sala[[#This Row],[Monto total]],0))+Sala[[#This Row],[Propina real]]</f>
        <v>271.18</v>
      </c>
    </row>
    <row r="26" spans="1:26" x14ac:dyDescent="0.25">
      <c r="A26">
        <v>12</v>
      </c>
      <c r="B26" t="s">
        <v>54</v>
      </c>
      <c r="C26">
        <v>5</v>
      </c>
      <c r="D26" s="2">
        <v>45017</v>
      </c>
      <c r="E26" s="3">
        <v>0.12569444444444444</v>
      </c>
      <c r="F26" s="2">
        <v>45017</v>
      </c>
      <c r="G26" s="3">
        <v>0.2076388888888889</v>
      </c>
      <c r="H26" s="1" t="s">
        <v>20</v>
      </c>
      <c r="I26" t="s">
        <v>25</v>
      </c>
      <c r="J26" t="s">
        <v>600</v>
      </c>
      <c r="K26" s="9">
        <v>46.15</v>
      </c>
      <c r="L26" t="s">
        <v>28</v>
      </c>
      <c r="M26">
        <v>25</v>
      </c>
      <c r="N26" t="s">
        <v>14</v>
      </c>
      <c r="O26" s="3">
        <f>(Sala[[#This Row],[Hora de Salida]]-Sala[[#This Row],[Hora de llegada]])+IF(Sala[[#This Row],[Estado de la Mesa]]="Ocupada",(TEXT((15/(60*24)),"h:mm")),(TEXT(0,"h:mm")))</f>
        <v>9.236111111111113E-2</v>
      </c>
      <c r="P26" s="43">
        <f>(SUMIF(Cocina[Número de Orden],Sala[[#This Row],[Número de Orden]],Cocina[Tiempo de Preparación]))</f>
        <v>35</v>
      </c>
      <c r="Q26" s="5" t="str">
        <f>TEXT(((SUMIF(Cocina[Número de Orden],Sala[[#This Row],[Número de Orden]],Cocina[Tiempo de Preparación]))/(60*24)),"h:mm")</f>
        <v>0:35</v>
      </c>
      <c r="R26" s="3">
        <f>MAX((Sala[[#This Row],[Tiempo de permanencia]]-Sala[[#This Row],[Tiempo de preparación (h)]]),0)</f>
        <v>6.8055555555555577E-2</v>
      </c>
      <c r="S26" s="8">
        <f>SUMIF(Cocina[Número de Orden],Sala[[#This Row],[Número de Orden]],Cocina[Ganancia bruta])</f>
        <v>34</v>
      </c>
      <c r="T26" s="8">
        <f>SUMIF(Cocina[Número de Orden],Sala[[#This Row],[Número de Orden]],Cocina[Costo Unitario])</f>
        <v>20</v>
      </c>
      <c r="U26" s="2">
        <f>Sala[[#This Row],[Fecha de Salida]]</f>
        <v>45017</v>
      </c>
      <c r="V26" s="7" t="str">
        <f>TEXT(Sala[[#This Row],[Fecha factura]],"dddd")</f>
        <v>sábado</v>
      </c>
      <c r="W26" t="str">
        <f>IF(Sala[[#This Row],[Tiempo de degustación]]&gt;0,"Sí","No")</f>
        <v>Sí</v>
      </c>
      <c r="X26" t="str">
        <f>IF(Sala[[#This Row],[Cobrada]]="Sí",Sala[[#This Row],[Método de Pago]],"Impago")</f>
        <v>Tarjeta de débito</v>
      </c>
      <c r="Y26">
        <f>IF(Sala[[#This Row],[Cobrada]]="Sí",Sala[[#This Row],[Propina]],0)</f>
        <v>46.15</v>
      </c>
      <c r="Z26">
        <f>(IF(Sala[[#This Row],[Cobrada]]="Sí",Sala[[#This Row],[Monto total]],0))+Sala[[#This Row],[Propina real]]</f>
        <v>80.150000000000006</v>
      </c>
    </row>
    <row r="27" spans="1:26" x14ac:dyDescent="0.25">
      <c r="A27">
        <v>18</v>
      </c>
      <c r="B27" t="s">
        <v>56</v>
      </c>
      <c r="C27">
        <v>2</v>
      </c>
      <c r="D27" s="2">
        <v>45017</v>
      </c>
      <c r="E27" s="3">
        <v>8.611111111111111E-2</v>
      </c>
      <c r="F27" s="2">
        <v>45017</v>
      </c>
      <c r="G27" s="3">
        <v>0.24097222222222223</v>
      </c>
      <c r="H27" s="1" t="s">
        <v>20</v>
      </c>
      <c r="I27" t="s">
        <v>12</v>
      </c>
      <c r="J27" t="s">
        <v>601</v>
      </c>
      <c r="K27" s="9">
        <v>10.37</v>
      </c>
      <c r="L27" t="s">
        <v>28</v>
      </c>
      <c r="M27">
        <v>26</v>
      </c>
      <c r="N27" t="s">
        <v>34</v>
      </c>
      <c r="O27" s="3">
        <f>(Sala[[#This Row],[Hora de Salida]]-Sala[[#This Row],[Hora de llegada]])+IF(Sala[[#This Row],[Estado de la Mesa]]="Ocupada",(TEXT((15/(60*24)),"h:mm")),(TEXT(0,"h:mm")))</f>
        <v>0.16527777777777777</v>
      </c>
      <c r="P27" s="43">
        <f>(SUMIF(Cocina[Número de Orden],Sala[[#This Row],[Número de Orden]],Cocina[Tiempo de Preparación]))</f>
        <v>109</v>
      </c>
      <c r="Q27" s="5" t="str">
        <f>TEXT(((SUMIF(Cocina[Número de Orden],Sala[[#This Row],[Número de Orden]],Cocina[Tiempo de Preparación]))/(60*24)),"h:mm")</f>
        <v>1:49</v>
      </c>
      <c r="R27" s="3">
        <f>MAX((Sala[[#This Row],[Tiempo de permanencia]]-Sala[[#This Row],[Tiempo de preparación (h)]]),0)</f>
        <v>8.9583333333333334E-2</v>
      </c>
      <c r="S27" s="8">
        <f>SUMIF(Cocina[Número de Orden],Sala[[#This Row],[Número de Orden]],Cocina[Ganancia bruta])</f>
        <v>126</v>
      </c>
      <c r="T27" s="8">
        <f>SUMIF(Cocina[Número de Orden],Sala[[#This Row],[Número de Orden]],Cocina[Costo Unitario])</f>
        <v>37</v>
      </c>
      <c r="U27" s="2">
        <f>Sala[[#This Row],[Fecha de Salida]]</f>
        <v>45017</v>
      </c>
      <c r="V27" s="7" t="str">
        <f>TEXT(Sala[[#This Row],[Fecha factura]],"dddd")</f>
        <v>sábado</v>
      </c>
      <c r="W27" t="str">
        <f>IF(Sala[[#This Row],[Tiempo de degustación]]&gt;0,"Sí","No")</f>
        <v>Sí</v>
      </c>
      <c r="X27" t="str">
        <f>IF(Sala[[#This Row],[Cobrada]]="Sí",Sala[[#This Row],[Método de Pago]],"Impago")</f>
        <v>Tarjeta de crédito</v>
      </c>
      <c r="Y27">
        <f>IF(Sala[[#This Row],[Cobrada]]="Sí",Sala[[#This Row],[Propina]],0)</f>
        <v>10.37</v>
      </c>
      <c r="Z27">
        <f>(IF(Sala[[#This Row],[Cobrada]]="Sí",Sala[[#This Row],[Monto total]],0))+Sala[[#This Row],[Propina real]]</f>
        <v>136.37</v>
      </c>
    </row>
    <row r="28" spans="1:26" x14ac:dyDescent="0.25">
      <c r="A28">
        <v>4</v>
      </c>
      <c r="B28" t="s">
        <v>57</v>
      </c>
      <c r="C28">
        <v>2</v>
      </c>
      <c r="D28" s="2">
        <v>45017</v>
      </c>
      <c r="E28" s="3">
        <v>5.486111111111111E-2</v>
      </c>
      <c r="F28" s="2">
        <v>45017</v>
      </c>
      <c r="G28" s="3">
        <v>0.10208333333333333</v>
      </c>
      <c r="H28" s="1" t="s">
        <v>20</v>
      </c>
      <c r="I28" t="s">
        <v>8</v>
      </c>
      <c r="J28" t="s">
        <v>601</v>
      </c>
      <c r="K28" s="9">
        <v>19.27</v>
      </c>
      <c r="L28" t="s">
        <v>28</v>
      </c>
      <c r="M28">
        <v>27</v>
      </c>
      <c r="N28" t="s">
        <v>18</v>
      </c>
      <c r="O28" s="3">
        <f>(Sala[[#This Row],[Hora de Salida]]-Sala[[#This Row],[Hora de llegada]])+IF(Sala[[#This Row],[Estado de la Mesa]]="Ocupada",(TEXT((15/(60*24)),"h:mm")),(TEXT(0,"h:mm")))</f>
        <v>5.7638888888888885E-2</v>
      </c>
      <c r="P28" s="43">
        <f>(SUMIF(Cocina[Número de Orden],Sala[[#This Row],[Número de Orden]],Cocina[Tiempo de Preparación]))</f>
        <v>55</v>
      </c>
      <c r="Q28" s="5" t="str">
        <f>TEXT(((SUMIF(Cocina[Número de Orden],Sala[[#This Row],[Número de Orden]],Cocina[Tiempo de Preparación]))/(60*24)),"h:mm")</f>
        <v>0:55</v>
      </c>
      <c r="R28" s="3">
        <f>MAX((Sala[[#This Row],[Tiempo de permanencia]]-Sala[[#This Row],[Tiempo de preparación (h)]]),0)</f>
        <v>1.9444444444444438E-2</v>
      </c>
      <c r="S28" s="8">
        <f>SUMIF(Cocina[Número de Orden],Sala[[#This Row],[Número de Orden]],Cocina[Ganancia bruta])</f>
        <v>61</v>
      </c>
      <c r="T28" s="8">
        <f>SUMIF(Cocina[Número de Orden],Sala[[#This Row],[Número de Orden]],Cocina[Costo Unitario])</f>
        <v>36</v>
      </c>
      <c r="U28" s="2">
        <f>Sala[[#This Row],[Fecha de Salida]]</f>
        <v>45017</v>
      </c>
      <c r="V28" s="7" t="str">
        <f>TEXT(Sala[[#This Row],[Fecha factura]],"dddd")</f>
        <v>sábado</v>
      </c>
      <c r="W28" t="str">
        <f>IF(Sala[[#This Row],[Tiempo de degustación]]&gt;0,"Sí","No")</f>
        <v>Sí</v>
      </c>
      <c r="X28" t="str">
        <f>IF(Sala[[#This Row],[Cobrada]]="Sí",Sala[[#This Row],[Método de Pago]],"Impago")</f>
        <v>Tarjeta de crédito</v>
      </c>
      <c r="Y28">
        <f>IF(Sala[[#This Row],[Cobrada]]="Sí",Sala[[#This Row],[Propina]],0)</f>
        <v>19.27</v>
      </c>
      <c r="Z28">
        <f>(IF(Sala[[#This Row],[Cobrada]]="Sí",Sala[[#This Row],[Monto total]],0))+Sala[[#This Row],[Propina real]]</f>
        <v>80.27</v>
      </c>
    </row>
    <row r="29" spans="1:26" x14ac:dyDescent="0.25">
      <c r="A29">
        <v>2</v>
      </c>
      <c r="B29" t="s">
        <v>58</v>
      </c>
      <c r="C29">
        <v>2</v>
      </c>
      <c r="D29" s="2">
        <v>45017</v>
      </c>
      <c r="E29" s="3">
        <v>3.4027777777777775E-2</v>
      </c>
      <c r="F29" s="2">
        <v>45017</v>
      </c>
      <c r="G29" s="3">
        <v>0.1361111111111111</v>
      </c>
      <c r="H29" s="1" t="s">
        <v>23</v>
      </c>
      <c r="I29" t="s">
        <v>25</v>
      </c>
      <c r="J29" t="s">
        <v>601</v>
      </c>
      <c r="K29" s="9">
        <v>41.22</v>
      </c>
      <c r="L29" t="s">
        <v>9</v>
      </c>
      <c r="M29">
        <v>28</v>
      </c>
      <c r="N29" t="s">
        <v>59</v>
      </c>
      <c r="O29" s="3">
        <f>(Sala[[#This Row],[Hora de Salida]]-Sala[[#This Row],[Hora de llegada]])+IF(Sala[[#This Row],[Estado de la Mesa]]="Ocupada",(TEXT((15/(60*24)),"h:mm")),(TEXT(0,"h:mm")))</f>
        <v>0.10208333333333333</v>
      </c>
      <c r="P29" s="43">
        <f>(SUMIF(Cocina[Número de Orden],Sala[[#This Row],[Número de Orden]],Cocina[Tiempo de Preparación]))</f>
        <v>56</v>
      </c>
      <c r="Q29" s="5" t="str">
        <f>TEXT(((SUMIF(Cocina[Número de Orden],Sala[[#This Row],[Número de Orden]],Cocina[Tiempo de Preparación]))/(60*24)),"h:mm")</f>
        <v>0:56</v>
      </c>
      <c r="R29" s="3">
        <f>MAX((Sala[[#This Row],[Tiempo de permanencia]]-Sala[[#This Row],[Tiempo de preparación (h)]]),0)</f>
        <v>6.3194444444444442E-2</v>
      </c>
      <c r="S29" s="8">
        <f>SUMIF(Cocina[Número de Orden],Sala[[#This Row],[Número de Orden]],Cocina[Ganancia bruta])</f>
        <v>94</v>
      </c>
      <c r="T29" s="8">
        <f>SUMIF(Cocina[Número de Orden],Sala[[#This Row],[Número de Orden]],Cocina[Costo Unitario])</f>
        <v>27</v>
      </c>
      <c r="U29" s="2">
        <f>Sala[[#This Row],[Fecha de Salida]]</f>
        <v>45017</v>
      </c>
      <c r="V29" s="7" t="str">
        <f>TEXT(Sala[[#This Row],[Fecha factura]],"dddd")</f>
        <v>sábado</v>
      </c>
      <c r="W29" t="str">
        <f>IF(Sala[[#This Row],[Tiempo de degustación]]&gt;0,"Sí","No")</f>
        <v>Sí</v>
      </c>
      <c r="X29" t="str">
        <f>IF(Sala[[#This Row],[Cobrada]]="Sí",Sala[[#This Row],[Método de Pago]],"Impago")</f>
        <v>Tarjeta de crédito</v>
      </c>
      <c r="Y29">
        <f>IF(Sala[[#This Row],[Cobrada]]="Sí",Sala[[#This Row],[Propina]],0)</f>
        <v>41.22</v>
      </c>
      <c r="Z29">
        <f>(IF(Sala[[#This Row],[Cobrada]]="Sí",Sala[[#This Row],[Monto total]],0))+Sala[[#This Row],[Propina real]]</f>
        <v>135.22</v>
      </c>
    </row>
    <row r="30" spans="1:26" x14ac:dyDescent="0.25">
      <c r="A30">
        <v>20</v>
      </c>
      <c r="B30" t="s">
        <v>60</v>
      </c>
      <c r="C30">
        <v>5</v>
      </c>
      <c r="D30" s="2">
        <v>45017</v>
      </c>
      <c r="E30" s="3">
        <v>0.12638888888888888</v>
      </c>
      <c r="F30" s="2">
        <v>45017</v>
      </c>
      <c r="G30" s="3">
        <v>0.25694444444444442</v>
      </c>
      <c r="H30" s="1" t="s">
        <v>16</v>
      </c>
      <c r="I30" t="s">
        <v>8</v>
      </c>
      <c r="J30" t="s">
        <v>601</v>
      </c>
      <c r="K30" s="9">
        <v>14.83</v>
      </c>
      <c r="L30" t="s">
        <v>28</v>
      </c>
      <c r="M30">
        <v>29</v>
      </c>
      <c r="N30" t="s">
        <v>44</v>
      </c>
      <c r="O30" s="3">
        <f>(Sala[[#This Row],[Hora de Salida]]-Sala[[#This Row],[Hora de llegada]])+IF(Sala[[#This Row],[Estado de la Mesa]]="Ocupada",(TEXT((15/(60*24)),"h:mm")),(TEXT(0,"h:mm")))</f>
        <v>0.14097222222222219</v>
      </c>
      <c r="P30" s="43">
        <f>(SUMIF(Cocina[Número de Orden],Sala[[#This Row],[Número de Orden]],Cocina[Tiempo de Preparación]))</f>
        <v>71</v>
      </c>
      <c r="Q30" s="5" t="str">
        <f>TEXT(((SUMIF(Cocina[Número de Orden],Sala[[#This Row],[Número de Orden]],Cocina[Tiempo de Preparación]))/(60*24)),"h:mm")</f>
        <v>1:11</v>
      </c>
      <c r="R30" s="3">
        <f>MAX((Sala[[#This Row],[Tiempo de permanencia]]-Sala[[#This Row],[Tiempo de preparación (h)]]),0)</f>
        <v>9.1666666666666646E-2</v>
      </c>
      <c r="S30" s="8">
        <f>SUMIF(Cocina[Número de Orden],Sala[[#This Row],[Número de Orden]],Cocina[Ganancia bruta])</f>
        <v>173</v>
      </c>
      <c r="T30" s="8">
        <f>SUMIF(Cocina[Número de Orden],Sala[[#This Row],[Número de Orden]],Cocina[Costo Unitario])</f>
        <v>44</v>
      </c>
      <c r="U30" s="2">
        <f>Sala[[#This Row],[Fecha de Salida]]</f>
        <v>45017</v>
      </c>
      <c r="V30" s="7" t="str">
        <f>TEXT(Sala[[#This Row],[Fecha factura]],"dddd")</f>
        <v>sábado</v>
      </c>
      <c r="W30" t="str">
        <f>IF(Sala[[#This Row],[Tiempo de degustación]]&gt;0,"Sí","No")</f>
        <v>Sí</v>
      </c>
      <c r="X30" t="str">
        <f>IF(Sala[[#This Row],[Cobrada]]="Sí",Sala[[#This Row],[Método de Pago]],"Impago")</f>
        <v>Tarjeta de crédito</v>
      </c>
      <c r="Y30">
        <f>IF(Sala[[#This Row],[Cobrada]]="Sí",Sala[[#This Row],[Propina]],0)</f>
        <v>14.83</v>
      </c>
      <c r="Z30">
        <f>(IF(Sala[[#This Row],[Cobrada]]="Sí",Sala[[#This Row],[Monto total]],0))+Sala[[#This Row],[Propina real]]</f>
        <v>187.83</v>
      </c>
    </row>
    <row r="31" spans="1:26" x14ac:dyDescent="0.25">
      <c r="A31">
        <v>14</v>
      </c>
      <c r="B31" t="s">
        <v>61</v>
      </c>
      <c r="C31">
        <v>4</v>
      </c>
      <c r="D31" s="2">
        <v>45017</v>
      </c>
      <c r="E31" s="3">
        <v>0.12152777777777778</v>
      </c>
      <c r="F31" s="2">
        <v>45017</v>
      </c>
      <c r="G31" s="3">
        <v>0.2590277777777778</v>
      </c>
      <c r="H31" s="1" t="s">
        <v>23</v>
      </c>
      <c r="I31" t="s">
        <v>8</v>
      </c>
      <c r="J31" t="s">
        <v>13</v>
      </c>
      <c r="K31" s="9">
        <v>26.29</v>
      </c>
      <c r="L31" t="s">
        <v>17</v>
      </c>
      <c r="M31">
        <v>30</v>
      </c>
      <c r="N31" t="s">
        <v>29</v>
      </c>
      <c r="O31" s="3">
        <f>(Sala[[#This Row],[Hora de Salida]]-Sala[[#This Row],[Hora de llegada]])+IF(Sala[[#This Row],[Estado de la Mesa]]="Ocupada",(TEXT((15/(60*24)),"h:mm")),(TEXT(0,"h:mm")))</f>
        <v>0.13750000000000001</v>
      </c>
      <c r="P31" s="43">
        <f>(SUMIF(Cocina[Número de Orden],Sala[[#This Row],[Número de Orden]],Cocina[Tiempo de Preparación]))</f>
        <v>69</v>
      </c>
      <c r="Q31" s="5" t="str">
        <f>TEXT(((SUMIF(Cocina[Número de Orden],Sala[[#This Row],[Número de Orden]],Cocina[Tiempo de Preparación]))/(60*24)),"h:mm")</f>
        <v>1:09</v>
      </c>
      <c r="R31" s="3">
        <f>MAX((Sala[[#This Row],[Tiempo de permanencia]]-Sala[[#This Row],[Tiempo de preparación (h)]]),0)</f>
        <v>8.9583333333333348E-2</v>
      </c>
      <c r="S31" s="8">
        <f>SUMIF(Cocina[Número de Orden],Sala[[#This Row],[Número de Orden]],Cocina[Ganancia bruta])</f>
        <v>112</v>
      </c>
      <c r="T31" s="8">
        <f>SUMIF(Cocina[Número de Orden],Sala[[#This Row],[Número de Orden]],Cocina[Costo Unitario])</f>
        <v>27</v>
      </c>
      <c r="U31" s="2">
        <f>Sala[[#This Row],[Fecha de Salida]]</f>
        <v>45017</v>
      </c>
      <c r="V31" s="7" t="str">
        <f>TEXT(Sala[[#This Row],[Fecha factura]],"dddd")</f>
        <v>sábado</v>
      </c>
      <c r="W31" t="str">
        <f>IF(Sala[[#This Row],[Tiempo de degustación]]&gt;0,"Sí","No")</f>
        <v>Sí</v>
      </c>
      <c r="X31" t="str">
        <f>IF(Sala[[#This Row],[Cobrada]]="Sí",Sala[[#This Row],[Método de Pago]],"Impago")</f>
        <v>Efectivo</v>
      </c>
      <c r="Y31">
        <f>IF(Sala[[#This Row],[Cobrada]]="Sí",Sala[[#This Row],[Propina]],0)</f>
        <v>26.29</v>
      </c>
      <c r="Z31">
        <f>(IF(Sala[[#This Row],[Cobrada]]="Sí",Sala[[#This Row],[Monto total]],0))+Sala[[#This Row],[Propina real]]</f>
        <v>138.29</v>
      </c>
    </row>
    <row r="32" spans="1:26" x14ac:dyDescent="0.25">
      <c r="A32">
        <v>13</v>
      </c>
      <c r="B32" t="s">
        <v>62</v>
      </c>
      <c r="C32">
        <v>3</v>
      </c>
      <c r="D32" s="2">
        <v>45017</v>
      </c>
      <c r="E32" s="3">
        <v>0.11874999999999999</v>
      </c>
      <c r="F32" s="2">
        <v>45017</v>
      </c>
      <c r="G32" s="3">
        <v>0.25138888888888888</v>
      </c>
      <c r="H32" s="1" t="s">
        <v>16</v>
      </c>
      <c r="I32" t="s">
        <v>12</v>
      </c>
      <c r="J32" t="s">
        <v>601</v>
      </c>
      <c r="K32" s="9">
        <v>19.809999999999999</v>
      </c>
      <c r="L32" t="s">
        <v>28</v>
      </c>
      <c r="M32">
        <v>31</v>
      </c>
      <c r="N32" t="s">
        <v>59</v>
      </c>
      <c r="O32" s="3">
        <f>(Sala[[#This Row],[Hora de Salida]]-Sala[[#This Row],[Hora de llegada]])+IF(Sala[[#This Row],[Estado de la Mesa]]="Ocupada",(TEXT((15/(60*24)),"h:mm")),(TEXT(0,"h:mm")))</f>
        <v>0.14305555555555555</v>
      </c>
      <c r="P32" s="43">
        <f>(SUMIF(Cocina[Número de Orden],Sala[[#This Row],[Número de Orden]],Cocina[Tiempo de Preparación]))</f>
        <v>105</v>
      </c>
      <c r="Q32" s="5" t="str">
        <f>TEXT(((SUMIF(Cocina[Número de Orden],Sala[[#This Row],[Número de Orden]],Cocina[Tiempo de Preparación]))/(60*24)),"h:mm")</f>
        <v>1:45</v>
      </c>
      <c r="R32" s="3">
        <f>MAX((Sala[[#This Row],[Tiempo de permanencia]]-Sala[[#This Row],[Tiempo de preparación (h)]]),0)</f>
        <v>7.0138888888888876E-2</v>
      </c>
      <c r="S32" s="8">
        <f>SUMIF(Cocina[Número de Orden],Sala[[#This Row],[Número de Orden]],Cocina[Ganancia bruta])</f>
        <v>67</v>
      </c>
      <c r="T32" s="8">
        <f>SUMIF(Cocina[Número de Orden],Sala[[#This Row],[Número de Orden]],Cocina[Costo Unitario])</f>
        <v>28</v>
      </c>
      <c r="U32" s="2">
        <f>Sala[[#This Row],[Fecha de Salida]]</f>
        <v>45017</v>
      </c>
      <c r="V32" s="7" t="str">
        <f>TEXT(Sala[[#This Row],[Fecha factura]],"dddd")</f>
        <v>sábado</v>
      </c>
      <c r="W32" t="str">
        <f>IF(Sala[[#This Row],[Tiempo de degustación]]&gt;0,"Sí","No")</f>
        <v>Sí</v>
      </c>
      <c r="X32" t="str">
        <f>IF(Sala[[#This Row],[Cobrada]]="Sí",Sala[[#This Row],[Método de Pago]],"Impago")</f>
        <v>Tarjeta de crédito</v>
      </c>
      <c r="Y32">
        <f>IF(Sala[[#This Row],[Cobrada]]="Sí",Sala[[#This Row],[Propina]],0)</f>
        <v>19.809999999999999</v>
      </c>
      <c r="Z32">
        <f>(IF(Sala[[#This Row],[Cobrada]]="Sí",Sala[[#This Row],[Monto total]],0))+Sala[[#This Row],[Propina real]]</f>
        <v>86.81</v>
      </c>
    </row>
    <row r="33" spans="1:26" x14ac:dyDescent="0.25">
      <c r="A33">
        <v>5</v>
      </c>
      <c r="B33" t="s">
        <v>63</v>
      </c>
      <c r="C33">
        <v>1</v>
      </c>
      <c r="D33" s="2">
        <v>45017</v>
      </c>
      <c r="E33" s="3">
        <v>0.13055555555555556</v>
      </c>
      <c r="F33" s="2">
        <v>45017</v>
      </c>
      <c r="G33" s="3">
        <v>0.28402777777777777</v>
      </c>
      <c r="H33" s="1" t="s">
        <v>11</v>
      </c>
      <c r="I33" t="s">
        <v>8</v>
      </c>
      <c r="J33" t="s">
        <v>601</v>
      </c>
      <c r="K33" s="9">
        <v>28.25</v>
      </c>
      <c r="L33" t="s">
        <v>28</v>
      </c>
      <c r="M33">
        <v>32</v>
      </c>
      <c r="N33" t="s">
        <v>34</v>
      </c>
      <c r="O33" s="3">
        <f>(Sala[[#This Row],[Hora de Salida]]-Sala[[#This Row],[Hora de llegada]])+IF(Sala[[#This Row],[Estado de la Mesa]]="Ocupada",(TEXT((15/(60*24)),"h:mm")),(TEXT(0,"h:mm")))</f>
        <v>0.16388888888888886</v>
      </c>
      <c r="P33" s="43">
        <f>(SUMIF(Cocina[Número de Orden],Sala[[#This Row],[Número de Orden]],Cocina[Tiempo de Preparación]))</f>
        <v>128</v>
      </c>
      <c r="Q33" s="5" t="str">
        <f>TEXT(((SUMIF(Cocina[Número de Orden],Sala[[#This Row],[Número de Orden]],Cocina[Tiempo de Preparación]))/(60*24)),"h:mm")</f>
        <v>2:08</v>
      </c>
      <c r="R33" s="3">
        <f>MAX((Sala[[#This Row],[Tiempo de permanencia]]-Sala[[#This Row],[Tiempo de preparación (h)]]),0)</f>
        <v>7.4999999999999969E-2</v>
      </c>
      <c r="S33" s="8">
        <f>SUMIF(Cocina[Número de Orden],Sala[[#This Row],[Número de Orden]],Cocina[Ganancia bruta])</f>
        <v>211</v>
      </c>
      <c r="T33" s="8">
        <f>SUMIF(Cocina[Número de Orden],Sala[[#This Row],[Número de Orden]],Cocina[Costo Unitario])</f>
        <v>64</v>
      </c>
      <c r="U33" s="2">
        <f>Sala[[#This Row],[Fecha de Salida]]</f>
        <v>45017</v>
      </c>
      <c r="V33" s="7" t="str">
        <f>TEXT(Sala[[#This Row],[Fecha factura]],"dddd")</f>
        <v>sábado</v>
      </c>
      <c r="W33" t="str">
        <f>IF(Sala[[#This Row],[Tiempo de degustación]]&gt;0,"Sí","No")</f>
        <v>Sí</v>
      </c>
      <c r="X33" t="str">
        <f>IF(Sala[[#This Row],[Cobrada]]="Sí",Sala[[#This Row],[Método de Pago]],"Impago")</f>
        <v>Tarjeta de crédito</v>
      </c>
      <c r="Y33">
        <f>IF(Sala[[#This Row],[Cobrada]]="Sí",Sala[[#This Row],[Propina]],0)</f>
        <v>28.25</v>
      </c>
      <c r="Z33">
        <f>(IF(Sala[[#This Row],[Cobrada]]="Sí",Sala[[#This Row],[Monto total]],0))+Sala[[#This Row],[Propina real]]</f>
        <v>239.25</v>
      </c>
    </row>
    <row r="34" spans="1:26" x14ac:dyDescent="0.25">
      <c r="A34">
        <v>4</v>
      </c>
      <c r="B34" t="s">
        <v>64</v>
      </c>
      <c r="C34">
        <v>5</v>
      </c>
      <c r="D34" s="2">
        <v>45017</v>
      </c>
      <c r="E34" s="3">
        <v>0.14791666666666667</v>
      </c>
      <c r="F34" s="2">
        <v>45017</v>
      </c>
      <c r="G34" s="3">
        <v>0.26458333333333334</v>
      </c>
      <c r="H34" s="1" t="s">
        <v>23</v>
      </c>
      <c r="I34" t="s">
        <v>25</v>
      </c>
      <c r="J34" t="s">
        <v>600</v>
      </c>
      <c r="K34" s="9">
        <v>20.38</v>
      </c>
      <c r="L34" t="s">
        <v>28</v>
      </c>
      <c r="M34">
        <v>33</v>
      </c>
      <c r="N34" t="s">
        <v>593</v>
      </c>
      <c r="O34" s="3">
        <f>(Sala[[#This Row],[Hora de Salida]]-Sala[[#This Row],[Hora de llegada]])+IF(Sala[[#This Row],[Estado de la Mesa]]="Ocupada",(TEXT((15/(60*24)),"h:mm")),(TEXT(0,"h:mm")))</f>
        <v>0.12708333333333333</v>
      </c>
      <c r="P34" s="43">
        <f>(SUMIF(Cocina[Número de Orden],Sala[[#This Row],[Número de Orden]],Cocina[Tiempo de Preparación]))</f>
        <v>130</v>
      </c>
      <c r="Q34" s="5" t="str">
        <f>TEXT(((SUMIF(Cocina[Número de Orden],Sala[[#This Row],[Número de Orden]],Cocina[Tiempo de Preparación]))/(60*24)),"h:mm")</f>
        <v>2:10</v>
      </c>
      <c r="R34" s="3">
        <f>MAX((Sala[[#This Row],[Tiempo de permanencia]]-Sala[[#This Row],[Tiempo de preparación (h)]]),0)</f>
        <v>3.680555555555555E-2</v>
      </c>
      <c r="S34" s="8">
        <f>SUMIF(Cocina[Número de Orden],Sala[[#This Row],[Número de Orden]],Cocina[Ganancia bruta])</f>
        <v>306</v>
      </c>
      <c r="T34" s="8">
        <f>SUMIF(Cocina[Número de Orden],Sala[[#This Row],[Número de Orden]],Cocina[Costo Unitario])</f>
        <v>71</v>
      </c>
      <c r="U34" s="2">
        <f>Sala[[#This Row],[Fecha de Salida]]</f>
        <v>45017</v>
      </c>
      <c r="V34" s="7" t="str">
        <f>TEXT(Sala[[#This Row],[Fecha factura]],"dddd")</f>
        <v>sábado</v>
      </c>
      <c r="W34" t="str">
        <f>IF(Sala[[#This Row],[Tiempo de degustación]]&gt;0,"Sí","No")</f>
        <v>Sí</v>
      </c>
      <c r="X34" t="str">
        <f>IF(Sala[[#This Row],[Cobrada]]="Sí",Sala[[#This Row],[Método de Pago]],"Impago")</f>
        <v>Tarjeta de débito</v>
      </c>
      <c r="Y34">
        <f>IF(Sala[[#This Row],[Cobrada]]="Sí",Sala[[#This Row],[Propina]],0)</f>
        <v>20.38</v>
      </c>
      <c r="Z34">
        <f>(IF(Sala[[#This Row],[Cobrada]]="Sí",Sala[[#This Row],[Monto total]],0))+Sala[[#This Row],[Propina real]]</f>
        <v>326.38</v>
      </c>
    </row>
    <row r="35" spans="1:26" x14ac:dyDescent="0.25">
      <c r="A35">
        <v>15</v>
      </c>
      <c r="B35" t="s">
        <v>65</v>
      </c>
      <c r="C35">
        <v>1</v>
      </c>
      <c r="D35" s="2">
        <v>45017</v>
      </c>
      <c r="E35" s="3">
        <v>9.4444444444444442E-2</v>
      </c>
      <c r="F35" s="2">
        <v>45017</v>
      </c>
      <c r="G35" s="3">
        <v>0.25486111111111109</v>
      </c>
      <c r="H35" s="1" t="s">
        <v>23</v>
      </c>
      <c r="I35" t="s">
        <v>12</v>
      </c>
      <c r="J35" t="s">
        <v>601</v>
      </c>
      <c r="K35" s="9">
        <v>13.08</v>
      </c>
      <c r="L35" t="s">
        <v>17</v>
      </c>
      <c r="M35">
        <v>34</v>
      </c>
      <c r="N35" t="s">
        <v>593</v>
      </c>
      <c r="O35" s="3">
        <f>(Sala[[#This Row],[Hora de Salida]]-Sala[[#This Row],[Hora de llegada]])+IF(Sala[[#This Row],[Estado de la Mesa]]="Ocupada",(TEXT((15/(60*24)),"h:mm")),(TEXT(0,"h:mm")))</f>
        <v>0.16041666666666665</v>
      </c>
      <c r="P35" s="43">
        <f>(SUMIF(Cocina[Número de Orden],Sala[[#This Row],[Número de Orden]],Cocina[Tiempo de Preparación]))</f>
        <v>65</v>
      </c>
      <c r="Q35" s="5" t="str">
        <f>TEXT(((SUMIF(Cocina[Número de Orden],Sala[[#This Row],[Número de Orden]],Cocina[Tiempo de Preparación]))/(60*24)),"h:mm")</f>
        <v>1:05</v>
      </c>
      <c r="R35" s="3">
        <f>MAX((Sala[[#This Row],[Tiempo de permanencia]]-Sala[[#This Row],[Tiempo de preparación (h)]]),0)</f>
        <v>0.11527777777777776</v>
      </c>
      <c r="S35" s="8">
        <f>SUMIF(Cocina[Número de Orden],Sala[[#This Row],[Número de Orden]],Cocina[Ganancia bruta])</f>
        <v>112</v>
      </c>
      <c r="T35" s="8">
        <f>SUMIF(Cocina[Número de Orden],Sala[[#This Row],[Número de Orden]],Cocina[Costo Unitario])</f>
        <v>35</v>
      </c>
      <c r="U35" s="2">
        <f>Sala[[#This Row],[Fecha de Salida]]</f>
        <v>45017</v>
      </c>
      <c r="V35" s="7" t="str">
        <f>TEXT(Sala[[#This Row],[Fecha factura]],"dddd")</f>
        <v>sábado</v>
      </c>
      <c r="W35" t="str">
        <f>IF(Sala[[#This Row],[Tiempo de degustación]]&gt;0,"Sí","No")</f>
        <v>Sí</v>
      </c>
      <c r="X35" t="str">
        <f>IF(Sala[[#This Row],[Cobrada]]="Sí",Sala[[#This Row],[Método de Pago]],"Impago")</f>
        <v>Tarjeta de crédito</v>
      </c>
      <c r="Y35">
        <f>IF(Sala[[#This Row],[Cobrada]]="Sí",Sala[[#This Row],[Propina]],0)</f>
        <v>13.08</v>
      </c>
      <c r="Z35">
        <f>(IF(Sala[[#This Row],[Cobrada]]="Sí",Sala[[#This Row],[Monto total]],0))+Sala[[#This Row],[Propina real]]</f>
        <v>125.08</v>
      </c>
    </row>
    <row r="36" spans="1:26" x14ac:dyDescent="0.25">
      <c r="A36">
        <v>13</v>
      </c>
      <c r="B36" t="s">
        <v>66</v>
      </c>
      <c r="C36">
        <v>2</v>
      </c>
      <c r="D36" s="2">
        <v>45017</v>
      </c>
      <c r="E36" s="3">
        <v>0.13750000000000001</v>
      </c>
      <c r="F36" s="2">
        <v>45017</v>
      </c>
      <c r="G36" s="3">
        <v>0.24652777777777779</v>
      </c>
      <c r="H36" s="1" t="s">
        <v>7</v>
      </c>
      <c r="I36" t="s">
        <v>8</v>
      </c>
      <c r="J36" t="s">
        <v>601</v>
      </c>
      <c r="K36" s="9">
        <v>15.75</v>
      </c>
      <c r="L36" t="s">
        <v>28</v>
      </c>
      <c r="M36">
        <v>35</v>
      </c>
      <c r="N36" t="s">
        <v>593</v>
      </c>
      <c r="O36" s="3">
        <f>(Sala[[#This Row],[Hora de Salida]]-Sala[[#This Row],[Hora de llegada]])+IF(Sala[[#This Row],[Estado de la Mesa]]="Ocupada",(TEXT((15/(60*24)),"h:mm")),(TEXT(0,"h:mm")))</f>
        <v>0.11944444444444445</v>
      </c>
      <c r="P36" s="43">
        <f>(SUMIF(Cocina[Número de Orden],Sala[[#This Row],[Número de Orden]],Cocina[Tiempo de Preparación]))</f>
        <v>65</v>
      </c>
      <c r="Q36" s="5" t="str">
        <f>TEXT(((SUMIF(Cocina[Número de Orden],Sala[[#This Row],[Número de Orden]],Cocina[Tiempo de Preparación]))/(60*24)),"h:mm")</f>
        <v>1:05</v>
      </c>
      <c r="R36" s="3">
        <f>MAX((Sala[[#This Row],[Tiempo de permanencia]]-Sala[[#This Row],[Tiempo de preparación (h)]]),0)</f>
        <v>7.4305555555555569E-2</v>
      </c>
      <c r="S36" s="8">
        <f>SUMIF(Cocina[Número de Orden],Sala[[#This Row],[Número de Orden]],Cocina[Ganancia bruta])</f>
        <v>214</v>
      </c>
      <c r="T36" s="8">
        <f>SUMIF(Cocina[Número de Orden],Sala[[#This Row],[Número de Orden]],Cocina[Costo Unitario])</f>
        <v>74</v>
      </c>
      <c r="U36" s="2">
        <f>Sala[[#This Row],[Fecha de Salida]]</f>
        <v>45017</v>
      </c>
      <c r="V36" s="7" t="str">
        <f>TEXT(Sala[[#This Row],[Fecha factura]],"dddd")</f>
        <v>sábado</v>
      </c>
      <c r="W36" t="str">
        <f>IF(Sala[[#This Row],[Tiempo de degustación]]&gt;0,"Sí","No")</f>
        <v>Sí</v>
      </c>
      <c r="X36" t="str">
        <f>IF(Sala[[#This Row],[Cobrada]]="Sí",Sala[[#This Row],[Método de Pago]],"Impago")</f>
        <v>Tarjeta de crédito</v>
      </c>
      <c r="Y36">
        <f>IF(Sala[[#This Row],[Cobrada]]="Sí",Sala[[#This Row],[Propina]],0)</f>
        <v>15.75</v>
      </c>
      <c r="Z36">
        <f>(IF(Sala[[#This Row],[Cobrada]]="Sí",Sala[[#This Row],[Monto total]],0))+Sala[[#This Row],[Propina real]]</f>
        <v>229.75</v>
      </c>
    </row>
    <row r="37" spans="1:26" x14ac:dyDescent="0.25">
      <c r="A37">
        <v>5</v>
      </c>
      <c r="B37" t="s">
        <v>67</v>
      </c>
      <c r="C37">
        <v>5</v>
      </c>
      <c r="D37" s="2">
        <v>45017</v>
      </c>
      <c r="E37" s="3">
        <v>0.14374999999999999</v>
      </c>
      <c r="F37" s="2">
        <v>45017</v>
      </c>
      <c r="G37" s="3">
        <v>0.26805555555555555</v>
      </c>
      <c r="H37" s="1" t="s">
        <v>16</v>
      </c>
      <c r="I37" t="s">
        <v>8</v>
      </c>
      <c r="J37" t="s">
        <v>601</v>
      </c>
      <c r="K37" s="9">
        <v>45.28</v>
      </c>
      <c r="L37" t="s">
        <v>28</v>
      </c>
      <c r="M37">
        <v>36</v>
      </c>
      <c r="N37" t="s">
        <v>32</v>
      </c>
      <c r="O37" s="3">
        <f>(Sala[[#This Row],[Hora de Salida]]-Sala[[#This Row],[Hora de llegada]])+IF(Sala[[#This Row],[Estado de la Mesa]]="Ocupada",(TEXT((15/(60*24)),"h:mm")),(TEXT(0,"h:mm")))</f>
        <v>0.13472222222222222</v>
      </c>
      <c r="P37" s="43">
        <f>(SUMIF(Cocina[Número de Orden],Sala[[#This Row],[Número de Orden]],Cocina[Tiempo de Preparación]))</f>
        <v>38</v>
      </c>
      <c r="Q37" s="5" t="str">
        <f>TEXT(((SUMIF(Cocina[Número de Orden],Sala[[#This Row],[Número de Orden]],Cocina[Tiempo de Preparación]))/(60*24)),"h:mm")</f>
        <v>0:38</v>
      </c>
      <c r="R37" s="3">
        <f>MAX((Sala[[#This Row],[Tiempo de permanencia]]-Sala[[#This Row],[Tiempo de preparación (h)]]),0)</f>
        <v>0.10833333333333332</v>
      </c>
      <c r="S37" s="8">
        <f>SUMIF(Cocina[Número de Orden],Sala[[#This Row],[Número de Orden]],Cocina[Ganancia bruta])</f>
        <v>30</v>
      </c>
      <c r="T37" s="8">
        <f>SUMIF(Cocina[Número de Orden],Sala[[#This Row],[Número de Orden]],Cocina[Costo Unitario])</f>
        <v>18</v>
      </c>
      <c r="U37" s="2">
        <f>Sala[[#This Row],[Fecha de Salida]]</f>
        <v>45017</v>
      </c>
      <c r="V37" s="7" t="str">
        <f>TEXT(Sala[[#This Row],[Fecha factura]],"dddd")</f>
        <v>sábado</v>
      </c>
      <c r="W37" t="str">
        <f>IF(Sala[[#This Row],[Tiempo de degustación]]&gt;0,"Sí","No")</f>
        <v>Sí</v>
      </c>
      <c r="X37" t="str">
        <f>IF(Sala[[#This Row],[Cobrada]]="Sí",Sala[[#This Row],[Método de Pago]],"Impago")</f>
        <v>Tarjeta de crédito</v>
      </c>
      <c r="Y37">
        <f>IF(Sala[[#This Row],[Cobrada]]="Sí",Sala[[#This Row],[Propina]],0)</f>
        <v>45.28</v>
      </c>
      <c r="Z37">
        <f>(IF(Sala[[#This Row],[Cobrada]]="Sí",Sala[[#This Row],[Monto total]],0))+Sala[[#This Row],[Propina real]]</f>
        <v>75.28</v>
      </c>
    </row>
    <row r="38" spans="1:26" x14ac:dyDescent="0.25">
      <c r="A38">
        <v>20</v>
      </c>
      <c r="B38" t="s">
        <v>69</v>
      </c>
      <c r="C38">
        <v>1</v>
      </c>
      <c r="D38" s="2">
        <v>45017</v>
      </c>
      <c r="E38" s="3">
        <v>0.14166666666666666</v>
      </c>
      <c r="F38" s="2">
        <v>45017</v>
      </c>
      <c r="G38" s="3">
        <v>0.25138888888888888</v>
      </c>
      <c r="H38" s="1" t="s">
        <v>20</v>
      </c>
      <c r="I38" t="s">
        <v>25</v>
      </c>
      <c r="J38" t="s">
        <v>601</v>
      </c>
      <c r="K38" s="9">
        <v>10.39</v>
      </c>
      <c r="L38" t="s">
        <v>28</v>
      </c>
      <c r="M38">
        <v>37</v>
      </c>
      <c r="N38" t="s">
        <v>18</v>
      </c>
      <c r="O38" s="3">
        <f>(Sala[[#This Row],[Hora de Salida]]-Sala[[#This Row],[Hora de llegada]])+IF(Sala[[#This Row],[Estado de la Mesa]]="Ocupada",(TEXT((15/(60*24)),"h:mm")),(TEXT(0,"h:mm")))</f>
        <v>0.12013888888888889</v>
      </c>
      <c r="P38" s="43">
        <f>(SUMIF(Cocina[Número de Orden],Sala[[#This Row],[Número de Orden]],Cocina[Tiempo de Preparación]))</f>
        <v>47</v>
      </c>
      <c r="Q38" s="5" t="str">
        <f>TEXT(((SUMIF(Cocina[Número de Orden],Sala[[#This Row],[Número de Orden]],Cocina[Tiempo de Preparación]))/(60*24)),"h:mm")</f>
        <v>0:47</v>
      </c>
      <c r="R38" s="3">
        <f>MAX((Sala[[#This Row],[Tiempo de permanencia]]-Sala[[#This Row],[Tiempo de preparación (h)]]),0)</f>
        <v>8.7499999999999994E-2</v>
      </c>
      <c r="S38" s="8">
        <f>SUMIF(Cocina[Número de Orden],Sala[[#This Row],[Número de Orden]],Cocina[Ganancia bruta])</f>
        <v>21</v>
      </c>
      <c r="T38" s="8">
        <f>SUMIF(Cocina[Número de Orden],Sala[[#This Row],[Número de Orden]],Cocina[Costo Unitario])</f>
        <v>13</v>
      </c>
      <c r="U38" s="2">
        <f>Sala[[#This Row],[Fecha de Salida]]</f>
        <v>45017</v>
      </c>
      <c r="V38" s="7" t="str">
        <f>TEXT(Sala[[#This Row],[Fecha factura]],"dddd")</f>
        <v>sábado</v>
      </c>
      <c r="W38" t="str">
        <f>IF(Sala[[#This Row],[Tiempo de degustación]]&gt;0,"Sí","No")</f>
        <v>Sí</v>
      </c>
      <c r="X38" t="str">
        <f>IF(Sala[[#This Row],[Cobrada]]="Sí",Sala[[#This Row],[Método de Pago]],"Impago")</f>
        <v>Tarjeta de crédito</v>
      </c>
      <c r="Y38">
        <f>IF(Sala[[#This Row],[Cobrada]]="Sí",Sala[[#This Row],[Propina]],0)</f>
        <v>10.39</v>
      </c>
      <c r="Z38">
        <f>(IF(Sala[[#This Row],[Cobrada]]="Sí",Sala[[#This Row],[Monto total]],0))+Sala[[#This Row],[Propina real]]</f>
        <v>31.39</v>
      </c>
    </row>
    <row r="39" spans="1:26" x14ac:dyDescent="0.25">
      <c r="A39">
        <v>10</v>
      </c>
      <c r="B39" t="s">
        <v>71</v>
      </c>
      <c r="C39">
        <v>6</v>
      </c>
      <c r="D39" s="2">
        <v>45017</v>
      </c>
      <c r="E39" s="3">
        <v>0.10972222222222222</v>
      </c>
      <c r="F39" s="2">
        <v>45017</v>
      </c>
      <c r="G39" s="3">
        <v>0.16180555555555556</v>
      </c>
      <c r="H39" s="1" t="s">
        <v>23</v>
      </c>
      <c r="I39" t="s">
        <v>8</v>
      </c>
      <c r="J39" t="s">
        <v>600</v>
      </c>
      <c r="K39" s="9">
        <v>16.309999999999999</v>
      </c>
      <c r="L39" t="s">
        <v>9</v>
      </c>
      <c r="M39">
        <v>38</v>
      </c>
      <c r="N39" t="s">
        <v>47</v>
      </c>
      <c r="O39" s="3">
        <f>(Sala[[#This Row],[Hora de Salida]]-Sala[[#This Row],[Hora de llegada]])+IF(Sala[[#This Row],[Estado de la Mesa]]="Ocupada",(TEXT((15/(60*24)),"h:mm")),(TEXT(0,"h:mm")))</f>
        <v>5.2083333333333343E-2</v>
      </c>
      <c r="P39" s="43">
        <f>(SUMIF(Cocina[Número de Orden],Sala[[#This Row],[Número de Orden]],Cocina[Tiempo de Preparación]))</f>
        <v>98</v>
      </c>
      <c r="Q39" s="5" t="str">
        <f>TEXT(((SUMIF(Cocina[Número de Orden],Sala[[#This Row],[Número de Orden]],Cocina[Tiempo de Preparación]))/(60*24)),"h:mm")</f>
        <v>1:38</v>
      </c>
      <c r="R39" s="3">
        <f>MAX((Sala[[#This Row],[Tiempo de permanencia]]-Sala[[#This Row],[Tiempo de preparación (h)]]),0)</f>
        <v>0</v>
      </c>
      <c r="S39" s="8">
        <f>SUMIF(Cocina[Número de Orden],Sala[[#This Row],[Número de Orden]],Cocina[Ganancia bruta])</f>
        <v>235</v>
      </c>
      <c r="T39" s="8">
        <f>SUMIF(Cocina[Número de Orden],Sala[[#This Row],[Número de Orden]],Cocina[Costo Unitario])</f>
        <v>62</v>
      </c>
      <c r="U39" s="2">
        <f>Sala[[#This Row],[Fecha de Salida]]</f>
        <v>45017</v>
      </c>
      <c r="V39" s="7" t="str">
        <f>TEXT(Sala[[#This Row],[Fecha factura]],"dddd")</f>
        <v>sábado</v>
      </c>
      <c r="W39" t="str">
        <f>IF(Sala[[#This Row],[Tiempo de degustación]]&gt;0,"Sí","No")</f>
        <v>No</v>
      </c>
      <c r="X39" t="str">
        <f>IF(Sala[[#This Row],[Cobrada]]="Sí",Sala[[#This Row],[Método de Pago]],"Impago")</f>
        <v>Impago</v>
      </c>
      <c r="Y39">
        <f>IF(Sala[[#This Row],[Cobrada]]="Sí",Sala[[#This Row],[Propina]],0)</f>
        <v>0</v>
      </c>
      <c r="Z39">
        <f>(IF(Sala[[#This Row],[Cobrada]]="Sí",Sala[[#This Row],[Monto total]],0))+Sala[[#This Row],[Propina real]]</f>
        <v>0</v>
      </c>
    </row>
    <row r="40" spans="1:26" x14ac:dyDescent="0.25">
      <c r="A40">
        <v>15</v>
      </c>
      <c r="B40" t="s">
        <v>72</v>
      </c>
      <c r="C40">
        <v>3</v>
      </c>
      <c r="D40" s="2">
        <v>45017</v>
      </c>
      <c r="E40" s="3">
        <v>0.15347222222222223</v>
      </c>
      <c r="F40" s="2">
        <v>45017</v>
      </c>
      <c r="G40" s="3">
        <v>0.31874999999999998</v>
      </c>
      <c r="H40" s="1" t="s">
        <v>16</v>
      </c>
      <c r="I40" t="s">
        <v>25</v>
      </c>
      <c r="J40" t="s">
        <v>13</v>
      </c>
      <c r="K40" s="9">
        <v>48.36</v>
      </c>
      <c r="L40" t="s">
        <v>28</v>
      </c>
      <c r="M40">
        <v>39</v>
      </c>
      <c r="N40" t="s">
        <v>32</v>
      </c>
      <c r="O40" s="3">
        <f>(Sala[[#This Row],[Hora de Salida]]-Sala[[#This Row],[Hora de llegada]])+IF(Sala[[#This Row],[Estado de la Mesa]]="Ocupada",(TEXT((15/(60*24)),"h:mm")),(TEXT(0,"h:mm")))</f>
        <v>0.1756944444444444</v>
      </c>
      <c r="P40" s="43">
        <f>(SUMIF(Cocina[Número de Orden],Sala[[#This Row],[Número de Orden]],Cocina[Tiempo de Preparación]))</f>
        <v>57</v>
      </c>
      <c r="Q40" s="5" t="str">
        <f>TEXT(((SUMIF(Cocina[Número de Orden],Sala[[#This Row],[Número de Orden]],Cocina[Tiempo de Preparación]))/(60*24)),"h:mm")</f>
        <v>0:57</v>
      </c>
      <c r="R40" s="3">
        <f>MAX((Sala[[#This Row],[Tiempo de permanencia]]-Sala[[#This Row],[Tiempo de preparación (h)]]),0)</f>
        <v>0.13611111111111107</v>
      </c>
      <c r="S40" s="8">
        <f>SUMIF(Cocina[Número de Orden],Sala[[#This Row],[Número de Orden]],Cocina[Ganancia bruta])</f>
        <v>108</v>
      </c>
      <c r="T40" s="8">
        <f>SUMIF(Cocina[Número de Orden],Sala[[#This Row],[Número de Orden]],Cocina[Costo Unitario])</f>
        <v>22</v>
      </c>
      <c r="U40" s="2">
        <f>Sala[[#This Row],[Fecha de Salida]]</f>
        <v>45017</v>
      </c>
      <c r="V40" s="7" t="str">
        <f>TEXT(Sala[[#This Row],[Fecha factura]],"dddd")</f>
        <v>sábado</v>
      </c>
      <c r="W40" t="str">
        <f>IF(Sala[[#This Row],[Tiempo de degustación]]&gt;0,"Sí","No")</f>
        <v>Sí</v>
      </c>
      <c r="X40" t="str">
        <f>IF(Sala[[#This Row],[Cobrada]]="Sí",Sala[[#This Row],[Método de Pago]],"Impago")</f>
        <v>Efectivo</v>
      </c>
      <c r="Y40">
        <f>IF(Sala[[#This Row],[Cobrada]]="Sí",Sala[[#This Row],[Propina]],0)</f>
        <v>48.36</v>
      </c>
      <c r="Z40">
        <f>(IF(Sala[[#This Row],[Cobrada]]="Sí",Sala[[#This Row],[Monto total]],0))+Sala[[#This Row],[Propina real]]</f>
        <v>156.36000000000001</v>
      </c>
    </row>
    <row r="41" spans="1:26" x14ac:dyDescent="0.25">
      <c r="A41">
        <v>1</v>
      </c>
      <c r="B41" t="s">
        <v>74</v>
      </c>
      <c r="C41">
        <v>1</v>
      </c>
      <c r="D41" s="2">
        <v>45017</v>
      </c>
      <c r="E41" s="3">
        <v>8.3333333333333329E-2</v>
      </c>
      <c r="F41" s="2">
        <v>45017</v>
      </c>
      <c r="G41" s="3">
        <v>0.1701388888888889</v>
      </c>
      <c r="H41" s="1" t="s">
        <v>7</v>
      </c>
      <c r="I41" t="s">
        <v>8</v>
      </c>
      <c r="J41" t="s">
        <v>13</v>
      </c>
      <c r="K41" s="9">
        <v>13.68</v>
      </c>
      <c r="L41" t="s">
        <v>17</v>
      </c>
      <c r="M41">
        <v>40</v>
      </c>
      <c r="N41" t="s">
        <v>59</v>
      </c>
      <c r="O41" s="3">
        <f>(Sala[[#This Row],[Hora de Salida]]-Sala[[#This Row],[Hora de llegada]])+IF(Sala[[#This Row],[Estado de la Mesa]]="Ocupada",(TEXT((15/(60*24)),"h:mm")),(TEXT(0,"h:mm")))</f>
        <v>8.6805555555555566E-2</v>
      </c>
      <c r="P41" s="43">
        <f>(SUMIF(Cocina[Número de Orden],Sala[[#This Row],[Número de Orden]],Cocina[Tiempo de Preparación]))</f>
        <v>78</v>
      </c>
      <c r="Q41" s="5" t="str">
        <f>TEXT(((SUMIF(Cocina[Número de Orden],Sala[[#This Row],[Número de Orden]],Cocina[Tiempo de Preparación]))/(60*24)),"h:mm")</f>
        <v>1:18</v>
      </c>
      <c r="R41" s="3">
        <f>MAX((Sala[[#This Row],[Tiempo de permanencia]]-Sala[[#This Row],[Tiempo de preparación (h)]]),0)</f>
        <v>3.2638888888888898E-2</v>
      </c>
      <c r="S41" s="8">
        <f>SUMIF(Cocina[Número de Orden],Sala[[#This Row],[Número de Orden]],Cocina[Ganancia bruta])</f>
        <v>148</v>
      </c>
      <c r="T41" s="8">
        <f>SUMIF(Cocina[Número de Orden],Sala[[#This Row],[Número de Orden]],Cocina[Costo Unitario])</f>
        <v>53</v>
      </c>
      <c r="U41" s="2">
        <f>Sala[[#This Row],[Fecha de Salida]]</f>
        <v>45017</v>
      </c>
      <c r="V41" s="7" t="str">
        <f>TEXT(Sala[[#This Row],[Fecha factura]],"dddd")</f>
        <v>sábado</v>
      </c>
      <c r="W41" t="str">
        <f>IF(Sala[[#This Row],[Tiempo de degustación]]&gt;0,"Sí","No")</f>
        <v>Sí</v>
      </c>
      <c r="X41" t="str">
        <f>IF(Sala[[#This Row],[Cobrada]]="Sí",Sala[[#This Row],[Método de Pago]],"Impago")</f>
        <v>Efectivo</v>
      </c>
      <c r="Y41">
        <f>IF(Sala[[#This Row],[Cobrada]]="Sí",Sala[[#This Row],[Propina]],0)</f>
        <v>13.68</v>
      </c>
      <c r="Z41">
        <f>(IF(Sala[[#This Row],[Cobrada]]="Sí",Sala[[#This Row],[Monto total]],0))+Sala[[#This Row],[Propina real]]</f>
        <v>161.68</v>
      </c>
    </row>
    <row r="42" spans="1:26" x14ac:dyDescent="0.25">
      <c r="A42">
        <v>7</v>
      </c>
      <c r="B42" t="s">
        <v>75</v>
      </c>
      <c r="C42">
        <v>4</v>
      </c>
      <c r="D42" s="2">
        <v>45017</v>
      </c>
      <c r="E42" s="3">
        <v>9.3055555555555558E-2</v>
      </c>
      <c r="F42" s="2">
        <v>45017</v>
      </c>
      <c r="G42" s="3">
        <v>0.18055555555555555</v>
      </c>
      <c r="H42" s="1" t="s">
        <v>16</v>
      </c>
      <c r="I42" t="s">
        <v>8</v>
      </c>
      <c r="J42" t="s">
        <v>601</v>
      </c>
      <c r="K42" s="9">
        <v>15.24</v>
      </c>
      <c r="L42" t="s">
        <v>28</v>
      </c>
      <c r="M42">
        <v>41</v>
      </c>
      <c r="N42" t="s">
        <v>593</v>
      </c>
      <c r="O42" s="3">
        <f>(Sala[[#This Row],[Hora de Salida]]-Sala[[#This Row],[Hora de llegada]])+IF(Sala[[#This Row],[Estado de la Mesa]]="Ocupada",(TEXT((15/(60*24)),"h:mm")),(TEXT(0,"h:mm")))</f>
        <v>9.7916666666666666E-2</v>
      </c>
      <c r="P42" s="43">
        <f>(SUMIF(Cocina[Número de Orden],Sala[[#This Row],[Número de Orden]],Cocina[Tiempo de Preparación]))</f>
        <v>89</v>
      </c>
      <c r="Q42" s="5" t="str">
        <f>TEXT(((SUMIF(Cocina[Número de Orden],Sala[[#This Row],[Número de Orden]],Cocina[Tiempo de Preparación]))/(60*24)),"h:mm")</f>
        <v>1:29</v>
      </c>
      <c r="R42" s="3">
        <f>MAX((Sala[[#This Row],[Tiempo de permanencia]]-Sala[[#This Row],[Tiempo de preparación (h)]]),0)</f>
        <v>3.6111111111111108E-2</v>
      </c>
      <c r="S42" s="8">
        <f>SUMIF(Cocina[Número de Orden],Sala[[#This Row],[Número de Orden]],Cocina[Ganancia bruta])</f>
        <v>204</v>
      </c>
      <c r="T42" s="8">
        <f>SUMIF(Cocina[Número de Orden],Sala[[#This Row],[Número de Orden]],Cocina[Costo Unitario])</f>
        <v>52</v>
      </c>
      <c r="U42" s="2">
        <f>Sala[[#This Row],[Fecha de Salida]]</f>
        <v>45017</v>
      </c>
      <c r="V42" s="7" t="str">
        <f>TEXT(Sala[[#This Row],[Fecha factura]],"dddd")</f>
        <v>sábado</v>
      </c>
      <c r="W42" t="str">
        <f>IF(Sala[[#This Row],[Tiempo de degustación]]&gt;0,"Sí","No")</f>
        <v>Sí</v>
      </c>
      <c r="X42" t="str">
        <f>IF(Sala[[#This Row],[Cobrada]]="Sí",Sala[[#This Row],[Método de Pago]],"Impago")</f>
        <v>Tarjeta de crédito</v>
      </c>
      <c r="Y42">
        <f>IF(Sala[[#This Row],[Cobrada]]="Sí",Sala[[#This Row],[Propina]],0)</f>
        <v>15.24</v>
      </c>
      <c r="Z42">
        <f>(IF(Sala[[#This Row],[Cobrada]]="Sí",Sala[[#This Row],[Monto total]],0))+Sala[[#This Row],[Propina real]]</f>
        <v>219.24</v>
      </c>
    </row>
    <row r="43" spans="1:26" x14ac:dyDescent="0.25">
      <c r="A43">
        <v>14</v>
      </c>
      <c r="B43" t="s">
        <v>76</v>
      </c>
      <c r="C43">
        <v>1</v>
      </c>
      <c r="D43" s="2">
        <v>45017</v>
      </c>
      <c r="E43" s="3">
        <v>1.7361111111111112E-2</v>
      </c>
      <c r="F43" s="2">
        <v>45017</v>
      </c>
      <c r="G43" s="3">
        <v>7.3611111111111113E-2</v>
      </c>
      <c r="H43" s="1" t="s">
        <v>16</v>
      </c>
      <c r="I43" t="s">
        <v>8</v>
      </c>
      <c r="J43" t="s">
        <v>601</v>
      </c>
      <c r="K43" s="9">
        <v>49.58</v>
      </c>
      <c r="L43" t="s">
        <v>9</v>
      </c>
      <c r="M43">
        <v>42</v>
      </c>
      <c r="N43" t="s">
        <v>32</v>
      </c>
      <c r="O43" s="3">
        <f>(Sala[[#This Row],[Hora de Salida]]-Sala[[#This Row],[Hora de llegada]])+IF(Sala[[#This Row],[Estado de la Mesa]]="Ocupada",(TEXT((15/(60*24)),"h:mm")),(TEXT(0,"h:mm")))</f>
        <v>5.6250000000000001E-2</v>
      </c>
      <c r="P43" s="43">
        <f>(SUMIF(Cocina[Número de Orden],Sala[[#This Row],[Número de Orden]],Cocina[Tiempo de Preparación]))</f>
        <v>69</v>
      </c>
      <c r="Q43" s="5" t="str">
        <f>TEXT(((SUMIF(Cocina[Número de Orden],Sala[[#This Row],[Número de Orden]],Cocina[Tiempo de Preparación]))/(60*24)),"h:mm")</f>
        <v>1:09</v>
      </c>
      <c r="R43" s="3">
        <f>MAX((Sala[[#This Row],[Tiempo de permanencia]]-Sala[[#This Row],[Tiempo de preparación (h)]]),0)</f>
        <v>8.3333333333333315E-3</v>
      </c>
      <c r="S43" s="8">
        <f>SUMIF(Cocina[Número de Orden],Sala[[#This Row],[Número de Orden]],Cocina[Ganancia bruta])</f>
        <v>102</v>
      </c>
      <c r="T43" s="8">
        <f>SUMIF(Cocina[Número de Orden],Sala[[#This Row],[Número de Orden]],Cocina[Costo Unitario])</f>
        <v>38</v>
      </c>
      <c r="U43" s="2">
        <f>Sala[[#This Row],[Fecha de Salida]]</f>
        <v>45017</v>
      </c>
      <c r="V43" s="7" t="str">
        <f>TEXT(Sala[[#This Row],[Fecha factura]],"dddd")</f>
        <v>sábado</v>
      </c>
      <c r="W43" t="str">
        <f>IF(Sala[[#This Row],[Tiempo de degustación]]&gt;0,"Sí","No")</f>
        <v>Sí</v>
      </c>
      <c r="X43" t="str">
        <f>IF(Sala[[#This Row],[Cobrada]]="Sí",Sala[[#This Row],[Método de Pago]],"Impago")</f>
        <v>Tarjeta de crédito</v>
      </c>
      <c r="Y43">
        <f>IF(Sala[[#This Row],[Cobrada]]="Sí",Sala[[#This Row],[Propina]],0)</f>
        <v>49.58</v>
      </c>
      <c r="Z43">
        <f>(IF(Sala[[#This Row],[Cobrada]]="Sí",Sala[[#This Row],[Monto total]],0))+Sala[[#This Row],[Propina real]]</f>
        <v>151.57999999999998</v>
      </c>
    </row>
    <row r="44" spans="1:26" x14ac:dyDescent="0.25">
      <c r="A44">
        <v>8</v>
      </c>
      <c r="B44" t="s">
        <v>77</v>
      </c>
      <c r="C44">
        <v>6</v>
      </c>
      <c r="D44" s="2">
        <v>45017</v>
      </c>
      <c r="E44" s="3">
        <v>4.3055555555555555E-2</v>
      </c>
      <c r="F44" s="2">
        <v>45017</v>
      </c>
      <c r="G44" s="3">
        <v>0.13472222222222222</v>
      </c>
      <c r="H44" s="1" t="s">
        <v>23</v>
      </c>
      <c r="I44" t="s">
        <v>8</v>
      </c>
      <c r="J44" t="s">
        <v>601</v>
      </c>
      <c r="K44" s="9">
        <v>32.19</v>
      </c>
      <c r="L44" t="s">
        <v>28</v>
      </c>
      <c r="M44">
        <v>43</v>
      </c>
      <c r="N44" t="s">
        <v>593</v>
      </c>
      <c r="O44" s="3">
        <f>(Sala[[#This Row],[Hora de Salida]]-Sala[[#This Row],[Hora de llegada]])+IF(Sala[[#This Row],[Estado de la Mesa]]="Ocupada",(TEXT((15/(60*24)),"h:mm")),(TEXT(0,"h:mm")))</f>
        <v>0.10208333333333333</v>
      </c>
      <c r="P44" s="43">
        <f>(SUMIF(Cocina[Número de Orden],Sala[[#This Row],[Número de Orden]],Cocina[Tiempo de Preparación]))</f>
        <v>146</v>
      </c>
      <c r="Q44" s="5" t="str">
        <f>TEXT(((SUMIF(Cocina[Número de Orden],Sala[[#This Row],[Número de Orden]],Cocina[Tiempo de Preparación]))/(60*24)),"h:mm")</f>
        <v>2:26</v>
      </c>
      <c r="R44" s="3">
        <f>MAX((Sala[[#This Row],[Tiempo de permanencia]]-Sala[[#This Row],[Tiempo de preparación (h)]]),0)</f>
        <v>6.9444444444444198E-4</v>
      </c>
      <c r="S44" s="8">
        <f>SUMIF(Cocina[Número de Orden],Sala[[#This Row],[Número de Orden]],Cocina[Ganancia bruta])</f>
        <v>203</v>
      </c>
      <c r="T44" s="8">
        <f>SUMIF(Cocina[Número de Orden],Sala[[#This Row],[Número de Orden]],Cocina[Costo Unitario])</f>
        <v>72</v>
      </c>
      <c r="U44" s="2">
        <f>Sala[[#This Row],[Fecha de Salida]]</f>
        <v>45017</v>
      </c>
      <c r="V44" s="7" t="str">
        <f>TEXT(Sala[[#This Row],[Fecha factura]],"dddd")</f>
        <v>sábado</v>
      </c>
      <c r="W44" t="str">
        <f>IF(Sala[[#This Row],[Tiempo de degustación]]&gt;0,"Sí","No")</f>
        <v>Sí</v>
      </c>
      <c r="X44" t="str">
        <f>IF(Sala[[#This Row],[Cobrada]]="Sí",Sala[[#This Row],[Método de Pago]],"Impago")</f>
        <v>Tarjeta de crédito</v>
      </c>
      <c r="Y44">
        <f>IF(Sala[[#This Row],[Cobrada]]="Sí",Sala[[#This Row],[Propina]],0)</f>
        <v>32.19</v>
      </c>
      <c r="Z44">
        <f>(IF(Sala[[#This Row],[Cobrada]]="Sí",Sala[[#This Row],[Monto total]],0))+Sala[[#This Row],[Propina real]]</f>
        <v>235.19</v>
      </c>
    </row>
    <row r="45" spans="1:26" x14ac:dyDescent="0.25">
      <c r="A45">
        <v>18</v>
      </c>
      <c r="B45" t="s">
        <v>74</v>
      </c>
      <c r="C45">
        <v>1</v>
      </c>
      <c r="D45" s="2">
        <v>45017</v>
      </c>
      <c r="E45" s="3">
        <v>0.12916666666666668</v>
      </c>
      <c r="F45" s="2">
        <v>45017</v>
      </c>
      <c r="G45" s="3">
        <v>0.26250000000000001</v>
      </c>
      <c r="H45" s="1" t="s">
        <v>23</v>
      </c>
      <c r="I45" t="s">
        <v>8</v>
      </c>
      <c r="J45" t="s">
        <v>601</v>
      </c>
      <c r="K45" s="9">
        <v>42.6</v>
      </c>
      <c r="L45" t="s">
        <v>17</v>
      </c>
      <c r="M45">
        <v>44</v>
      </c>
      <c r="N45" t="s">
        <v>594</v>
      </c>
      <c r="O45" s="3">
        <f>(Sala[[#This Row],[Hora de Salida]]-Sala[[#This Row],[Hora de llegada]])+IF(Sala[[#This Row],[Estado de la Mesa]]="Ocupada",(TEXT((15/(60*24)),"h:mm")),(TEXT(0,"h:mm")))</f>
        <v>0.13333333333333333</v>
      </c>
      <c r="P45" s="43">
        <f>(SUMIF(Cocina[Número de Orden],Sala[[#This Row],[Número de Orden]],Cocina[Tiempo de Preparación]))</f>
        <v>85</v>
      </c>
      <c r="Q45" s="5" t="str">
        <f>TEXT(((SUMIF(Cocina[Número de Orden],Sala[[#This Row],[Número de Orden]],Cocina[Tiempo de Preparación]))/(60*24)),"h:mm")</f>
        <v>1:25</v>
      </c>
      <c r="R45" s="3">
        <f>MAX((Sala[[#This Row],[Tiempo de permanencia]]-Sala[[#This Row],[Tiempo de preparación (h)]]),0)</f>
        <v>7.4305555555555555E-2</v>
      </c>
      <c r="S45" s="8">
        <f>SUMIF(Cocina[Número de Orden],Sala[[#This Row],[Número de Orden]],Cocina[Ganancia bruta])</f>
        <v>122</v>
      </c>
      <c r="T45" s="8">
        <f>SUMIF(Cocina[Número de Orden],Sala[[#This Row],[Número de Orden]],Cocina[Costo Unitario])</f>
        <v>43</v>
      </c>
      <c r="U45" s="2">
        <f>Sala[[#This Row],[Fecha de Salida]]</f>
        <v>45017</v>
      </c>
      <c r="V45" s="7" t="str">
        <f>TEXT(Sala[[#This Row],[Fecha factura]],"dddd")</f>
        <v>sábado</v>
      </c>
      <c r="W45" t="str">
        <f>IF(Sala[[#This Row],[Tiempo de degustación]]&gt;0,"Sí","No")</f>
        <v>Sí</v>
      </c>
      <c r="X45" t="str">
        <f>IF(Sala[[#This Row],[Cobrada]]="Sí",Sala[[#This Row],[Método de Pago]],"Impago")</f>
        <v>Tarjeta de crédito</v>
      </c>
      <c r="Y45">
        <f>IF(Sala[[#This Row],[Cobrada]]="Sí",Sala[[#This Row],[Propina]],0)</f>
        <v>42.6</v>
      </c>
      <c r="Z45">
        <f>(IF(Sala[[#This Row],[Cobrada]]="Sí",Sala[[#This Row],[Monto total]],0))+Sala[[#This Row],[Propina real]]</f>
        <v>164.6</v>
      </c>
    </row>
    <row r="46" spans="1:26" x14ac:dyDescent="0.25">
      <c r="A46">
        <v>17</v>
      </c>
      <c r="B46" t="s">
        <v>78</v>
      </c>
      <c r="C46">
        <v>2</v>
      </c>
      <c r="D46" s="2">
        <v>45017</v>
      </c>
      <c r="E46" s="3">
        <v>9.375E-2</v>
      </c>
      <c r="F46" s="2">
        <v>45017</v>
      </c>
      <c r="G46" s="3">
        <v>0.1673611111111111</v>
      </c>
      <c r="H46" s="1" t="s">
        <v>16</v>
      </c>
      <c r="I46" t="s">
        <v>8</v>
      </c>
      <c r="J46" t="s">
        <v>601</v>
      </c>
      <c r="K46" s="9">
        <v>25.41</v>
      </c>
      <c r="L46" t="s">
        <v>9</v>
      </c>
      <c r="M46">
        <v>45</v>
      </c>
      <c r="N46" t="s">
        <v>593</v>
      </c>
      <c r="O46" s="3">
        <f>(Sala[[#This Row],[Hora de Salida]]-Sala[[#This Row],[Hora de llegada]])+IF(Sala[[#This Row],[Estado de la Mesa]]="Ocupada",(TEXT((15/(60*24)),"h:mm")),(TEXT(0,"h:mm")))</f>
        <v>7.3611111111111099E-2</v>
      </c>
      <c r="P46" s="43">
        <f>(SUMIF(Cocina[Número de Orden],Sala[[#This Row],[Número de Orden]],Cocina[Tiempo de Preparación]))</f>
        <v>47</v>
      </c>
      <c r="Q46" s="5" t="str">
        <f>TEXT(((SUMIF(Cocina[Número de Orden],Sala[[#This Row],[Número de Orden]],Cocina[Tiempo de Preparación]))/(60*24)),"h:mm")</f>
        <v>0:47</v>
      </c>
      <c r="R46" s="3">
        <f>MAX((Sala[[#This Row],[Tiempo de permanencia]]-Sala[[#This Row],[Tiempo de preparación (h)]]),0)</f>
        <v>4.0972222222222208E-2</v>
      </c>
      <c r="S46" s="8">
        <f>SUMIF(Cocina[Número de Orden],Sala[[#This Row],[Número de Orden]],Cocina[Ganancia bruta])</f>
        <v>54</v>
      </c>
      <c r="T46" s="8">
        <f>SUMIF(Cocina[Número de Orden],Sala[[#This Row],[Número de Orden]],Cocina[Costo Unitario])</f>
        <v>10</v>
      </c>
      <c r="U46" s="2">
        <f>Sala[[#This Row],[Fecha de Salida]]</f>
        <v>45017</v>
      </c>
      <c r="V46" s="7" t="str">
        <f>TEXT(Sala[[#This Row],[Fecha factura]],"dddd")</f>
        <v>sábado</v>
      </c>
      <c r="W46" t="str">
        <f>IF(Sala[[#This Row],[Tiempo de degustación]]&gt;0,"Sí","No")</f>
        <v>Sí</v>
      </c>
      <c r="X46" t="str">
        <f>IF(Sala[[#This Row],[Cobrada]]="Sí",Sala[[#This Row],[Método de Pago]],"Impago")</f>
        <v>Tarjeta de crédito</v>
      </c>
      <c r="Y46">
        <f>IF(Sala[[#This Row],[Cobrada]]="Sí",Sala[[#This Row],[Propina]],0)</f>
        <v>25.41</v>
      </c>
      <c r="Z46">
        <f>(IF(Sala[[#This Row],[Cobrada]]="Sí",Sala[[#This Row],[Monto total]],0))+Sala[[#This Row],[Propina real]]</f>
        <v>79.41</v>
      </c>
    </row>
    <row r="47" spans="1:26" x14ac:dyDescent="0.25">
      <c r="A47">
        <v>10</v>
      </c>
      <c r="B47" t="s">
        <v>80</v>
      </c>
      <c r="C47">
        <v>1</v>
      </c>
      <c r="D47" s="2">
        <v>45017</v>
      </c>
      <c r="E47" s="3">
        <v>7.4305555555555555E-2</v>
      </c>
      <c r="F47" s="2">
        <v>45017</v>
      </c>
      <c r="G47" s="3">
        <v>0.15208333333333332</v>
      </c>
      <c r="H47" s="1" t="s">
        <v>20</v>
      </c>
      <c r="I47" t="s">
        <v>8</v>
      </c>
      <c r="J47" t="s">
        <v>601</v>
      </c>
      <c r="K47" s="9">
        <v>27.97</v>
      </c>
      <c r="L47" t="s">
        <v>17</v>
      </c>
      <c r="M47">
        <v>46</v>
      </c>
      <c r="N47" t="s">
        <v>47</v>
      </c>
      <c r="O47" s="3">
        <f>(Sala[[#This Row],[Hora de Salida]]-Sala[[#This Row],[Hora de llegada]])+IF(Sala[[#This Row],[Estado de la Mesa]]="Ocupada",(TEXT((15/(60*24)),"h:mm")),(TEXT(0,"h:mm")))</f>
        <v>7.7777777777777765E-2</v>
      </c>
      <c r="P47" s="43">
        <f>(SUMIF(Cocina[Número de Orden],Sala[[#This Row],[Número de Orden]],Cocina[Tiempo de Preparación]))</f>
        <v>86</v>
      </c>
      <c r="Q47" s="5" t="str">
        <f>TEXT(((SUMIF(Cocina[Número de Orden],Sala[[#This Row],[Número de Orden]],Cocina[Tiempo de Preparación]))/(60*24)),"h:mm")</f>
        <v>1:26</v>
      </c>
      <c r="R47" s="3">
        <f>MAX((Sala[[#This Row],[Tiempo de permanencia]]-Sala[[#This Row],[Tiempo de preparación (h)]]),0)</f>
        <v>1.805555555555554E-2</v>
      </c>
      <c r="S47" s="8">
        <f>SUMIF(Cocina[Número de Orden],Sala[[#This Row],[Número de Orden]],Cocina[Ganancia bruta])</f>
        <v>140</v>
      </c>
      <c r="T47" s="8">
        <f>SUMIF(Cocina[Número de Orden],Sala[[#This Row],[Número de Orden]],Cocina[Costo Unitario])</f>
        <v>52</v>
      </c>
      <c r="U47" s="2">
        <f>Sala[[#This Row],[Fecha de Salida]]</f>
        <v>45017</v>
      </c>
      <c r="V47" s="7" t="str">
        <f>TEXT(Sala[[#This Row],[Fecha factura]],"dddd")</f>
        <v>sábado</v>
      </c>
      <c r="W47" t="str">
        <f>IF(Sala[[#This Row],[Tiempo de degustación]]&gt;0,"Sí","No")</f>
        <v>Sí</v>
      </c>
      <c r="X47" t="str">
        <f>IF(Sala[[#This Row],[Cobrada]]="Sí",Sala[[#This Row],[Método de Pago]],"Impago")</f>
        <v>Tarjeta de crédito</v>
      </c>
      <c r="Y47">
        <f>IF(Sala[[#This Row],[Cobrada]]="Sí",Sala[[#This Row],[Propina]],0)</f>
        <v>27.97</v>
      </c>
      <c r="Z47">
        <f>(IF(Sala[[#This Row],[Cobrada]]="Sí",Sala[[#This Row],[Monto total]],0))+Sala[[#This Row],[Propina real]]</f>
        <v>167.97</v>
      </c>
    </row>
    <row r="48" spans="1:26" x14ac:dyDescent="0.25">
      <c r="A48">
        <v>18</v>
      </c>
      <c r="B48" t="s">
        <v>81</v>
      </c>
      <c r="C48">
        <v>3</v>
      </c>
      <c r="D48" s="2">
        <v>45017</v>
      </c>
      <c r="E48" s="3">
        <v>0.14583333333333334</v>
      </c>
      <c r="F48" s="2">
        <v>45017</v>
      </c>
      <c r="G48" s="3">
        <v>0.31180555555555556</v>
      </c>
      <c r="H48" s="1" t="s">
        <v>16</v>
      </c>
      <c r="I48" t="s">
        <v>8</v>
      </c>
      <c r="J48" t="s">
        <v>601</v>
      </c>
      <c r="K48" s="9">
        <v>10.98</v>
      </c>
      <c r="L48" t="s">
        <v>28</v>
      </c>
      <c r="M48">
        <v>47</v>
      </c>
      <c r="N48" t="s">
        <v>18</v>
      </c>
      <c r="O48" s="3">
        <f>(Sala[[#This Row],[Hora de Salida]]-Sala[[#This Row],[Hora de llegada]])+IF(Sala[[#This Row],[Estado de la Mesa]]="Ocupada",(TEXT((15/(60*24)),"h:mm")),(TEXT(0,"h:mm")))</f>
        <v>0.17638888888888887</v>
      </c>
      <c r="P48" s="43">
        <f>(SUMIF(Cocina[Número de Orden],Sala[[#This Row],[Número de Orden]],Cocina[Tiempo de Preparación]))</f>
        <v>87</v>
      </c>
      <c r="Q48" s="5" t="str">
        <f>TEXT(((SUMIF(Cocina[Número de Orden],Sala[[#This Row],[Número de Orden]],Cocina[Tiempo de Preparación]))/(60*24)),"h:mm")</f>
        <v>1:27</v>
      </c>
      <c r="R48" s="3">
        <f>MAX((Sala[[#This Row],[Tiempo de permanencia]]-Sala[[#This Row],[Tiempo de preparación (h)]]),0)</f>
        <v>0.1159722222222222</v>
      </c>
      <c r="S48" s="8">
        <f>SUMIF(Cocina[Número de Orden],Sala[[#This Row],[Número de Orden]],Cocina[Ganancia bruta])</f>
        <v>109</v>
      </c>
      <c r="T48" s="8">
        <f>SUMIF(Cocina[Número de Orden],Sala[[#This Row],[Número de Orden]],Cocina[Costo Unitario])</f>
        <v>46</v>
      </c>
      <c r="U48" s="2">
        <f>Sala[[#This Row],[Fecha de Salida]]</f>
        <v>45017</v>
      </c>
      <c r="V48" s="7" t="str">
        <f>TEXT(Sala[[#This Row],[Fecha factura]],"dddd")</f>
        <v>sábado</v>
      </c>
      <c r="W48" t="str">
        <f>IF(Sala[[#This Row],[Tiempo de degustación]]&gt;0,"Sí","No")</f>
        <v>Sí</v>
      </c>
      <c r="X48" t="str">
        <f>IF(Sala[[#This Row],[Cobrada]]="Sí",Sala[[#This Row],[Método de Pago]],"Impago")</f>
        <v>Tarjeta de crédito</v>
      </c>
      <c r="Y48">
        <f>IF(Sala[[#This Row],[Cobrada]]="Sí",Sala[[#This Row],[Propina]],0)</f>
        <v>10.98</v>
      </c>
      <c r="Z48">
        <f>(IF(Sala[[#This Row],[Cobrada]]="Sí",Sala[[#This Row],[Monto total]],0))+Sala[[#This Row],[Propina real]]</f>
        <v>119.98</v>
      </c>
    </row>
    <row r="49" spans="1:26" x14ac:dyDescent="0.25">
      <c r="A49">
        <v>17</v>
      </c>
      <c r="B49" t="s">
        <v>82</v>
      </c>
      <c r="C49">
        <v>2</v>
      </c>
      <c r="D49" s="2">
        <v>45017</v>
      </c>
      <c r="E49" s="3">
        <v>1.9444444444444445E-2</v>
      </c>
      <c r="F49" s="2">
        <v>45017</v>
      </c>
      <c r="G49" s="3">
        <v>0.16805555555555557</v>
      </c>
      <c r="H49" s="1" t="s">
        <v>7</v>
      </c>
      <c r="I49" t="s">
        <v>12</v>
      </c>
      <c r="J49" t="s">
        <v>601</v>
      </c>
      <c r="K49" s="9">
        <v>25.31</v>
      </c>
      <c r="L49" t="s">
        <v>17</v>
      </c>
      <c r="M49">
        <v>48</v>
      </c>
      <c r="N49" t="s">
        <v>32</v>
      </c>
      <c r="O49" s="3">
        <f>(Sala[[#This Row],[Hora de Salida]]-Sala[[#This Row],[Hora de llegada]])+IF(Sala[[#This Row],[Estado de la Mesa]]="Ocupada",(TEXT((15/(60*24)),"h:mm")),(TEXT(0,"h:mm")))</f>
        <v>0.14861111111111114</v>
      </c>
      <c r="P49" s="43">
        <f>(SUMIF(Cocina[Número de Orden],Sala[[#This Row],[Número de Orden]],Cocina[Tiempo de Preparación]))</f>
        <v>124</v>
      </c>
      <c r="Q49" s="5" t="str">
        <f>TEXT(((SUMIF(Cocina[Número de Orden],Sala[[#This Row],[Número de Orden]],Cocina[Tiempo de Preparación]))/(60*24)),"h:mm")</f>
        <v>2:04</v>
      </c>
      <c r="R49" s="3">
        <f>MAX((Sala[[#This Row],[Tiempo de permanencia]]-Sala[[#This Row],[Tiempo de preparación (h)]]),0)</f>
        <v>6.2500000000000028E-2</v>
      </c>
      <c r="S49" s="8">
        <f>SUMIF(Cocina[Número de Orden],Sala[[#This Row],[Número de Orden]],Cocina[Ganancia bruta])</f>
        <v>158</v>
      </c>
      <c r="T49" s="8">
        <f>SUMIF(Cocina[Número de Orden],Sala[[#This Row],[Número de Orden]],Cocina[Costo Unitario])</f>
        <v>49</v>
      </c>
      <c r="U49" s="2">
        <f>Sala[[#This Row],[Fecha de Salida]]</f>
        <v>45017</v>
      </c>
      <c r="V49" s="7" t="str">
        <f>TEXT(Sala[[#This Row],[Fecha factura]],"dddd")</f>
        <v>sábado</v>
      </c>
      <c r="W49" t="str">
        <f>IF(Sala[[#This Row],[Tiempo de degustación]]&gt;0,"Sí","No")</f>
        <v>Sí</v>
      </c>
      <c r="X49" t="str">
        <f>IF(Sala[[#This Row],[Cobrada]]="Sí",Sala[[#This Row],[Método de Pago]],"Impago")</f>
        <v>Tarjeta de crédito</v>
      </c>
      <c r="Y49">
        <f>IF(Sala[[#This Row],[Cobrada]]="Sí",Sala[[#This Row],[Propina]],0)</f>
        <v>25.31</v>
      </c>
      <c r="Z49">
        <f>(IF(Sala[[#This Row],[Cobrada]]="Sí",Sala[[#This Row],[Monto total]],0))+Sala[[#This Row],[Propina real]]</f>
        <v>183.31</v>
      </c>
    </row>
    <row r="50" spans="1:26" x14ac:dyDescent="0.25">
      <c r="A50">
        <v>8</v>
      </c>
      <c r="B50" t="s">
        <v>83</v>
      </c>
      <c r="C50">
        <v>3</v>
      </c>
      <c r="D50" s="2">
        <v>45017</v>
      </c>
      <c r="E50" s="3">
        <v>7.2222222222222215E-2</v>
      </c>
      <c r="F50" s="2">
        <v>45017</v>
      </c>
      <c r="G50" s="3">
        <v>0.22847222222222222</v>
      </c>
      <c r="H50" s="1" t="s">
        <v>16</v>
      </c>
      <c r="I50" t="s">
        <v>8</v>
      </c>
      <c r="J50" t="s">
        <v>601</v>
      </c>
      <c r="K50" s="9">
        <v>20.92</v>
      </c>
      <c r="L50" t="s">
        <v>17</v>
      </c>
      <c r="M50">
        <v>49</v>
      </c>
      <c r="N50" t="s">
        <v>34</v>
      </c>
      <c r="O50" s="3">
        <f>(Sala[[#This Row],[Hora de Salida]]-Sala[[#This Row],[Hora de llegada]])+IF(Sala[[#This Row],[Estado de la Mesa]]="Ocupada",(TEXT((15/(60*24)),"h:mm")),(TEXT(0,"h:mm")))</f>
        <v>0.15625</v>
      </c>
      <c r="P50" s="43">
        <f>(SUMIF(Cocina[Número de Orden],Sala[[#This Row],[Número de Orden]],Cocina[Tiempo de Preparación]))</f>
        <v>81</v>
      </c>
      <c r="Q50" s="5" t="str">
        <f>TEXT(((SUMIF(Cocina[Número de Orden],Sala[[#This Row],[Número de Orden]],Cocina[Tiempo de Preparación]))/(60*24)),"h:mm")</f>
        <v>1:21</v>
      </c>
      <c r="R50" s="3">
        <f>MAX((Sala[[#This Row],[Tiempo de permanencia]]-Sala[[#This Row],[Tiempo de preparación (h)]]),0)</f>
        <v>0.1</v>
      </c>
      <c r="S50" s="8">
        <f>SUMIF(Cocina[Número de Orden],Sala[[#This Row],[Número de Orden]],Cocina[Ganancia bruta])</f>
        <v>186</v>
      </c>
      <c r="T50" s="8">
        <f>SUMIF(Cocina[Número de Orden],Sala[[#This Row],[Número de Orden]],Cocina[Costo Unitario])</f>
        <v>43</v>
      </c>
      <c r="U50" s="2">
        <f>Sala[[#This Row],[Fecha de Salida]]</f>
        <v>45017</v>
      </c>
      <c r="V50" s="7" t="str">
        <f>TEXT(Sala[[#This Row],[Fecha factura]],"dddd")</f>
        <v>sábado</v>
      </c>
      <c r="W50" t="str">
        <f>IF(Sala[[#This Row],[Tiempo de degustación]]&gt;0,"Sí","No")</f>
        <v>Sí</v>
      </c>
      <c r="X50" t="str">
        <f>IF(Sala[[#This Row],[Cobrada]]="Sí",Sala[[#This Row],[Método de Pago]],"Impago")</f>
        <v>Tarjeta de crédito</v>
      </c>
      <c r="Y50">
        <f>IF(Sala[[#This Row],[Cobrada]]="Sí",Sala[[#This Row],[Propina]],0)</f>
        <v>20.92</v>
      </c>
      <c r="Z50">
        <f>(IF(Sala[[#This Row],[Cobrada]]="Sí",Sala[[#This Row],[Monto total]],0))+Sala[[#This Row],[Propina real]]</f>
        <v>206.92000000000002</v>
      </c>
    </row>
    <row r="51" spans="1:26" x14ac:dyDescent="0.25">
      <c r="A51">
        <v>19</v>
      </c>
      <c r="B51" t="s">
        <v>84</v>
      </c>
      <c r="C51">
        <v>5</v>
      </c>
      <c r="D51" s="2">
        <v>45017</v>
      </c>
      <c r="E51" s="3">
        <v>0.16250000000000001</v>
      </c>
      <c r="F51" s="2">
        <v>45017</v>
      </c>
      <c r="G51" s="3">
        <v>0.28958333333333336</v>
      </c>
      <c r="H51" s="1" t="s">
        <v>23</v>
      </c>
      <c r="I51" t="s">
        <v>8</v>
      </c>
      <c r="J51" t="s">
        <v>600</v>
      </c>
      <c r="K51" s="9">
        <v>16.739999999999998</v>
      </c>
      <c r="L51" t="s">
        <v>28</v>
      </c>
      <c r="M51">
        <v>50</v>
      </c>
      <c r="N51" t="s">
        <v>59</v>
      </c>
      <c r="O51" s="3">
        <f>(Sala[[#This Row],[Hora de Salida]]-Sala[[#This Row],[Hora de llegada]])+IF(Sala[[#This Row],[Estado de la Mesa]]="Ocupada",(TEXT((15/(60*24)),"h:mm")),(TEXT(0,"h:mm")))</f>
        <v>0.13750000000000001</v>
      </c>
      <c r="P51" s="43">
        <f>(SUMIF(Cocina[Número de Orden],Sala[[#This Row],[Número de Orden]],Cocina[Tiempo de Preparación]))</f>
        <v>21</v>
      </c>
      <c r="Q51" s="5" t="str">
        <f>TEXT(((SUMIF(Cocina[Número de Orden],Sala[[#This Row],[Número de Orden]],Cocina[Tiempo de Preparación]))/(60*24)),"h:mm")</f>
        <v>0:21</v>
      </c>
      <c r="R51" s="3">
        <f>MAX((Sala[[#This Row],[Tiempo de permanencia]]-Sala[[#This Row],[Tiempo de preparación (h)]]),0)</f>
        <v>0.12291666666666667</v>
      </c>
      <c r="S51" s="8">
        <f>SUMIF(Cocina[Número de Orden],Sala[[#This Row],[Número de Orden]],Cocina[Ganancia bruta])</f>
        <v>76</v>
      </c>
      <c r="T51" s="8">
        <f>SUMIF(Cocina[Número de Orden],Sala[[#This Row],[Número de Orden]],Cocina[Costo Unitario])</f>
        <v>32</v>
      </c>
      <c r="U51" s="2">
        <f>Sala[[#This Row],[Fecha de Salida]]</f>
        <v>45017</v>
      </c>
      <c r="V51" s="7" t="str">
        <f>TEXT(Sala[[#This Row],[Fecha factura]],"dddd")</f>
        <v>sábado</v>
      </c>
      <c r="W51" t="str">
        <f>IF(Sala[[#This Row],[Tiempo de degustación]]&gt;0,"Sí","No")</f>
        <v>Sí</v>
      </c>
      <c r="X51" t="str">
        <f>IF(Sala[[#This Row],[Cobrada]]="Sí",Sala[[#This Row],[Método de Pago]],"Impago")</f>
        <v>Tarjeta de débito</v>
      </c>
      <c r="Y51">
        <f>IF(Sala[[#This Row],[Cobrada]]="Sí",Sala[[#This Row],[Propina]],0)</f>
        <v>16.739999999999998</v>
      </c>
      <c r="Z51">
        <f>(IF(Sala[[#This Row],[Cobrada]]="Sí",Sala[[#This Row],[Monto total]],0))+Sala[[#This Row],[Propina real]]</f>
        <v>92.74</v>
      </c>
    </row>
    <row r="52" spans="1:26" x14ac:dyDescent="0.25">
      <c r="A52">
        <v>12</v>
      </c>
      <c r="B52" t="s">
        <v>85</v>
      </c>
      <c r="C52">
        <v>1</v>
      </c>
      <c r="D52" s="2">
        <v>45017</v>
      </c>
      <c r="E52" s="3">
        <v>7.0833333333333331E-2</v>
      </c>
      <c r="F52" s="2">
        <v>45017</v>
      </c>
      <c r="G52" s="3">
        <v>0.12638888888888888</v>
      </c>
      <c r="H52" s="1" t="s">
        <v>20</v>
      </c>
      <c r="I52" t="s">
        <v>25</v>
      </c>
      <c r="J52" t="s">
        <v>601</v>
      </c>
      <c r="K52" s="9">
        <v>37.08</v>
      </c>
      <c r="L52" t="s">
        <v>9</v>
      </c>
      <c r="M52">
        <v>51</v>
      </c>
      <c r="N52" t="s">
        <v>594</v>
      </c>
      <c r="O52" s="3">
        <f>(Sala[[#This Row],[Hora de Salida]]-Sala[[#This Row],[Hora de llegada]])+IF(Sala[[#This Row],[Estado de la Mesa]]="Ocupada",(TEXT((15/(60*24)),"h:mm")),(TEXT(0,"h:mm")))</f>
        <v>5.5555555555555552E-2</v>
      </c>
      <c r="P52" s="43">
        <f>(SUMIF(Cocina[Número de Orden],Sala[[#This Row],[Número de Orden]],Cocina[Tiempo de Preparación]))</f>
        <v>164</v>
      </c>
      <c r="Q52" s="5" t="str">
        <f>TEXT(((SUMIF(Cocina[Número de Orden],Sala[[#This Row],[Número de Orden]],Cocina[Tiempo de Preparación]))/(60*24)),"h:mm")</f>
        <v>2:44</v>
      </c>
      <c r="R52" s="3">
        <f>MAX((Sala[[#This Row],[Tiempo de permanencia]]-Sala[[#This Row],[Tiempo de preparación (h)]]),0)</f>
        <v>0</v>
      </c>
      <c r="S52" s="8">
        <f>SUMIF(Cocina[Número de Orden],Sala[[#This Row],[Número de Orden]],Cocina[Ganancia bruta])</f>
        <v>225</v>
      </c>
      <c r="T52" s="8">
        <f>SUMIF(Cocina[Número de Orden],Sala[[#This Row],[Número de Orden]],Cocina[Costo Unitario])</f>
        <v>57</v>
      </c>
      <c r="U52" s="2">
        <f>Sala[[#This Row],[Fecha de Salida]]</f>
        <v>45017</v>
      </c>
      <c r="V52" s="7" t="str">
        <f>TEXT(Sala[[#This Row],[Fecha factura]],"dddd")</f>
        <v>sábado</v>
      </c>
      <c r="W52" t="str">
        <f>IF(Sala[[#This Row],[Tiempo de degustación]]&gt;0,"Sí","No")</f>
        <v>No</v>
      </c>
      <c r="X52" t="str">
        <f>IF(Sala[[#This Row],[Cobrada]]="Sí",Sala[[#This Row],[Método de Pago]],"Impago")</f>
        <v>Impago</v>
      </c>
      <c r="Y52">
        <f>IF(Sala[[#This Row],[Cobrada]]="Sí",Sala[[#This Row],[Propina]],0)</f>
        <v>0</v>
      </c>
      <c r="Z52">
        <f>(IF(Sala[[#This Row],[Cobrada]]="Sí",Sala[[#This Row],[Monto total]],0))+Sala[[#This Row],[Propina real]]</f>
        <v>0</v>
      </c>
    </row>
    <row r="53" spans="1:26" x14ac:dyDescent="0.25">
      <c r="A53">
        <v>7</v>
      </c>
      <c r="B53" t="s">
        <v>86</v>
      </c>
      <c r="C53">
        <v>4</v>
      </c>
      <c r="D53" s="2">
        <v>45017</v>
      </c>
      <c r="E53" s="3">
        <v>6.9444444444444447E-4</v>
      </c>
      <c r="F53" s="2">
        <v>45017</v>
      </c>
      <c r="G53" s="3">
        <v>4.9305555555555554E-2</v>
      </c>
      <c r="H53" s="1" t="s">
        <v>7</v>
      </c>
      <c r="I53" t="s">
        <v>8</v>
      </c>
      <c r="J53" t="s">
        <v>601</v>
      </c>
      <c r="K53" s="9">
        <v>46.88</v>
      </c>
      <c r="L53" t="s">
        <v>17</v>
      </c>
      <c r="M53">
        <v>52</v>
      </c>
      <c r="N53" t="s">
        <v>21</v>
      </c>
      <c r="O53" s="3">
        <f>(Sala[[#This Row],[Hora de Salida]]-Sala[[#This Row],[Hora de llegada]])+IF(Sala[[#This Row],[Estado de la Mesa]]="Ocupada",(TEXT((15/(60*24)),"h:mm")),(TEXT(0,"h:mm")))</f>
        <v>4.8611111111111112E-2</v>
      </c>
      <c r="P53" s="43">
        <f>(SUMIF(Cocina[Número de Orden],Sala[[#This Row],[Número de Orden]],Cocina[Tiempo de Preparación]))</f>
        <v>62</v>
      </c>
      <c r="Q53" s="5" t="str">
        <f>TEXT(((SUMIF(Cocina[Número de Orden],Sala[[#This Row],[Número de Orden]],Cocina[Tiempo de Preparación]))/(60*24)),"h:mm")</f>
        <v>1:02</v>
      </c>
      <c r="R53" s="3">
        <f>MAX((Sala[[#This Row],[Tiempo de permanencia]]-Sala[[#This Row],[Tiempo de preparación (h)]]),0)</f>
        <v>5.5555555555555566E-3</v>
      </c>
      <c r="S53" s="8">
        <f>SUMIF(Cocina[Número de Orden],Sala[[#This Row],[Número de Orden]],Cocina[Ganancia bruta])</f>
        <v>263</v>
      </c>
      <c r="T53" s="8">
        <f>SUMIF(Cocina[Número de Orden],Sala[[#This Row],[Número de Orden]],Cocina[Costo Unitario])</f>
        <v>59</v>
      </c>
      <c r="U53" s="2">
        <f>Sala[[#This Row],[Fecha de Salida]]</f>
        <v>45017</v>
      </c>
      <c r="V53" s="7" t="str">
        <f>TEXT(Sala[[#This Row],[Fecha factura]],"dddd")</f>
        <v>sábado</v>
      </c>
      <c r="W53" t="str">
        <f>IF(Sala[[#This Row],[Tiempo de degustación]]&gt;0,"Sí","No")</f>
        <v>Sí</v>
      </c>
      <c r="X53" t="str">
        <f>IF(Sala[[#This Row],[Cobrada]]="Sí",Sala[[#This Row],[Método de Pago]],"Impago")</f>
        <v>Tarjeta de crédito</v>
      </c>
      <c r="Y53">
        <f>IF(Sala[[#This Row],[Cobrada]]="Sí",Sala[[#This Row],[Propina]],0)</f>
        <v>46.88</v>
      </c>
      <c r="Z53">
        <f>(IF(Sala[[#This Row],[Cobrada]]="Sí",Sala[[#This Row],[Monto total]],0))+Sala[[#This Row],[Propina real]]</f>
        <v>309.88</v>
      </c>
    </row>
    <row r="54" spans="1:26" x14ac:dyDescent="0.25">
      <c r="A54">
        <v>16</v>
      </c>
      <c r="B54" t="s">
        <v>87</v>
      </c>
      <c r="C54">
        <v>5</v>
      </c>
      <c r="D54" s="2">
        <v>45017</v>
      </c>
      <c r="E54" s="3">
        <v>0.12569444444444444</v>
      </c>
      <c r="F54" s="2">
        <v>45017</v>
      </c>
      <c r="G54" s="3">
        <v>0.19722222222222222</v>
      </c>
      <c r="H54" s="1" t="s">
        <v>20</v>
      </c>
      <c r="I54" t="s">
        <v>8</v>
      </c>
      <c r="J54" t="s">
        <v>600</v>
      </c>
      <c r="K54" s="9">
        <v>36.880000000000003</v>
      </c>
      <c r="L54" t="s">
        <v>17</v>
      </c>
      <c r="M54">
        <v>53</v>
      </c>
      <c r="N54" t="s">
        <v>21</v>
      </c>
      <c r="O54" s="3">
        <f>(Sala[[#This Row],[Hora de Salida]]-Sala[[#This Row],[Hora de llegada]])+IF(Sala[[#This Row],[Estado de la Mesa]]="Ocupada",(TEXT((15/(60*24)),"h:mm")),(TEXT(0,"h:mm")))</f>
        <v>7.1527777777777773E-2</v>
      </c>
      <c r="P54" s="43">
        <f>(SUMIF(Cocina[Número de Orden],Sala[[#This Row],[Número de Orden]],Cocina[Tiempo de Preparación]))</f>
        <v>112</v>
      </c>
      <c r="Q54" s="5" t="str">
        <f>TEXT(((SUMIF(Cocina[Número de Orden],Sala[[#This Row],[Número de Orden]],Cocina[Tiempo de Preparación]))/(60*24)),"h:mm")</f>
        <v>1:52</v>
      </c>
      <c r="R54" s="3">
        <f>MAX((Sala[[#This Row],[Tiempo de permanencia]]-Sala[[#This Row],[Tiempo de preparación (h)]]),0)</f>
        <v>0</v>
      </c>
      <c r="S54" s="8">
        <f>SUMIF(Cocina[Número de Orden],Sala[[#This Row],[Número de Orden]],Cocina[Ganancia bruta])</f>
        <v>267</v>
      </c>
      <c r="T54" s="8">
        <f>SUMIF(Cocina[Número de Orden],Sala[[#This Row],[Número de Orden]],Cocina[Costo Unitario])</f>
        <v>54</v>
      </c>
      <c r="U54" s="2">
        <f>Sala[[#This Row],[Fecha de Salida]]</f>
        <v>45017</v>
      </c>
      <c r="V54" s="7" t="str">
        <f>TEXT(Sala[[#This Row],[Fecha factura]],"dddd")</f>
        <v>sábado</v>
      </c>
      <c r="W54" t="str">
        <f>IF(Sala[[#This Row],[Tiempo de degustación]]&gt;0,"Sí","No")</f>
        <v>No</v>
      </c>
      <c r="X54" t="str">
        <f>IF(Sala[[#This Row],[Cobrada]]="Sí",Sala[[#This Row],[Método de Pago]],"Impago")</f>
        <v>Impago</v>
      </c>
      <c r="Y54">
        <f>IF(Sala[[#This Row],[Cobrada]]="Sí",Sala[[#This Row],[Propina]],0)</f>
        <v>0</v>
      </c>
      <c r="Z54">
        <f>(IF(Sala[[#This Row],[Cobrada]]="Sí",Sala[[#This Row],[Monto total]],0))+Sala[[#This Row],[Propina real]]</f>
        <v>0</v>
      </c>
    </row>
    <row r="55" spans="1:26" x14ac:dyDescent="0.25">
      <c r="A55">
        <v>6</v>
      </c>
      <c r="B55" t="s">
        <v>88</v>
      </c>
      <c r="C55">
        <v>6</v>
      </c>
      <c r="D55" s="2">
        <v>45017</v>
      </c>
      <c r="E55" s="3">
        <v>2.7777777777777776E-2</v>
      </c>
      <c r="F55" s="2">
        <v>45017</v>
      </c>
      <c r="G55" s="3">
        <v>0.1763888888888889</v>
      </c>
      <c r="H55" s="1" t="s">
        <v>23</v>
      </c>
      <c r="I55" t="s">
        <v>25</v>
      </c>
      <c r="J55" t="s">
        <v>601</v>
      </c>
      <c r="K55" s="9">
        <v>23.36</v>
      </c>
      <c r="L55" t="s">
        <v>9</v>
      </c>
      <c r="M55">
        <v>54</v>
      </c>
      <c r="N55" t="s">
        <v>32</v>
      </c>
      <c r="O55" s="3">
        <f>(Sala[[#This Row],[Hora de Salida]]-Sala[[#This Row],[Hora de llegada]])+IF(Sala[[#This Row],[Estado de la Mesa]]="Ocupada",(TEXT((15/(60*24)),"h:mm")),(TEXT(0,"h:mm")))</f>
        <v>0.14861111111111114</v>
      </c>
      <c r="P55" s="43">
        <f>(SUMIF(Cocina[Número de Orden],Sala[[#This Row],[Número de Orden]],Cocina[Tiempo de Preparación]))</f>
        <v>203</v>
      </c>
      <c r="Q55" s="5" t="str">
        <f>TEXT(((SUMIF(Cocina[Número de Orden],Sala[[#This Row],[Número de Orden]],Cocina[Tiempo de Preparación]))/(60*24)),"h:mm")</f>
        <v>3:23</v>
      </c>
      <c r="R55" s="3">
        <f>MAX((Sala[[#This Row],[Tiempo de permanencia]]-Sala[[#This Row],[Tiempo de preparación (h)]]),0)</f>
        <v>7.6388888888889173E-3</v>
      </c>
      <c r="S55" s="8">
        <f>SUMIF(Cocina[Número de Orden],Sala[[#This Row],[Número de Orden]],Cocina[Ganancia bruta])</f>
        <v>187</v>
      </c>
      <c r="T55" s="8">
        <f>SUMIF(Cocina[Número de Orden],Sala[[#This Row],[Número de Orden]],Cocina[Costo Unitario])</f>
        <v>70</v>
      </c>
      <c r="U55" s="2">
        <f>Sala[[#This Row],[Fecha de Salida]]</f>
        <v>45017</v>
      </c>
      <c r="V55" s="7" t="str">
        <f>TEXT(Sala[[#This Row],[Fecha factura]],"dddd")</f>
        <v>sábado</v>
      </c>
      <c r="W55" t="str">
        <f>IF(Sala[[#This Row],[Tiempo de degustación]]&gt;0,"Sí","No")</f>
        <v>Sí</v>
      </c>
      <c r="X55" t="str">
        <f>IF(Sala[[#This Row],[Cobrada]]="Sí",Sala[[#This Row],[Método de Pago]],"Impago")</f>
        <v>Tarjeta de crédito</v>
      </c>
      <c r="Y55">
        <f>IF(Sala[[#This Row],[Cobrada]]="Sí",Sala[[#This Row],[Propina]],0)</f>
        <v>23.36</v>
      </c>
      <c r="Z55">
        <f>(IF(Sala[[#This Row],[Cobrada]]="Sí",Sala[[#This Row],[Monto total]],0))+Sala[[#This Row],[Propina real]]</f>
        <v>210.36</v>
      </c>
    </row>
    <row r="56" spans="1:26" x14ac:dyDescent="0.25">
      <c r="A56">
        <v>20</v>
      </c>
      <c r="B56" t="s">
        <v>89</v>
      </c>
      <c r="C56">
        <v>5</v>
      </c>
      <c r="D56" s="2">
        <v>45017</v>
      </c>
      <c r="E56" s="3">
        <v>6.25E-2</v>
      </c>
      <c r="F56" s="2">
        <v>45017</v>
      </c>
      <c r="G56" s="3">
        <v>0.20833333333333334</v>
      </c>
      <c r="H56" s="1" t="s">
        <v>23</v>
      </c>
      <c r="I56" t="s">
        <v>25</v>
      </c>
      <c r="J56" t="s">
        <v>601</v>
      </c>
      <c r="K56" s="9">
        <v>45.49</v>
      </c>
      <c r="L56" t="s">
        <v>28</v>
      </c>
      <c r="M56">
        <v>55</v>
      </c>
      <c r="N56" t="s">
        <v>593</v>
      </c>
      <c r="O56" s="3">
        <f>(Sala[[#This Row],[Hora de Salida]]-Sala[[#This Row],[Hora de llegada]])+IF(Sala[[#This Row],[Estado de la Mesa]]="Ocupada",(TEXT((15/(60*24)),"h:mm")),(TEXT(0,"h:mm")))</f>
        <v>0.15625</v>
      </c>
      <c r="P56" s="43">
        <f>(SUMIF(Cocina[Número de Orden],Sala[[#This Row],[Número de Orden]],Cocina[Tiempo de Preparación]))</f>
        <v>96</v>
      </c>
      <c r="Q56" s="5" t="str">
        <f>TEXT(((SUMIF(Cocina[Número de Orden],Sala[[#This Row],[Número de Orden]],Cocina[Tiempo de Preparación]))/(60*24)),"h:mm")</f>
        <v>1:36</v>
      </c>
      <c r="R56" s="3">
        <f>MAX((Sala[[#This Row],[Tiempo de permanencia]]-Sala[[#This Row],[Tiempo de preparación (h)]]),0)</f>
        <v>8.9583333333333334E-2</v>
      </c>
      <c r="S56" s="8">
        <f>SUMIF(Cocina[Número de Orden],Sala[[#This Row],[Número de Orden]],Cocina[Ganancia bruta])</f>
        <v>255</v>
      </c>
      <c r="T56" s="8">
        <f>SUMIF(Cocina[Número de Orden],Sala[[#This Row],[Número de Orden]],Cocina[Costo Unitario])</f>
        <v>75</v>
      </c>
      <c r="U56" s="2">
        <f>Sala[[#This Row],[Fecha de Salida]]</f>
        <v>45017</v>
      </c>
      <c r="V56" s="7" t="str">
        <f>TEXT(Sala[[#This Row],[Fecha factura]],"dddd")</f>
        <v>sábado</v>
      </c>
      <c r="W56" t="str">
        <f>IF(Sala[[#This Row],[Tiempo de degustación]]&gt;0,"Sí","No")</f>
        <v>Sí</v>
      </c>
      <c r="X56" t="str">
        <f>IF(Sala[[#This Row],[Cobrada]]="Sí",Sala[[#This Row],[Método de Pago]],"Impago")</f>
        <v>Tarjeta de crédito</v>
      </c>
      <c r="Y56">
        <f>IF(Sala[[#This Row],[Cobrada]]="Sí",Sala[[#This Row],[Propina]],0)</f>
        <v>45.49</v>
      </c>
      <c r="Z56">
        <f>(IF(Sala[[#This Row],[Cobrada]]="Sí",Sala[[#This Row],[Monto total]],0))+Sala[[#This Row],[Propina real]]</f>
        <v>300.49</v>
      </c>
    </row>
    <row r="57" spans="1:26" x14ac:dyDescent="0.25">
      <c r="A57">
        <v>1</v>
      </c>
      <c r="B57" t="s">
        <v>40</v>
      </c>
      <c r="C57">
        <v>3</v>
      </c>
      <c r="D57" s="2">
        <v>45017</v>
      </c>
      <c r="E57" s="3">
        <v>5.5555555555555552E-2</v>
      </c>
      <c r="F57" s="2">
        <v>45017</v>
      </c>
      <c r="G57" s="3">
        <v>0.20624999999999999</v>
      </c>
      <c r="H57" s="1" t="s">
        <v>20</v>
      </c>
      <c r="I57" t="s">
        <v>8</v>
      </c>
      <c r="J57" t="s">
        <v>600</v>
      </c>
      <c r="K57" s="9">
        <v>43.2</v>
      </c>
      <c r="L57" t="s">
        <v>17</v>
      </c>
      <c r="M57">
        <v>56</v>
      </c>
      <c r="N57" t="s">
        <v>44</v>
      </c>
      <c r="O57" s="3">
        <f>(Sala[[#This Row],[Hora de Salida]]-Sala[[#This Row],[Hora de llegada]])+IF(Sala[[#This Row],[Estado de la Mesa]]="Ocupada",(TEXT((15/(60*24)),"h:mm")),(TEXT(0,"h:mm")))</f>
        <v>0.15069444444444444</v>
      </c>
      <c r="P57" s="43">
        <f>(SUMIF(Cocina[Número de Orden],Sala[[#This Row],[Número de Orden]],Cocina[Tiempo de Preparación]))</f>
        <v>78</v>
      </c>
      <c r="Q57" s="5" t="str">
        <f>TEXT(((SUMIF(Cocina[Número de Orden],Sala[[#This Row],[Número de Orden]],Cocina[Tiempo de Preparación]))/(60*24)),"h:mm")</f>
        <v>1:18</v>
      </c>
      <c r="R57" s="3">
        <f>MAX((Sala[[#This Row],[Tiempo de permanencia]]-Sala[[#This Row],[Tiempo de preparación (h)]]),0)</f>
        <v>9.6527777777777768E-2</v>
      </c>
      <c r="S57" s="8">
        <f>SUMIF(Cocina[Número de Orden],Sala[[#This Row],[Número de Orden]],Cocina[Ganancia bruta])</f>
        <v>48</v>
      </c>
      <c r="T57" s="8">
        <f>SUMIF(Cocina[Número de Orden],Sala[[#This Row],[Número de Orden]],Cocina[Costo Unitario])</f>
        <v>28</v>
      </c>
      <c r="U57" s="2">
        <f>Sala[[#This Row],[Fecha de Salida]]</f>
        <v>45017</v>
      </c>
      <c r="V57" s="7" t="str">
        <f>TEXT(Sala[[#This Row],[Fecha factura]],"dddd")</f>
        <v>sábado</v>
      </c>
      <c r="W57" t="str">
        <f>IF(Sala[[#This Row],[Tiempo de degustación]]&gt;0,"Sí","No")</f>
        <v>Sí</v>
      </c>
      <c r="X57" t="str">
        <f>IF(Sala[[#This Row],[Cobrada]]="Sí",Sala[[#This Row],[Método de Pago]],"Impago")</f>
        <v>Tarjeta de débito</v>
      </c>
      <c r="Y57">
        <f>IF(Sala[[#This Row],[Cobrada]]="Sí",Sala[[#This Row],[Propina]],0)</f>
        <v>43.2</v>
      </c>
      <c r="Z57">
        <f>(IF(Sala[[#This Row],[Cobrada]]="Sí",Sala[[#This Row],[Monto total]],0))+Sala[[#This Row],[Propina real]]</f>
        <v>91.2</v>
      </c>
    </row>
    <row r="58" spans="1:26" x14ac:dyDescent="0.25">
      <c r="A58">
        <v>18</v>
      </c>
      <c r="B58" t="s">
        <v>90</v>
      </c>
      <c r="C58">
        <v>2</v>
      </c>
      <c r="D58" s="2">
        <v>45017</v>
      </c>
      <c r="E58" s="3">
        <v>0.12777777777777777</v>
      </c>
      <c r="F58" s="2">
        <v>45017</v>
      </c>
      <c r="G58" s="3">
        <v>0.20277777777777778</v>
      </c>
      <c r="H58" s="1" t="s">
        <v>16</v>
      </c>
      <c r="I58" t="s">
        <v>8</v>
      </c>
      <c r="J58" t="s">
        <v>601</v>
      </c>
      <c r="K58" s="9">
        <v>45.45</v>
      </c>
      <c r="L58" t="s">
        <v>17</v>
      </c>
      <c r="M58">
        <v>57</v>
      </c>
      <c r="N58" t="s">
        <v>14</v>
      </c>
      <c r="O58" s="3">
        <f>(Sala[[#This Row],[Hora de Salida]]-Sala[[#This Row],[Hora de llegada]])+IF(Sala[[#This Row],[Estado de la Mesa]]="Ocupada",(TEXT((15/(60*24)),"h:mm")),(TEXT(0,"h:mm")))</f>
        <v>7.5000000000000011E-2</v>
      </c>
      <c r="P58" s="43">
        <f>(SUMIF(Cocina[Número de Orden],Sala[[#This Row],[Número de Orden]],Cocina[Tiempo de Preparación]))</f>
        <v>68</v>
      </c>
      <c r="Q58" s="5" t="str">
        <f>TEXT(((SUMIF(Cocina[Número de Orden],Sala[[#This Row],[Número de Orden]],Cocina[Tiempo de Preparación]))/(60*24)),"h:mm")</f>
        <v>1:08</v>
      </c>
      <c r="R58" s="3">
        <f>MAX((Sala[[#This Row],[Tiempo de permanencia]]-Sala[[#This Row],[Tiempo de preparación (h)]]),0)</f>
        <v>2.777777777777779E-2</v>
      </c>
      <c r="S58" s="8">
        <f>SUMIF(Cocina[Número de Orden],Sala[[#This Row],[Número de Orden]],Cocina[Ganancia bruta])</f>
        <v>169</v>
      </c>
      <c r="T58" s="8">
        <f>SUMIF(Cocina[Número de Orden],Sala[[#This Row],[Número de Orden]],Cocina[Costo Unitario])</f>
        <v>81</v>
      </c>
      <c r="U58" s="2">
        <f>Sala[[#This Row],[Fecha de Salida]]</f>
        <v>45017</v>
      </c>
      <c r="V58" s="7" t="str">
        <f>TEXT(Sala[[#This Row],[Fecha factura]],"dddd")</f>
        <v>sábado</v>
      </c>
      <c r="W58" t="str">
        <f>IF(Sala[[#This Row],[Tiempo de degustación]]&gt;0,"Sí","No")</f>
        <v>Sí</v>
      </c>
      <c r="X58" t="str">
        <f>IF(Sala[[#This Row],[Cobrada]]="Sí",Sala[[#This Row],[Método de Pago]],"Impago")</f>
        <v>Tarjeta de crédito</v>
      </c>
      <c r="Y58">
        <f>IF(Sala[[#This Row],[Cobrada]]="Sí",Sala[[#This Row],[Propina]],0)</f>
        <v>45.45</v>
      </c>
      <c r="Z58">
        <f>(IF(Sala[[#This Row],[Cobrada]]="Sí",Sala[[#This Row],[Monto total]],0))+Sala[[#This Row],[Propina real]]</f>
        <v>214.45</v>
      </c>
    </row>
    <row r="59" spans="1:26" x14ac:dyDescent="0.25">
      <c r="A59">
        <v>8</v>
      </c>
      <c r="B59" t="s">
        <v>91</v>
      </c>
      <c r="C59">
        <v>3</v>
      </c>
      <c r="D59" s="2">
        <v>45017</v>
      </c>
      <c r="E59" s="3">
        <v>6.3194444444444442E-2</v>
      </c>
      <c r="F59" s="2">
        <v>45017</v>
      </c>
      <c r="G59" s="3">
        <v>0.18124999999999999</v>
      </c>
      <c r="H59" s="1" t="s">
        <v>11</v>
      </c>
      <c r="I59" t="s">
        <v>25</v>
      </c>
      <c r="J59" t="s">
        <v>601</v>
      </c>
      <c r="K59" s="9">
        <v>30.7</v>
      </c>
      <c r="L59" t="s">
        <v>9</v>
      </c>
      <c r="M59">
        <v>58</v>
      </c>
      <c r="N59" t="s">
        <v>18</v>
      </c>
      <c r="O59" s="3">
        <f>(Sala[[#This Row],[Hora de Salida]]-Sala[[#This Row],[Hora de llegada]])+IF(Sala[[#This Row],[Estado de la Mesa]]="Ocupada",(TEXT((15/(60*24)),"h:mm")),(TEXT(0,"h:mm")))</f>
        <v>0.11805555555555555</v>
      </c>
      <c r="P59" s="43">
        <f>(SUMIF(Cocina[Número de Orden],Sala[[#This Row],[Número de Orden]],Cocina[Tiempo de Preparación]))</f>
        <v>73</v>
      </c>
      <c r="Q59" s="5" t="str">
        <f>TEXT(((SUMIF(Cocina[Número de Orden],Sala[[#This Row],[Número de Orden]],Cocina[Tiempo de Preparación]))/(60*24)),"h:mm")</f>
        <v>1:13</v>
      </c>
      <c r="R59" s="3">
        <f>MAX((Sala[[#This Row],[Tiempo de permanencia]]-Sala[[#This Row],[Tiempo de preparación (h)]]),0)</f>
        <v>6.7361111111111108E-2</v>
      </c>
      <c r="S59" s="8">
        <f>SUMIF(Cocina[Número de Orden],Sala[[#This Row],[Número de Orden]],Cocina[Ganancia bruta])</f>
        <v>82</v>
      </c>
      <c r="T59" s="8">
        <f>SUMIF(Cocina[Número de Orden],Sala[[#This Row],[Número de Orden]],Cocina[Costo Unitario])</f>
        <v>25</v>
      </c>
      <c r="U59" s="2">
        <f>Sala[[#This Row],[Fecha de Salida]]</f>
        <v>45017</v>
      </c>
      <c r="V59" s="7" t="str">
        <f>TEXT(Sala[[#This Row],[Fecha factura]],"dddd")</f>
        <v>sábado</v>
      </c>
      <c r="W59" t="str">
        <f>IF(Sala[[#This Row],[Tiempo de degustación]]&gt;0,"Sí","No")</f>
        <v>Sí</v>
      </c>
      <c r="X59" t="str">
        <f>IF(Sala[[#This Row],[Cobrada]]="Sí",Sala[[#This Row],[Método de Pago]],"Impago")</f>
        <v>Tarjeta de crédito</v>
      </c>
      <c r="Y59">
        <f>IF(Sala[[#This Row],[Cobrada]]="Sí",Sala[[#This Row],[Propina]],0)</f>
        <v>30.7</v>
      </c>
      <c r="Z59">
        <f>(IF(Sala[[#This Row],[Cobrada]]="Sí",Sala[[#This Row],[Monto total]],0))+Sala[[#This Row],[Propina real]]</f>
        <v>112.7</v>
      </c>
    </row>
    <row r="60" spans="1:26" x14ac:dyDescent="0.25">
      <c r="A60">
        <v>8</v>
      </c>
      <c r="B60" t="s">
        <v>92</v>
      </c>
      <c r="C60">
        <v>4</v>
      </c>
      <c r="D60" s="2">
        <v>45017</v>
      </c>
      <c r="E60" s="3">
        <v>5.6250000000000001E-2</v>
      </c>
      <c r="F60" s="2">
        <v>45017</v>
      </c>
      <c r="G60" s="3">
        <v>0.21111111111111111</v>
      </c>
      <c r="H60" s="1" t="s">
        <v>11</v>
      </c>
      <c r="I60" t="s">
        <v>8</v>
      </c>
      <c r="J60" t="s">
        <v>13</v>
      </c>
      <c r="K60" s="9">
        <v>33.89</v>
      </c>
      <c r="L60" t="s">
        <v>17</v>
      </c>
      <c r="M60">
        <v>59</v>
      </c>
      <c r="N60" t="s">
        <v>14</v>
      </c>
      <c r="O60" s="3">
        <f>(Sala[[#This Row],[Hora de Salida]]-Sala[[#This Row],[Hora de llegada]])+IF(Sala[[#This Row],[Estado de la Mesa]]="Ocupada",(TEXT((15/(60*24)),"h:mm")),(TEXT(0,"h:mm")))</f>
        <v>0.15486111111111112</v>
      </c>
      <c r="P60" s="43">
        <f>(SUMIF(Cocina[Número de Orden],Sala[[#This Row],[Número de Orden]],Cocina[Tiempo de Preparación]))</f>
        <v>48</v>
      </c>
      <c r="Q60" s="5" t="str">
        <f>TEXT(((SUMIF(Cocina[Número de Orden],Sala[[#This Row],[Número de Orden]],Cocina[Tiempo de Preparación]))/(60*24)),"h:mm")</f>
        <v>0:48</v>
      </c>
      <c r="R60" s="3">
        <f>MAX((Sala[[#This Row],[Tiempo de permanencia]]-Sala[[#This Row],[Tiempo de preparación (h)]]),0)</f>
        <v>0.12152777777777779</v>
      </c>
      <c r="S60" s="8">
        <f>SUMIF(Cocina[Número de Orden],Sala[[#This Row],[Número de Orden]],Cocina[Ganancia bruta])</f>
        <v>160</v>
      </c>
      <c r="T60" s="8">
        <f>SUMIF(Cocina[Número de Orden],Sala[[#This Row],[Número de Orden]],Cocina[Costo Unitario])</f>
        <v>60</v>
      </c>
      <c r="U60" s="2">
        <f>Sala[[#This Row],[Fecha de Salida]]</f>
        <v>45017</v>
      </c>
      <c r="V60" s="7" t="str">
        <f>TEXT(Sala[[#This Row],[Fecha factura]],"dddd")</f>
        <v>sábado</v>
      </c>
      <c r="W60" t="str">
        <f>IF(Sala[[#This Row],[Tiempo de degustación]]&gt;0,"Sí","No")</f>
        <v>Sí</v>
      </c>
      <c r="X60" t="str">
        <f>IF(Sala[[#This Row],[Cobrada]]="Sí",Sala[[#This Row],[Método de Pago]],"Impago")</f>
        <v>Efectivo</v>
      </c>
      <c r="Y60">
        <f>IF(Sala[[#This Row],[Cobrada]]="Sí",Sala[[#This Row],[Propina]],0)</f>
        <v>33.89</v>
      </c>
      <c r="Z60">
        <f>(IF(Sala[[#This Row],[Cobrada]]="Sí",Sala[[#This Row],[Monto total]],0))+Sala[[#This Row],[Propina real]]</f>
        <v>193.89</v>
      </c>
    </row>
    <row r="61" spans="1:26" x14ac:dyDescent="0.25">
      <c r="A61">
        <v>6</v>
      </c>
      <c r="B61" t="s">
        <v>93</v>
      </c>
      <c r="C61">
        <v>1</v>
      </c>
      <c r="D61" s="2">
        <v>45017</v>
      </c>
      <c r="E61" s="3">
        <v>8.9583333333333334E-2</v>
      </c>
      <c r="F61" s="2">
        <v>45017</v>
      </c>
      <c r="G61" s="3">
        <v>0.24027777777777778</v>
      </c>
      <c r="H61" s="1" t="s">
        <v>11</v>
      </c>
      <c r="I61" t="s">
        <v>8</v>
      </c>
      <c r="J61" t="s">
        <v>601</v>
      </c>
      <c r="K61" s="9">
        <v>19.54</v>
      </c>
      <c r="L61" t="s">
        <v>9</v>
      </c>
      <c r="M61">
        <v>60</v>
      </c>
      <c r="N61" t="s">
        <v>32</v>
      </c>
      <c r="O61" s="3">
        <f>(Sala[[#This Row],[Hora de Salida]]-Sala[[#This Row],[Hora de llegada]])+IF(Sala[[#This Row],[Estado de la Mesa]]="Ocupada",(TEXT((15/(60*24)),"h:mm")),(TEXT(0,"h:mm")))</f>
        <v>0.15069444444444446</v>
      </c>
      <c r="P61" s="43">
        <f>(SUMIF(Cocina[Número de Orden],Sala[[#This Row],[Número de Orden]],Cocina[Tiempo de Preparación]))</f>
        <v>43</v>
      </c>
      <c r="Q61" s="5" t="str">
        <f>TEXT(((SUMIF(Cocina[Número de Orden],Sala[[#This Row],[Número de Orden]],Cocina[Tiempo de Preparación]))/(60*24)),"h:mm")</f>
        <v>0:43</v>
      </c>
      <c r="R61" s="3">
        <f>MAX((Sala[[#This Row],[Tiempo de permanencia]]-Sala[[#This Row],[Tiempo de preparación (h)]]),0)</f>
        <v>0.12083333333333335</v>
      </c>
      <c r="S61" s="8">
        <f>SUMIF(Cocina[Número de Orden],Sala[[#This Row],[Número de Orden]],Cocina[Ganancia bruta])</f>
        <v>102</v>
      </c>
      <c r="T61" s="8">
        <f>SUMIF(Cocina[Número de Orden],Sala[[#This Row],[Número de Orden]],Cocina[Costo Unitario])</f>
        <v>30</v>
      </c>
      <c r="U61" s="2">
        <f>Sala[[#This Row],[Fecha de Salida]]</f>
        <v>45017</v>
      </c>
      <c r="V61" s="7" t="str">
        <f>TEXT(Sala[[#This Row],[Fecha factura]],"dddd")</f>
        <v>sábado</v>
      </c>
      <c r="W61" t="str">
        <f>IF(Sala[[#This Row],[Tiempo de degustación]]&gt;0,"Sí","No")</f>
        <v>Sí</v>
      </c>
      <c r="X61" t="str">
        <f>IF(Sala[[#This Row],[Cobrada]]="Sí",Sala[[#This Row],[Método de Pago]],"Impago")</f>
        <v>Tarjeta de crédito</v>
      </c>
      <c r="Y61">
        <f>IF(Sala[[#This Row],[Cobrada]]="Sí",Sala[[#This Row],[Propina]],0)</f>
        <v>19.54</v>
      </c>
      <c r="Z61">
        <f>(IF(Sala[[#This Row],[Cobrada]]="Sí",Sala[[#This Row],[Monto total]],0))+Sala[[#This Row],[Propina real]]</f>
        <v>121.53999999999999</v>
      </c>
    </row>
    <row r="62" spans="1:26" x14ac:dyDescent="0.25">
      <c r="A62">
        <v>10</v>
      </c>
      <c r="B62" t="s">
        <v>94</v>
      </c>
      <c r="C62">
        <v>5</v>
      </c>
      <c r="D62" s="2">
        <v>45017</v>
      </c>
      <c r="E62" s="3">
        <v>0.15902777777777777</v>
      </c>
      <c r="F62" s="2">
        <v>45017</v>
      </c>
      <c r="G62" s="3">
        <v>0.26527777777777778</v>
      </c>
      <c r="H62" s="1" t="s">
        <v>16</v>
      </c>
      <c r="I62" t="s">
        <v>8</v>
      </c>
      <c r="J62" t="s">
        <v>601</v>
      </c>
      <c r="K62" s="9">
        <v>42.87</v>
      </c>
      <c r="L62" t="s">
        <v>28</v>
      </c>
      <c r="M62">
        <v>61</v>
      </c>
      <c r="N62" t="s">
        <v>47</v>
      </c>
      <c r="O62" s="3">
        <f>(Sala[[#This Row],[Hora de Salida]]-Sala[[#This Row],[Hora de llegada]])+IF(Sala[[#This Row],[Estado de la Mesa]]="Ocupada",(TEXT((15/(60*24)),"h:mm")),(TEXT(0,"h:mm")))</f>
        <v>0.11666666666666668</v>
      </c>
      <c r="P62" s="43">
        <f>(SUMIF(Cocina[Número de Orden],Sala[[#This Row],[Número de Orden]],Cocina[Tiempo de Preparación]))</f>
        <v>159</v>
      </c>
      <c r="Q62" s="5" t="str">
        <f>TEXT(((SUMIF(Cocina[Número de Orden],Sala[[#This Row],[Número de Orden]],Cocina[Tiempo de Preparación]))/(60*24)),"h:mm")</f>
        <v>2:39</v>
      </c>
      <c r="R62" s="3">
        <f>MAX((Sala[[#This Row],[Tiempo de permanencia]]-Sala[[#This Row],[Tiempo de preparación (h)]]),0)</f>
        <v>6.2500000000000194E-3</v>
      </c>
      <c r="S62" s="8">
        <f>SUMIF(Cocina[Número de Orden],Sala[[#This Row],[Número de Orden]],Cocina[Ganancia bruta])</f>
        <v>242</v>
      </c>
      <c r="T62" s="8">
        <f>SUMIF(Cocina[Número de Orden],Sala[[#This Row],[Número de Orden]],Cocina[Costo Unitario])</f>
        <v>69</v>
      </c>
      <c r="U62" s="2">
        <f>Sala[[#This Row],[Fecha de Salida]]</f>
        <v>45017</v>
      </c>
      <c r="V62" s="7" t="str">
        <f>TEXT(Sala[[#This Row],[Fecha factura]],"dddd")</f>
        <v>sábado</v>
      </c>
      <c r="W62" t="str">
        <f>IF(Sala[[#This Row],[Tiempo de degustación]]&gt;0,"Sí","No")</f>
        <v>Sí</v>
      </c>
      <c r="X62" t="str">
        <f>IF(Sala[[#This Row],[Cobrada]]="Sí",Sala[[#This Row],[Método de Pago]],"Impago")</f>
        <v>Tarjeta de crédito</v>
      </c>
      <c r="Y62">
        <f>IF(Sala[[#This Row],[Cobrada]]="Sí",Sala[[#This Row],[Propina]],0)</f>
        <v>42.87</v>
      </c>
      <c r="Z62">
        <f>(IF(Sala[[#This Row],[Cobrada]]="Sí",Sala[[#This Row],[Monto total]],0))+Sala[[#This Row],[Propina real]]</f>
        <v>284.87</v>
      </c>
    </row>
    <row r="63" spans="1:26" x14ac:dyDescent="0.25">
      <c r="A63">
        <v>2</v>
      </c>
      <c r="B63" t="s">
        <v>95</v>
      </c>
      <c r="C63">
        <v>1</v>
      </c>
      <c r="D63" s="2">
        <v>45017</v>
      </c>
      <c r="E63" s="3">
        <v>0.11597222222222223</v>
      </c>
      <c r="F63" s="2">
        <v>45017</v>
      </c>
      <c r="G63" s="3">
        <v>0.26666666666666666</v>
      </c>
      <c r="H63" s="1" t="s">
        <v>11</v>
      </c>
      <c r="I63" t="s">
        <v>25</v>
      </c>
      <c r="J63" t="s">
        <v>601</v>
      </c>
      <c r="K63" s="9">
        <v>37.93</v>
      </c>
      <c r="L63" t="s">
        <v>28</v>
      </c>
      <c r="M63">
        <v>62</v>
      </c>
      <c r="N63" t="s">
        <v>59</v>
      </c>
      <c r="O63" s="3">
        <f>(Sala[[#This Row],[Hora de Salida]]-Sala[[#This Row],[Hora de llegada]])+IF(Sala[[#This Row],[Estado de la Mesa]]="Ocupada",(TEXT((15/(60*24)),"h:mm")),(TEXT(0,"h:mm")))</f>
        <v>0.16111111111111109</v>
      </c>
      <c r="P63" s="43">
        <f>(SUMIF(Cocina[Número de Orden],Sala[[#This Row],[Número de Orden]],Cocina[Tiempo de Preparación]))</f>
        <v>155</v>
      </c>
      <c r="Q63" s="5" t="str">
        <f>TEXT(((SUMIF(Cocina[Número de Orden],Sala[[#This Row],[Número de Orden]],Cocina[Tiempo de Preparación]))/(60*24)),"h:mm")</f>
        <v>2:35</v>
      </c>
      <c r="R63" s="3">
        <f>MAX((Sala[[#This Row],[Tiempo de permanencia]]-Sala[[#This Row],[Tiempo de preparación (h)]]),0)</f>
        <v>5.3472222222222199E-2</v>
      </c>
      <c r="S63" s="8">
        <f>SUMIF(Cocina[Número de Orden],Sala[[#This Row],[Número de Orden]],Cocina[Ganancia bruta])</f>
        <v>148</v>
      </c>
      <c r="T63" s="8">
        <f>SUMIF(Cocina[Número de Orden],Sala[[#This Row],[Número de Orden]],Cocina[Costo Unitario])</f>
        <v>48</v>
      </c>
      <c r="U63" s="2">
        <f>Sala[[#This Row],[Fecha de Salida]]</f>
        <v>45017</v>
      </c>
      <c r="V63" s="7" t="str">
        <f>TEXT(Sala[[#This Row],[Fecha factura]],"dddd")</f>
        <v>sábado</v>
      </c>
      <c r="W63" t="str">
        <f>IF(Sala[[#This Row],[Tiempo de degustación]]&gt;0,"Sí","No")</f>
        <v>Sí</v>
      </c>
      <c r="X63" t="str">
        <f>IF(Sala[[#This Row],[Cobrada]]="Sí",Sala[[#This Row],[Método de Pago]],"Impago")</f>
        <v>Tarjeta de crédito</v>
      </c>
      <c r="Y63">
        <f>IF(Sala[[#This Row],[Cobrada]]="Sí",Sala[[#This Row],[Propina]],0)</f>
        <v>37.93</v>
      </c>
      <c r="Z63">
        <f>(IF(Sala[[#This Row],[Cobrada]]="Sí",Sala[[#This Row],[Monto total]],0))+Sala[[#This Row],[Propina real]]</f>
        <v>185.93</v>
      </c>
    </row>
    <row r="64" spans="1:26" x14ac:dyDescent="0.25">
      <c r="A64">
        <v>17</v>
      </c>
      <c r="B64" t="s">
        <v>35</v>
      </c>
      <c r="C64">
        <v>4</v>
      </c>
      <c r="D64" s="2">
        <v>45017</v>
      </c>
      <c r="E64" s="3">
        <v>2.8472222222222222E-2</v>
      </c>
      <c r="F64" s="2">
        <v>45017</v>
      </c>
      <c r="G64" s="3">
        <v>0.17083333333333334</v>
      </c>
      <c r="H64" s="1" t="s">
        <v>23</v>
      </c>
      <c r="I64" t="s">
        <v>8</v>
      </c>
      <c r="J64" t="s">
        <v>601</v>
      </c>
      <c r="K64" s="9">
        <v>33.340000000000003</v>
      </c>
      <c r="L64" t="s">
        <v>9</v>
      </c>
      <c r="M64">
        <v>63</v>
      </c>
      <c r="N64" t="s">
        <v>14</v>
      </c>
      <c r="O64" s="3">
        <f>(Sala[[#This Row],[Hora de Salida]]-Sala[[#This Row],[Hora de llegada]])+IF(Sala[[#This Row],[Estado de la Mesa]]="Ocupada",(TEXT((15/(60*24)),"h:mm")),(TEXT(0,"h:mm")))</f>
        <v>0.1423611111111111</v>
      </c>
      <c r="P64" s="43">
        <f>(SUMIF(Cocina[Número de Orden],Sala[[#This Row],[Número de Orden]],Cocina[Tiempo de Preparación]))</f>
        <v>30</v>
      </c>
      <c r="Q64" s="5" t="str">
        <f>TEXT(((SUMIF(Cocina[Número de Orden],Sala[[#This Row],[Número de Orden]],Cocina[Tiempo de Preparación]))/(60*24)),"h:mm")</f>
        <v>0:30</v>
      </c>
      <c r="R64" s="3">
        <f>MAX((Sala[[#This Row],[Tiempo de permanencia]]-Sala[[#This Row],[Tiempo de preparación (h)]]),0)</f>
        <v>0.12152777777777778</v>
      </c>
      <c r="S64" s="8">
        <f>SUMIF(Cocina[Número de Orden],Sala[[#This Row],[Número de Orden]],Cocina[Ganancia bruta])</f>
        <v>55</v>
      </c>
      <c r="T64" s="8">
        <f>SUMIF(Cocina[Número de Orden],Sala[[#This Row],[Número de Orden]],Cocina[Costo Unitario])</f>
        <v>33</v>
      </c>
      <c r="U64" s="2">
        <f>Sala[[#This Row],[Fecha de Salida]]</f>
        <v>45017</v>
      </c>
      <c r="V64" s="7" t="str">
        <f>TEXT(Sala[[#This Row],[Fecha factura]],"dddd")</f>
        <v>sábado</v>
      </c>
      <c r="W64" t="str">
        <f>IF(Sala[[#This Row],[Tiempo de degustación]]&gt;0,"Sí","No")</f>
        <v>Sí</v>
      </c>
      <c r="X64" t="str">
        <f>IF(Sala[[#This Row],[Cobrada]]="Sí",Sala[[#This Row],[Método de Pago]],"Impago")</f>
        <v>Tarjeta de crédito</v>
      </c>
      <c r="Y64">
        <f>IF(Sala[[#This Row],[Cobrada]]="Sí",Sala[[#This Row],[Propina]],0)</f>
        <v>33.340000000000003</v>
      </c>
      <c r="Z64">
        <f>(IF(Sala[[#This Row],[Cobrada]]="Sí",Sala[[#This Row],[Monto total]],0))+Sala[[#This Row],[Propina real]]</f>
        <v>88.34</v>
      </c>
    </row>
    <row r="65" spans="1:26" x14ac:dyDescent="0.25">
      <c r="A65">
        <v>3</v>
      </c>
      <c r="B65" t="s">
        <v>96</v>
      </c>
      <c r="C65">
        <v>3</v>
      </c>
      <c r="D65" s="2">
        <v>45017</v>
      </c>
      <c r="E65" s="3">
        <v>6.9444444444444448E-2</v>
      </c>
      <c r="F65" s="2">
        <v>45017</v>
      </c>
      <c r="G65" s="3">
        <v>0.16805555555555557</v>
      </c>
      <c r="H65" s="1" t="s">
        <v>20</v>
      </c>
      <c r="I65" t="s">
        <v>12</v>
      </c>
      <c r="J65" t="s">
        <v>13</v>
      </c>
      <c r="K65" s="9">
        <v>34.770000000000003</v>
      </c>
      <c r="L65" t="s">
        <v>9</v>
      </c>
      <c r="M65">
        <v>64</v>
      </c>
      <c r="N65" t="s">
        <v>593</v>
      </c>
      <c r="O65" s="3">
        <f>(Sala[[#This Row],[Hora de Salida]]-Sala[[#This Row],[Hora de llegada]])+IF(Sala[[#This Row],[Estado de la Mesa]]="Ocupada",(TEXT((15/(60*24)),"h:mm")),(TEXT(0,"h:mm")))</f>
        <v>9.8611111111111122E-2</v>
      </c>
      <c r="P65" s="43">
        <f>(SUMIF(Cocina[Número de Orden],Sala[[#This Row],[Número de Orden]],Cocina[Tiempo de Preparación]))</f>
        <v>82</v>
      </c>
      <c r="Q65" s="5" t="str">
        <f>TEXT(((SUMIF(Cocina[Número de Orden],Sala[[#This Row],[Número de Orden]],Cocina[Tiempo de Preparación]))/(60*24)),"h:mm")</f>
        <v>1:22</v>
      </c>
      <c r="R65" s="3">
        <f>MAX((Sala[[#This Row],[Tiempo de permanencia]]-Sala[[#This Row],[Tiempo de preparación (h)]]),0)</f>
        <v>4.1666666666666678E-2</v>
      </c>
      <c r="S65" s="8">
        <f>SUMIF(Cocina[Número de Orden],Sala[[#This Row],[Número de Orden]],Cocina[Ganancia bruta])</f>
        <v>288</v>
      </c>
      <c r="T65" s="8">
        <f>SUMIF(Cocina[Número de Orden],Sala[[#This Row],[Número de Orden]],Cocina[Costo Unitario])</f>
        <v>59</v>
      </c>
      <c r="U65" s="2">
        <f>Sala[[#This Row],[Fecha de Salida]]</f>
        <v>45017</v>
      </c>
      <c r="V65" s="7" t="str">
        <f>TEXT(Sala[[#This Row],[Fecha factura]],"dddd")</f>
        <v>sábado</v>
      </c>
      <c r="W65" t="str">
        <f>IF(Sala[[#This Row],[Tiempo de degustación]]&gt;0,"Sí","No")</f>
        <v>Sí</v>
      </c>
      <c r="X65" t="str">
        <f>IF(Sala[[#This Row],[Cobrada]]="Sí",Sala[[#This Row],[Método de Pago]],"Impago")</f>
        <v>Efectivo</v>
      </c>
      <c r="Y65">
        <f>IF(Sala[[#This Row],[Cobrada]]="Sí",Sala[[#This Row],[Propina]],0)</f>
        <v>34.770000000000003</v>
      </c>
      <c r="Z65">
        <f>(IF(Sala[[#This Row],[Cobrada]]="Sí",Sala[[#This Row],[Monto total]],0))+Sala[[#This Row],[Propina real]]</f>
        <v>322.77</v>
      </c>
    </row>
    <row r="66" spans="1:26" x14ac:dyDescent="0.25">
      <c r="A66">
        <v>5</v>
      </c>
      <c r="B66" t="s">
        <v>97</v>
      </c>
      <c r="C66">
        <v>1</v>
      </c>
      <c r="D66" s="2">
        <v>45017</v>
      </c>
      <c r="E66" s="3">
        <v>7.9166666666666663E-2</v>
      </c>
      <c r="F66" s="2">
        <v>45017</v>
      </c>
      <c r="G66" s="3">
        <v>0.12708333333333333</v>
      </c>
      <c r="H66" s="1" t="s">
        <v>7</v>
      </c>
      <c r="I66" t="s">
        <v>8</v>
      </c>
      <c r="J66" t="s">
        <v>600</v>
      </c>
      <c r="K66" s="9">
        <v>14</v>
      </c>
      <c r="L66" t="s">
        <v>28</v>
      </c>
      <c r="M66">
        <v>65</v>
      </c>
      <c r="N66" t="s">
        <v>32</v>
      </c>
      <c r="O66" s="3">
        <f>(Sala[[#This Row],[Hora de Salida]]-Sala[[#This Row],[Hora de llegada]])+IF(Sala[[#This Row],[Estado de la Mesa]]="Ocupada",(TEXT((15/(60*24)),"h:mm")),(TEXT(0,"h:mm")))</f>
        <v>5.8333333333333327E-2</v>
      </c>
      <c r="P66" s="43">
        <f>(SUMIF(Cocina[Número de Orden],Sala[[#This Row],[Número de Orden]],Cocina[Tiempo de Preparación]))</f>
        <v>155</v>
      </c>
      <c r="Q66" s="5" t="str">
        <f>TEXT(((SUMIF(Cocina[Número de Orden],Sala[[#This Row],[Número de Orden]],Cocina[Tiempo de Preparación]))/(60*24)),"h:mm")</f>
        <v>2:35</v>
      </c>
      <c r="R66" s="3">
        <f>MAX((Sala[[#This Row],[Tiempo de permanencia]]-Sala[[#This Row],[Tiempo de preparación (h)]]),0)</f>
        <v>0</v>
      </c>
      <c r="S66" s="8">
        <f>SUMIF(Cocina[Número de Orden],Sala[[#This Row],[Número de Orden]],Cocina[Ganancia bruta])</f>
        <v>196</v>
      </c>
      <c r="T66" s="8">
        <f>SUMIF(Cocina[Número de Orden],Sala[[#This Row],[Número de Orden]],Cocina[Costo Unitario])</f>
        <v>71</v>
      </c>
      <c r="U66" s="2">
        <f>Sala[[#This Row],[Fecha de Salida]]</f>
        <v>45017</v>
      </c>
      <c r="V66" s="7" t="str">
        <f>TEXT(Sala[[#This Row],[Fecha factura]],"dddd")</f>
        <v>sábado</v>
      </c>
      <c r="W66" t="str">
        <f>IF(Sala[[#This Row],[Tiempo de degustación]]&gt;0,"Sí","No")</f>
        <v>No</v>
      </c>
      <c r="X66" t="str">
        <f>IF(Sala[[#This Row],[Cobrada]]="Sí",Sala[[#This Row],[Método de Pago]],"Impago")</f>
        <v>Impago</v>
      </c>
      <c r="Y66">
        <f>IF(Sala[[#This Row],[Cobrada]]="Sí",Sala[[#This Row],[Propina]],0)</f>
        <v>0</v>
      </c>
      <c r="Z66">
        <f>(IF(Sala[[#This Row],[Cobrada]]="Sí",Sala[[#This Row],[Monto total]],0))+Sala[[#This Row],[Propina real]]</f>
        <v>0</v>
      </c>
    </row>
    <row r="67" spans="1:26" x14ac:dyDescent="0.25">
      <c r="A67">
        <v>18</v>
      </c>
      <c r="B67" t="s">
        <v>98</v>
      </c>
      <c r="C67">
        <v>2</v>
      </c>
      <c r="D67" s="2">
        <v>45017</v>
      </c>
      <c r="E67" s="3">
        <v>0.10277777777777777</v>
      </c>
      <c r="F67" s="2">
        <v>45017</v>
      </c>
      <c r="G67" s="3">
        <v>0.26250000000000001</v>
      </c>
      <c r="H67" s="1" t="s">
        <v>20</v>
      </c>
      <c r="I67" t="s">
        <v>8</v>
      </c>
      <c r="J67" t="s">
        <v>601</v>
      </c>
      <c r="K67" s="9">
        <v>10.88</v>
      </c>
      <c r="L67" t="s">
        <v>9</v>
      </c>
      <c r="M67">
        <v>66</v>
      </c>
      <c r="N67" t="s">
        <v>594</v>
      </c>
      <c r="O67" s="3">
        <f>(Sala[[#This Row],[Hora de Salida]]-Sala[[#This Row],[Hora de llegada]])+IF(Sala[[#This Row],[Estado de la Mesa]]="Ocupada",(TEXT((15/(60*24)),"h:mm")),(TEXT(0,"h:mm")))</f>
        <v>0.15972222222222224</v>
      </c>
      <c r="P67" s="43">
        <f>(SUMIF(Cocina[Número de Orden],Sala[[#This Row],[Número de Orden]],Cocina[Tiempo de Preparación]))</f>
        <v>114</v>
      </c>
      <c r="Q67" s="5" t="str">
        <f>TEXT(((SUMIF(Cocina[Número de Orden],Sala[[#This Row],[Número de Orden]],Cocina[Tiempo de Preparación]))/(60*24)),"h:mm")</f>
        <v>1:54</v>
      </c>
      <c r="R67" s="3">
        <f>MAX((Sala[[#This Row],[Tiempo de permanencia]]-Sala[[#This Row],[Tiempo de preparación (h)]]),0)</f>
        <v>8.0555555555555575E-2</v>
      </c>
      <c r="S67" s="8">
        <f>SUMIF(Cocina[Número de Orden],Sala[[#This Row],[Número de Orden]],Cocina[Ganancia bruta])</f>
        <v>210</v>
      </c>
      <c r="T67" s="8">
        <f>SUMIF(Cocina[Número de Orden],Sala[[#This Row],[Número de Orden]],Cocina[Costo Unitario])</f>
        <v>57</v>
      </c>
      <c r="U67" s="2">
        <f>Sala[[#This Row],[Fecha de Salida]]</f>
        <v>45017</v>
      </c>
      <c r="V67" s="7" t="str">
        <f>TEXT(Sala[[#This Row],[Fecha factura]],"dddd")</f>
        <v>sábado</v>
      </c>
      <c r="W67" t="str">
        <f>IF(Sala[[#This Row],[Tiempo de degustación]]&gt;0,"Sí","No")</f>
        <v>Sí</v>
      </c>
      <c r="X67" t="str">
        <f>IF(Sala[[#This Row],[Cobrada]]="Sí",Sala[[#This Row],[Método de Pago]],"Impago")</f>
        <v>Tarjeta de crédito</v>
      </c>
      <c r="Y67">
        <f>IF(Sala[[#This Row],[Cobrada]]="Sí",Sala[[#This Row],[Propina]],0)</f>
        <v>10.88</v>
      </c>
      <c r="Z67">
        <f>(IF(Sala[[#This Row],[Cobrada]]="Sí",Sala[[#This Row],[Monto total]],0))+Sala[[#This Row],[Propina real]]</f>
        <v>220.88</v>
      </c>
    </row>
    <row r="68" spans="1:26" x14ac:dyDescent="0.25">
      <c r="A68">
        <v>2</v>
      </c>
      <c r="B68" t="s">
        <v>99</v>
      </c>
      <c r="C68">
        <v>6</v>
      </c>
      <c r="D68" s="2">
        <v>45017</v>
      </c>
      <c r="E68" s="3">
        <v>0.15625</v>
      </c>
      <c r="F68" s="2">
        <v>45017</v>
      </c>
      <c r="G68" s="3">
        <v>0.21527777777777779</v>
      </c>
      <c r="H68" s="1" t="s">
        <v>16</v>
      </c>
      <c r="I68" t="s">
        <v>8</v>
      </c>
      <c r="J68" t="s">
        <v>600</v>
      </c>
      <c r="K68" s="9">
        <v>21.25</v>
      </c>
      <c r="L68" t="s">
        <v>9</v>
      </c>
      <c r="M68">
        <v>67</v>
      </c>
      <c r="N68" t="s">
        <v>593</v>
      </c>
      <c r="O68" s="3">
        <f>(Sala[[#This Row],[Hora de Salida]]-Sala[[#This Row],[Hora de llegada]])+IF(Sala[[#This Row],[Estado de la Mesa]]="Ocupada",(TEXT((15/(60*24)),"h:mm")),(TEXT(0,"h:mm")))</f>
        <v>5.902777777777779E-2</v>
      </c>
      <c r="P68" s="43">
        <f>(SUMIF(Cocina[Número de Orden],Sala[[#This Row],[Número de Orden]],Cocina[Tiempo de Preparación]))</f>
        <v>131</v>
      </c>
      <c r="Q68" s="5" t="str">
        <f>TEXT(((SUMIF(Cocina[Número de Orden],Sala[[#This Row],[Número de Orden]],Cocina[Tiempo de Preparación]))/(60*24)),"h:mm")</f>
        <v>2:11</v>
      </c>
      <c r="R68" s="3">
        <f>MAX((Sala[[#This Row],[Tiempo de permanencia]]-Sala[[#This Row],[Tiempo de preparación (h)]]),0)</f>
        <v>0</v>
      </c>
      <c r="S68" s="8">
        <f>SUMIF(Cocina[Número de Orden],Sala[[#This Row],[Número de Orden]],Cocina[Ganancia bruta])</f>
        <v>256</v>
      </c>
      <c r="T68" s="8">
        <f>SUMIF(Cocina[Número de Orden],Sala[[#This Row],[Número de Orden]],Cocina[Costo Unitario])</f>
        <v>80</v>
      </c>
      <c r="U68" s="2">
        <f>Sala[[#This Row],[Fecha de Salida]]</f>
        <v>45017</v>
      </c>
      <c r="V68" s="7" t="str">
        <f>TEXT(Sala[[#This Row],[Fecha factura]],"dddd")</f>
        <v>sábado</v>
      </c>
      <c r="W68" t="str">
        <f>IF(Sala[[#This Row],[Tiempo de degustación]]&gt;0,"Sí","No")</f>
        <v>No</v>
      </c>
      <c r="X68" t="str">
        <f>IF(Sala[[#This Row],[Cobrada]]="Sí",Sala[[#This Row],[Método de Pago]],"Impago")</f>
        <v>Impago</v>
      </c>
      <c r="Y68">
        <f>IF(Sala[[#This Row],[Cobrada]]="Sí",Sala[[#This Row],[Propina]],0)</f>
        <v>0</v>
      </c>
      <c r="Z68">
        <f>(IF(Sala[[#This Row],[Cobrada]]="Sí",Sala[[#This Row],[Monto total]],0))+Sala[[#This Row],[Propina real]]</f>
        <v>0</v>
      </c>
    </row>
    <row r="69" spans="1:26" x14ac:dyDescent="0.25">
      <c r="A69">
        <v>8</v>
      </c>
      <c r="B69" t="s">
        <v>100</v>
      </c>
      <c r="C69">
        <v>4</v>
      </c>
      <c r="D69" s="2">
        <v>45017</v>
      </c>
      <c r="E69" s="3">
        <v>1.3888888888888889E-3</v>
      </c>
      <c r="F69" s="2">
        <v>45017</v>
      </c>
      <c r="G69" s="3">
        <v>0.13541666666666666</v>
      </c>
      <c r="H69" s="1" t="s">
        <v>20</v>
      </c>
      <c r="I69" t="s">
        <v>25</v>
      </c>
      <c r="J69" t="s">
        <v>601</v>
      </c>
      <c r="K69" s="9">
        <v>45.65</v>
      </c>
      <c r="L69" t="s">
        <v>28</v>
      </c>
      <c r="M69">
        <v>68</v>
      </c>
      <c r="N69" t="s">
        <v>18</v>
      </c>
      <c r="O69" s="3">
        <f>(Sala[[#This Row],[Hora de Salida]]-Sala[[#This Row],[Hora de llegada]])+IF(Sala[[#This Row],[Estado de la Mesa]]="Ocupada",(TEXT((15/(60*24)),"h:mm")),(TEXT(0,"h:mm")))</f>
        <v>0.14444444444444443</v>
      </c>
      <c r="P69" s="43">
        <f>(SUMIF(Cocina[Número de Orden],Sala[[#This Row],[Número de Orden]],Cocina[Tiempo de Preparación]))</f>
        <v>145</v>
      </c>
      <c r="Q69" s="5" t="str">
        <f>TEXT(((SUMIF(Cocina[Número de Orden],Sala[[#This Row],[Número de Orden]],Cocina[Tiempo de Preparación]))/(60*24)),"h:mm")</f>
        <v>2:25</v>
      </c>
      <c r="R69" s="3">
        <f>MAX((Sala[[#This Row],[Tiempo de permanencia]]-Sala[[#This Row],[Tiempo de preparación (h)]]),0)</f>
        <v>4.3749999999999983E-2</v>
      </c>
      <c r="S69" s="8">
        <f>SUMIF(Cocina[Número de Orden],Sala[[#This Row],[Número de Orden]],Cocina[Ganancia bruta])</f>
        <v>218</v>
      </c>
      <c r="T69" s="8">
        <f>SUMIF(Cocina[Número de Orden],Sala[[#This Row],[Número de Orden]],Cocina[Costo Unitario])</f>
        <v>64</v>
      </c>
      <c r="U69" s="2">
        <f>Sala[[#This Row],[Fecha de Salida]]</f>
        <v>45017</v>
      </c>
      <c r="V69" s="7" t="str">
        <f>TEXT(Sala[[#This Row],[Fecha factura]],"dddd")</f>
        <v>sábado</v>
      </c>
      <c r="W69" t="str">
        <f>IF(Sala[[#This Row],[Tiempo de degustación]]&gt;0,"Sí","No")</f>
        <v>Sí</v>
      </c>
      <c r="X69" t="str">
        <f>IF(Sala[[#This Row],[Cobrada]]="Sí",Sala[[#This Row],[Método de Pago]],"Impago")</f>
        <v>Tarjeta de crédito</v>
      </c>
      <c r="Y69">
        <f>IF(Sala[[#This Row],[Cobrada]]="Sí",Sala[[#This Row],[Propina]],0)</f>
        <v>45.65</v>
      </c>
      <c r="Z69">
        <f>(IF(Sala[[#This Row],[Cobrada]]="Sí",Sala[[#This Row],[Monto total]],0))+Sala[[#This Row],[Propina real]]</f>
        <v>263.64999999999998</v>
      </c>
    </row>
    <row r="70" spans="1:26" x14ac:dyDescent="0.25">
      <c r="A70">
        <v>5</v>
      </c>
      <c r="B70" t="s">
        <v>101</v>
      </c>
      <c r="C70">
        <v>4</v>
      </c>
      <c r="D70" s="2">
        <v>45017</v>
      </c>
      <c r="E70" s="3">
        <v>8.4722222222222227E-2</v>
      </c>
      <c r="F70" s="2">
        <v>45017</v>
      </c>
      <c r="G70" s="3">
        <v>0.16458333333333333</v>
      </c>
      <c r="H70" s="1" t="s">
        <v>16</v>
      </c>
      <c r="I70" t="s">
        <v>8</v>
      </c>
      <c r="J70" t="s">
        <v>601</v>
      </c>
      <c r="K70" s="9">
        <v>31.49</v>
      </c>
      <c r="L70" t="s">
        <v>17</v>
      </c>
      <c r="M70">
        <v>69</v>
      </c>
      <c r="N70" t="s">
        <v>593</v>
      </c>
      <c r="O70" s="3">
        <f>(Sala[[#This Row],[Hora de Salida]]-Sala[[#This Row],[Hora de llegada]])+IF(Sala[[#This Row],[Estado de la Mesa]]="Ocupada",(TEXT((15/(60*24)),"h:mm")),(TEXT(0,"h:mm")))</f>
        <v>7.9861111111111105E-2</v>
      </c>
      <c r="P70" s="43">
        <f>(SUMIF(Cocina[Número de Orden],Sala[[#This Row],[Número de Orden]],Cocina[Tiempo de Preparación]))</f>
        <v>92</v>
      </c>
      <c r="Q70" s="5" t="str">
        <f>TEXT(((SUMIF(Cocina[Número de Orden],Sala[[#This Row],[Número de Orden]],Cocina[Tiempo de Preparación]))/(60*24)),"h:mm")</f>
        <v>1:32</v>
      </c>
      <c r="R70" s="3">
        <f>MAX((Sala[[#This Row],[Tiempo de permanencia]]-Sala[[#This Row],[Tiempo de preparación (h)]]),0)</f>
        <v>1.5972222222222221E-2</v>
      </c>
      <c r="S70" s="8">
        <f>SUMIF(Cocina[Número de Orden],Sala[[#This Row],[Número de Orden]],Cocina[Ganancia bruta])</f>
        <v>234</v>
      </c>
      <c r="T70" s="8">
        <f>SUMIF(Cocina[Número de Orden],Sala[[#This Row],[Número de Orden]],Cocina[Costo Unitario])</f>
        <v>47</v>
      </c>
      <c r="U70" s="2">
        <f>Sala[[#This Row],[Fecha de Salida]]</f>
        <v>45017</v>
      </c>
      <c r="V70" s="7" t="str">
        <f>TEXT(Sala[[#This Row],[Fecha factura]],"dddd")</f>
        <v>sábado</v>
      </c>
      <c r="W70" t="str">
        <f>IF(Sala[[#This Row],[Tiempo de degustación]]&gt;0,"Sí","No")</f>
        <v>Sí</v>
      </c>
      <c r="X70" t="str">
        <f>IF(Sala[[#This Row],[Cobrada]]="Sí",Sala[[#This Row],[Método de Pago]],"Impago")</f>
        <v>Tarjeta de crédito</v>
      </c>
      <c r="Y70">
        <f>IF(Sala[[#This Row],[Cobrada]]="Sí",Sala[[#This Row],[Propina]],0)</f>
        <v>31.49</v>
      </c>
      <c r="Z70">
        <f>(IF(Sala[[#This Row],[Cobrada]]="Sí",Sala[[#This Row],[Monto total]],0))+Sala[[#This Row],[Propina real]]</f>
        <v>265.49</v>
      </c>
    </row>
    <row r="71" spans="1:26" x14ac:dyDescent="0.25">
      <c r="A71">
        <v>17</v>
      </c>
      <c r="B71" t="s">
        <v>102</v>
      </c>
      <c r="C71">
        <v>4</v>
      </c>
      <c r="D71" s="2">
        <v>45017</v>
      </c>
      <c r="E71" s="3">
        <v>7.6388888888888886E-3</v>
      </c>
      <c r="F71" s="2">
        <v>45017</v>
      </c>
      <c r="G71" s="3">
        <v>5.6944444444444443E-2</v>
      </c>
      <c r="H71" s="1" t="s">
        <v>23</v>
      </c>
      <c r="I71" t="s">
        <v>8</v>
      </c>
      <c r="J71" t="s">
        <v>600</v>
      </c>
      <c r="K71" s="9">
        <v>28.26</v>
      </c>
      <c r="L71" t="s">
        <v>17</v>
      </c>
      <c r="M71">
        <v>70</v>
      </c>
      <c r="N71" t="s">
        <v>21</v>
      </c>
      <c r="O71" s="3">
        <f>(Sala[[#This Row],[Hora de Salida]]-Sala[[#This Row],[Hora de llegada]])+IF(Sala[[#This Row],[Estado de la Mesa]]="Ocupada",(TEXT((15/(60*24)),"h:mm")),(TEXT(0,"h:mm")))</f>
        <v>4.9305555555555554E-2</v>
      </c>
      <c r="P71" s="43">
        <f>(SUMIF(Cocina[Número de Orden],Sala[[#This Row],[Número de Orden]],Cocina[Tiempo de Preparación]))</f>
        <v>40</v>
      </c>
      <c r="Q71" s="5" t="str">
        <f>TEXT(((SUMIF(Cocina[Número de Orden],Sala[[#This Row],[Número de Orden]],Cocina[Tiempo de Preparación]))/(60*24)),"h:mm")</f>
        <v>0:40</v>
      </c>
      <c r="R71" s="3">
        <f>MAX((Sala[[#This Row],[Tiempo de permanencia]]-Sala[[#This Row],[Tiempo de preparación (h)]]),0)</f>
        <v>2.1527777777777778E-2</v>
      </c>
      <c r="S71" s="8">
        <f>SUMIF(Cocina[Número de Orden],Sala[[#This Row],[Número de Orden]],Cocina[Ganancia bruta])</f>
        <v>118</v>
      </c>
      <c r="T71" s="8">
        <f>SUMIF(Cocina[Número de Orden],Sala[[#This Row],[Número de Orden]],Cocina[Costo Unitario])</f>
        <v>35</v>
      </c>
      <c r="U71" s="2">
        <f>Sala[[#This Row],[Fecha de Salida]]</f>
        <v>45017</v>
      </c>
      <c r="V71" s="7" t="str">
        <f>TEXT(Sala[[#This Row],[Fecha factura]],"dddd")</f>
        <v>sábado</v>
      </c>
      <c r="W71" t="str">
        <f>IF(Sala[[#This Row],[Tiempo de degustación]]&gt;0,"Sí","No")</f>
        <v>Sí</v>
      </c>
      <c r="X71" t="str">
        <f>IF(Sala[[#This Row],[Cobrada]]="Sí",Sala[[#This Row],[Método de Pago]],"Impago")</f>
        <v>Tarjeta de débito</v>
      </c>
      <c r="Y71">
        <f>IF(Sala[[#This Row],[Cobrada]]="Sí",Sala[[#This Row],[Propina]],0)</f>
        <v>28.26</v>
      </c>
      <c r="Z71">
        <f>(IF(Sala[[#This Row],[Cobrada]]="Sí",Sala[[#This Row],[Monto total]],0))+Sala[[#This Row],[Propina real]]</f>
        <v>146.26</v>
      </c>
    </row>
    <row r="72" spans="1:26" x14ac:dyDescent="0.25">
      <c r="A72">
        <v>18</v>
      </c>
      <c r="B72" t="s">
        <v>103</v>
      </c>
      <c r="C72">
        <v>4</v>
      </c>
      <c r="D72" s="2">
        <v>45017</v>
      </c>
      <c r="E72" s="3">
        <v>8.1250000000000003E-2</v>
      </c>
      <c r="F72" s="2">
        <v>45017</v>
      </c>
      <c r="G72" s="3">
        <v>0.24722222222222223</v>
      </c>
      <c r="H72" s="1" t="s">
        <v>7</v>
      </c>
      <c r="I72" t="s">
        <v>8</v>
      </c>
      <c r="J72" t="s">
        <v>601</v>
      </c>
      <c r="K72" s="9">
        <v>24.01</v>
      </c>
      <c r="L72" t="s">
        <v>28</v>
      </c>
      <c r="M72">
        <v>71</v>
      </c>
      <c r="N72" t="s">
        <v>21</v>
      </c>
      <c r="O72" s="3">
        <f>(Sala[[#This Row],[Hora de Salida]]-Sala[[#This Row],[Hora de llegada]])+IF(Sala[[#This Row],[Estado de la Mesa]]="Ocupada",(TEXT((15/(60*24)),"h:mm")),(TEXT(0,"h:mm")))</f>
        <v>0.1763888888888889</v>
      </c>
      <c r="P72" s="43">
        <f>(SUMIF(Cocina[Número de Orden],Sala[[#This Row],[Número de Orden]],Cocina[Tiempo de Preparación]))</f>
        <v>49</v>
      </c>
      <c r="Q72" s="5" t="str">
        <f>TEXT(((SUMIF(Cocina[Número de Orden],Sala[[#This Row],[Número de Orden]],Cocina[Tiempo de Preparación]))/(60*24)),"h:mm")</f>
        <v>0:49</v>
      </c>
      <c r="R72" s="3">
        <f>MAX((Sala[[#This Row],[Tiempo de permanencia]]-Sala[[#This Row],[Tiempo de preparación (h)]]),0)</f>
        <v>0.14236111111111113</v>
      </c>
      <c r="S72" s="8">
        <f>SUMIF(Cocina[Número de Orden],Sala[[#This Row],[Número de Orden]],Cocina[Ganancia bruta])</f>
        <v>136</v>
      </c>
      <c r="T72" s="8">
        <f>SUMIF(Cocina[Número de Orden],Sala[[#This Row],[Número de Orden]],Cocina[Costo Unitario])</f>
        <v>32</v>
      </c>
      <c r="U72" s="2">
        <f>Sala[[#This Row],[Fecha de Salida]]</f>
        <v>45017</v>
      </c>
      <c r="V72" s="7" t="str">
        <f>TEXT(Sala[[#This Row],[Fecha factura]],"dddd")</f>
        <v>sábado</v>
      </c>
      <c r="W72" t="str">
        <f>IF(Sala[[#This Row],[Tiempo de degustación]]&gt;0,"Sí","No")</f>
        <v>Sí</v>
      </c>
      <c r="X72" t="str">
        <f>IF(Sala[[#This Row],[Cobrada]]="Sí",Sala[[#This Row],[Método de Pago]],"Impago")</f>
        <v>Tarjeta de crédito</v>
      </c>
      <c r="Y72">
        <f>IF(Sala[[#This Row],[Cobrada]]="Sí",Sala[[#This Row],[Propina]],0)</f>
        <v>24.01</v>
      </c>
      <c r="Z72">
        <f>(IF(Sala[[#This Row],[Cobrada]]="Sí",Sala[[#This Row],[Monto total]],0))+Sala[[#This Row],[Propina real]]</f>
        <v>160.01</v>
      </c>
    </row>
    <row r="73" spans="1:26" x14ac:dyDescent="0.25">
      <c r="A73">
        <v>17</v>
      </c>
      <c r="B73" t="s">
        <v>104</v>
      </c>
      <c r="C73">
        <v>1</v>
      </c>
      <c r="D73" s="2">
        <v>45017</v>
      </c>
      <c r="E73" s="3">
        <v>0.1125</v>
      </c>
      <c r="F73" s="2">
        <v>45017</v>
      </c>
      <c r="G73" s="3">
        <v>0.24374999999999999</v>
      </c>
      <c r="H73" s="1" t="s">
        <v>16</v>
      </c>
      <c r="I73" t="s">
        <v>8</v>
      </c>
      <c r="J73" t="s">
        <v>601</v>
      </c>
      <c r="K73" s="9">
        <v>15.28</v>
      </c>
      <c r="L73" t="s">
        <v>9</v>
      </c>
      <c r="M73">
        <v>72</v>
      </c>
      <c r="N73" t="s">
        <v>593</v>
      </c>
      <c r="O73" s="3">
        <f>(Sala[[#This Row],[Hora de Salida]]-Sala[[#This Row],[Hora de llegada]])+IF(Sala[[#This Row],[Estado de la Mesa]]="Ocupada",(TEXT((15/(60*24)),"h:mm")),(TEXT(0,"h:mm")))</f>
        <v>0.13124999999999998</v>
      </c>
      <c r="P73" s="43">
        <f>(SUMIF(Cocina[Número de Orden],Sala[[#This Row],[Número de Orden]],Cocina[Tiempo de Preparación]))</f>
        <v>54</v>
      </c>
      <c r="Q73" s="5" t="str">
        <f>TEXT(((SUMIF(Cocina[Número de Orden],Sala[[#This Row],[Número de Orden]],Cocina[Tiempo de Preparación]))/(60*24)),"h:mm")</f>
        <v>0:54</v>
      </c>
      <c r="R73" s="3">
        <f>MAX((Sala[[#This Row],[Tiempo de permanencia]]-Sala[[#This Row],[Tiempo de preparación (h)]]),0)</f>
        <v>9.3749999999999972E-2</v>
      </c>
      <c r="S73" s="8">
        <f>SUMIF(Cocina[Número de Orden],Sala[[#This Row],[Número de Orden]],Cocina[Ganancia bruta])</f>
        <v>75</v>
      </c>
      <c r="T73" s="8">
        <f>SUMIF(Cocina[Número de Orden],Sala[[#This Row],[Número de Orden]],Cocina[Costo Unitario])</f>
        <v>23</v>
      </c>
      <c r="U73" s="2">
        <f>Sala[[#This Row],[Fecha de Salida]]</f>
        <v>45017</v>
      </c>
      <c r="V73" s="7" t="str">
        <f>TEXT(Sala[[#This Row],[Fecha factura]],"dddd")</f>
        <v>sábado</v>
      </c>
      <c r="W73" t="str">
        <f>IF(Sala[[#This Row],[Tiempo de degustación]]&gt;0,"Sí","No")</f>
        <v>Sí</v>
      </c>
      <c r="X73" t="str">
        <f>IF(Sala[[#This Row],[Cobrada]]="Sí",Sala[[#This Row],[Método de Pago]],"Impago")</f>
        <v>Tarjeta de crédito</v>
      </c>
      <c r="Y73">
        <f>IF(Sala[[#This Row],[Cobrada]]="Sí",Sala[[#This Row],[Propina]],0)</f>
        <v>15.28</v>
      </c>
      <c r="Z73">
        <f>(IF(Sala[[#This Row],[Cobrada]]="Sí",Sala[[#This Row],[Monto total]],0))+Sala[[#This Row],[Propina real]]</f>
        <v>90.28</v>
      </c>
    </row>
    <row r="74" spans="1:26" x14ac:dyDescent="0.25">
      <c r="A74">
        <v>1</v>
      </c>
      <c r="B74" t="s">
        <v>105</v>
      </c>
      <c r="C74">
        <v>4</v>
      </c>
      <c r="D74" s="2">
        <v>45017</v>
      </c>
      <c r="E74" s="3">
        <v>0.11041666666666666</v>
      </c>
      <c r="F74" s="2">
        <v>45017</v>
      </c>
      <c r="G74" s="3">
        <v>0.25624999999999998</v>
      </c>
      <c r="H74" s="1" t="s">
        <v>23</v>
      </c>
      <c r="I74" t="s">
        <v>12</v>
      </c>
      <c r="J74" t="s">
        <v>601</v>
      </c>
      <c r="K74" s="9">
        <v>34.51</v>
      </c>
      <c r="L74" t="s">
        <v>17</v>
      </c>
      <c r="M74">
        <v>73</v>
      </c>
      <c r="N74" t="s">
        <v>59</v>
      </c>
      <c r="O74" s="3">
        <f>(Sala[[#This Row],[Hora de Salida]]-Sala[[#This Row],[Hora de llegada]])+IF(Sala[[#This Row],[Estado de la Mesa]]="Ocupada",(TEXT((15/(60*24)),"h:mm")),(TEXT(0,"h:mm")))</f>
        <v>0.14583333333333331</v>
      </c>
      <c r="P74" s="43">
        <f>(SUMIF(Cocina[Número de Orden],Sala[[#This Row],[Número de Orden]],Cocina[Tiempo de Preparación]))</f>
        <v>20</v>
      </c>
      <c r="Q74" s="5" t="str">
        <f>TEXT(((SUMIF(Cocina[Número de Orden],Sala[[#This Row],[Número de Orden]],Cocina[Tiempo de Preparación]))/(60*24)),"h:mm")</f>
        <v>0:20</v>
      </c>
      <c r="R74" s="3">
        <f>MAX((Sala[[#This Row],[Tiempo de permanencia]]-Sala[[#This Row],[Tiempo de preparación (h)]]),0)</f>
        <v>0.13194444444444442</v>
      </c>
      <c r="S74" s="8">
        <f>SUMIF(Cocina[Número de Orden],Sala[[#This Row],[Número de Orden]],Cocina[Ganancia bruta])</f>
        <v>81</v>
      </c>
      <c r="T74" s="8">
        <f>SUMIF(Cocina[Número de Orden],Sala[[#This Row],[Número de Orden]],Cocina[Costo Unitario])</f>
        <v>16</v>
      </c>
      <c r="U74" s="2">
        <f>Sala[[#This Row],[Fecha de Salida]]</f>
        <v>45017</v>
      </c>
      <c r="V74" s="7" t="str">
        <f>TEXT(Sala[[#This Row],[Fecha factura]],"dddd")</f>
        <v>sábado</v>
      </c>
      <c r="W74" t="str">
        <f>IF(Sala[[#This Row],[Tiempo de degustación]]&gt;0,"Sí","No")</f>
        <v>Sí</v>
      </c>
      <c r="X74" t="str">
        <f>IF(Sala[[#This Row],[Cobrada]]="Sí",Sala[[#This Row],[Método de Pago]],"Impago")</f>
        <v>Tarjeta de crédito</v>
      </c>
      <c r="Y74">
        <f>IF(Sala[[#This Row],[Cobrada]]="Sí",Sala[[#This Row],[Propina]],0)</f>
        <v>34.51</v>
      </c>
      <c r="Z74">
        <f>(IF(Sala[[#This Row],[Cobrada]]="Sí",Sala[[#This Row],[Monto total]],0))+Sala[[#This Row],[Propina real]]</f>
        <v>115.50999999999999</v>
      </c>
    </row>
    <row r="75" spans="1:26" x14ac:dyDescent="0.25">
      <c r="A75">
        <v>19</v>
      </c>
      <c r="B75" t="s">
        <v>107</v>
      </c>
      <c r="C75">
        <v>4</v>
      </c>
      <c r="D75" s="2">
        <v>45017</v>
      </c>
      <c r="E75" s="3">
        <v>4.4444444444444446E-2</v>
      </c>
      <c r="F75" s="2">
        <v>45017</v>
      </c>
      <c r="G75" s="3">
        <v>0.17569444444444443</v>
      </c>
      <c r="H75" s="1" t="s">
        <v>23</v>
      </c>
      <c r="I75" t="s">
        <v>8</v>
      </c>
      <c r="J75" t="s">
        <v>601</v>
      </c>
      <c r="K75" s="9">
        <v>30.83</v>
      </c>
      <c r="L75" t="s">
        <v>17</v>
      </c>
      <c r="M75">
        <v>74</v>
      </c>
      <c r="N75" t="s">
        <v>18</v>
      </c>
      <c r="O75" s="3">
        <f>(Sala[[#This Row],[Hora de Salida]]-Sala[[#This Row],[Hora de llegada]])+IF(Sala[[#This Row],[Estado de la Mesa]]="Ocupada",(TEXT((15/(60*24)),"h:mm")),(TEXT(0,"h:mm")))</f>
        <v>0.13124999999999998</v>
      </c>
      <c r="P75" s="43">
        <f>(SUMIF(Cocina[Número de Orden],Sala[[#This Row],[Número de Orden]],Cocina[Tiempo de Preparación]))</f>
        <v>100</v>
      </c>
      <c r="Q75" s="5" t="str">
        <f>TEXT(((SUMIF(Cocina[Número de Orden],Sala[[#This Row],[Número de Orden]],Cocina[Tiempo de Preparación]))/(60*24)),"h:mm")</f>
        <v>1:40</v>
      </c>
      <c r="R75" s="3">
        <f>MAX((Sala[[#This Row],[Tiempo de permanencia]]-Sala[[#This Row],[Tiempo de preparación (h)]]),0)</f>
        <v>6.180555555555553E-2</v>
      </c>
      <c r="S75" s="8">
        <f>SUMIF(Cocina[Número de Orden],Sala[[#This Row],[Número de Orden]],Cocina[Ganancia bruta])</f>
        <v>218</v>
      </c>
      <c r="T75" s="8">
        <f>SUMIF(Cocina[Número de Orden],Sala[[#This Row],[Número de Orden]],Cocina[Costo Unitario])</f>
        <v>54</v>
      </c>
      <c r="U75" s="2">
        <f>Sala[[#This Row],[Fecha de Salida]]</f>
        <v>45017</v>
      </c>
      <c r="V75" s="7" t="str">
        <f>TEXT(Sala[[#This Row],[Fecha factura]],"dddd")</f>
        <v>sábado</v>
      </c>
      <c r="W75" t="str">
        <f>IF(Sala[[#This Row],[Tiempo de degustación]]&gt;0,"Sí","No")</f>
        <v>Sí</v>
      </c>
      <c r="X75" t="str">
        <f>IF(Sala[[#This Row],[Cobrada]]="Sí",Sala[[#This Row],[Método de Pago]],"Impago")</f>
        <v>Tarjeta de crédito</v>
      </c>
      <c r="Y75">
        <f>IF(Sala[[#This Row],[Cobrada]]="Sí",Sala[[#This Row],[Propina]],0)</f>
        <v>30.83</v>
      </c>
      <c r="Z75">
        <f>(IF(Sala[[#This Row],[Cobrada]]="Sí",Sala[[#This Row],[Monto total]],0))+Sala[[#This Row],[Propina real]]</f>
        <v>248.82999999999998</v>
      </c>
    </row>
    <row r="76" spans="1:26" x14ac:dyDescent="0.25">
      <c r="A76">
        <v>19</v>
      </c>
      <c r="B76" t="s">
        <v>108</v>
      </c>
      <c r="C76">
        <v>5</v>
      </c>
      <c r="D76" s="2">
        <v>45017</v>
      </c>
      <c r="E76" s="3">
        <v>0.15</v>
      </c>
      <c r="F76" s="2">
        <v>45017</v>
      </c>
      <c r="G76" s="3">
        <v>0.20069444444444445</v>
      </c>
      <c r="H76" s="1" t="s">
        <v>20</v>
      </c>
      <c r="I76" t="s">
        <v>8</v>
      </c>
      <c r="J76" t="s">
        <v>601</v>
      </c>
      <c r="K76" s="9">
        <v>45.23</v>
      </c>
      <c r="L76" t="s">
        <v>28</v>
      </c>
      <c r="M76">
        <v>75</v>
      </c>
      <c r="N76" t="s">
        <v>29</v>
      </c>
      <c r="O76" s="3">
        <f>(Sala[[#This Row],[Hora de Salida]]-Sala[[#This Row],[Hora de llegada]])+IF(Sala[[#This Row],[Estado de la Mesa]]="Ocupada",(TEXT((15/(60*24)),"h:mm")),(TEXT(0,"h:mm")))</f>
        <v>6.1111111111111123E-2</v>
      </c>
      <c r="P76" s="43">
        <f>(SUMIF(Cocina[Número de Orden],Sala[[#This Row],[Número de Orden]],Cocina[Tiempo de Preparación]))</f>
        <v>51</v>
      </c>
      <c r="Q76" s="5" t="str">
        <f>TEXT(((SUMIF(Cocina[Número de Orden],Sala[[#This Row],[Número de Orden]],Cocina[Tiempo de Preparación]))/(60*24)),"h:mm")</f>
        <v>0:51</v>
      </c>
      <c r="R76" s="3">
        <f>MAX((Sala[[#This Row],[Tiempo de permanencia]]-Sala[[#This Row],[Tiempo de preparación (h)]]),0)</f>
        <v>2.5694444444444457E-2</v>
      </c>
      <c r="S76" s="8">
        <f>SUMIF(Cocina[Número de Orden],Sala[[#This Row],[Número de Orden]],Cocina[Ganancia bruta])</f>
        <v>109</v>
      </c>
      <c r="T76" s="8">
        <f>SUMIF(Cocina[Número de Orden],Sala[[#This Row],[Número de Orden]],Cocina[Costo Unitario])</f>
        <v>39</v>
      </c>
      <c r="U76" s="2">
        <f>Sala[[#This Row],[Fecha de Salida]]</f>
        <v>45017</v>
      </c>
      <c r="V76" s="7" t="str">
        <f>TEXT(Sala[[#This Row],[Fecha factura]],"dddd")</f>
        <v>sábado</v>
      </c>
      <c r="W76" t="str">
        <f>IF(Sala[[#This Row],[Tiempo de degustación]]&gt;0,"Sí","No")</f>
        <v>Sí</v>
      </c>
      <c r="X76" t="str">
        <f>IF(Sala[[#This Row],[Cobrada]]="Sí",Sala[[#This Row],[Método de Pago]],"Impago")</f>
        <v>Tarjeta de crédito</v>
      </c>
      <c r="Y76">
        <f>IF(Sala[[#This Row],[Cobrada]]="Sí",Sala[[#This Row],[Propina]],0)</f>
        <v>45.23</v>
      </c>
      <c r="Z76">
        <f>(IF(Sala[[#This Row],[Cobrada]]="Sí",Sala[[#This Row],[Monto total]],0))+Sala[[#This Row],[Propina real]]</f>
        <v>154.22999999999999</v>
      </c>
    </row>
    <row r="77" spans="1:26" x14ac:dyDescent="0.25">
      <c r="A77">
        <v>17</v>
      </c>
      <c r="B77" t="s">
        <v>109</v>
      </c>
      <c r="C77">
        <v>3</v>
      </c>
      <c r="D77" s="2">
        <v>45017</v>
      </c>
      <c r="E77" s="3">
        <v>0.12291666666666666</v>
      </c>
      <c r="F77" s="2">
        <v>45017</v>
      </c>
      <c r="G77" s="3">
        <v>0.22500000000000001</v>
      </c>
      <c r="H77" s="1" t="s">
        <v>11</v>
      </c>
      <c r="I77" t="s">
        <v>8</v>
      </c>
      <c r="J77" t="s">
        <v>601</v>
      </c>
      <c r="K77" s="9">
        <v>17.760000000000002</v>
      </c>
      <c r="L77" t="s">
        <v>9</v>
      </c>
      <c r="M77">
        <v>76</v>
      </c>
      <c r="N77" t="s">
        <v>59</v>
      </c>
      <c r="O77" s="3">
        <f>(Sala[[#This Row],[Hora de Salida]]-Sala[[#This Row],[Hora de llegada]])+IF(Sala[[#This Row],[Estado de la Mesa]]="Ocupada",(TEXT((15/(60*24)),"h:mm")),(TEXT(0,"h:mm")))</f>
        <v>0.10208333333333335</v>
      </c>
      <c r="P77" s="43">
        <f>(SUMIF(Cocina[Número de Orden],Sala[[#This Row],[Número de Orden]],Cocina[Tiempo de Preparación]))</f>
        <v>97</v>
      </c>
      <c r="Q77" s="5" t="str">
        <f>TEXT(((SUMIF(Cocina[Número de Orden],Sala[[#This Row],[Número de Orden]],Cocina[Tiempo de Preparación]))/(60*24)),"h:mm")</f>
        <v>1:37</v>
      </c>
      <c r="R77" s="3">
        <f>MAX((Sala[[#This Row],[Tiempo de permanencia]]-Sala[[#This Row],[Tiempo de preparación (h)]]),0)</f>
        <v>3.4722222222222238E-2</v>
      </c>
      <c r="S77" s="8">
        <f>SUMIF(Cocina[Número de Orden],Sala[[#This Row],[Número de Orden]],Cocina[Ganancia bruta])</f>
        <v>158</v>
      </c>
      <c r="T77" s="8">
        <f>SUMIF(Cocina[Número de Orden],Sala[[#This Row],[Número de Orden]],Cocina[Costo Unitario])</f>
        <v>57</v>
      </c>
      <c r="U77" s="2">
        <f>Sala[[#This Row],[Fecha de Salida]]</f>
        <v>45017</v>
      </c>
      <c r="V77" s="7" t="str">
        <f>TEXT(Sala[[#This Row],[Fecha factura]],"dddd")</f>
        <v>sábado</v>
      </c>
      <c r="W77" t="str">
        <f>IF(Sala[[#This Row],[Tiempo de degustación]]&gt;0,"Sí","No")</f>
        <v>Sí</v>
      </c>
      <c r="X77" t="str">
        <f>IF(Sala[[#This Row],[Cobrada]]="Sí",Sala[[#This Row],[Método de Pago]],"Impago")</f>
        <v>Tarjeta de crédito</v>
      </c>
      <c r="Y77">
        <f>IF(Sala[[#This Row],[Cobrada]]="Sí",Sala[[#This Row],[Propina]],0)</f>
        <v>17.760000000000002</v>
      </c>
      <c r="Z77">
        <f>(IF(Sala[[#This Row],[Cobrada]]="Sí",Sala[[#This Row],[Monto total]],0))+Sala[[#This Row],[Propina real]]</f>
        <v>175.76</v>
      </c>
    </row>
    <row r="78" spans="1:26" x14ac:dyDescent="0.25">
      <c r="A78">
        <v>3</v>
      </c>
      <c r="B78" t="s">
        <v>110</v>
      </c>
      <c r="C78">
        <v>1</v>
      </c>
      <c r="D78" s="2">
        <v>45017</v>
      </c>
      <c r="E78" s="3">
        <v>0.11527777777777778</v>
      </c>
      <c r="F78" s="2">
        <v>45017</v>
      </c>
      <c r="G78" s="3">
        <v>0.26041666666666669</v>
      </c>
      <c r="H78" s="1" t="s">
        <v>7</v>
      </c>
      <c r="I78" t="s">
        <v>25</v>
      </c>
      <c r="J78" t="s">
        <v>601</v>
      </c>
      <c r="K78" s="9">
        <v>19.88</v>
      </c>
      <c r="L78" t="s">
        <v>17</v>
      </c>
      <c r="M78">
        <v>77</v>
      </c>
      <c r="N78" t="s">
        <v>32</v>
      </c>
      <c r="O78" s="3">
        <f>(Sala[[#This Row],[Hora de Salida]]-Sala[[#This Row],[Hora de llegada]])+IF(Sala[[#This Row],[Estado de la Mesa]]="Ocupada",(TEXT((15/(60*24)),"h:mm")),(TEXT(0,"h:mm")))</f>
        <v>0.1451388888888889</v>
      </c>
      <c r="P78" s="43">
        <f>(SUMIF(Cocina[Número de Orden],Sala[[#This Row],[Número de Orden]],Cocina[Tiempo de Preparación]))</f>
        <v>97</v>
      </c>
      <c r="Q78" s="5" t="str">
        <f>TEXT(((SUMIF(Cocina[Número de Orden],Sala[[#This Row],[Número de Orden]],Cocina[Tiempo de Preparación]))/(60*24)),"h:mm")</f>
        <v>1:37</v>
      </c>
      <c r="R78" s="3">
        <f>MAX((Sala[[#This Row],[Tiempo de permanencia]]-Sala[[#This Row],[Tiempo de preparación (h)]]),0)</f>
        <v>7.7777777777777793E-2</v>
      </c>
      <c r="S78" s="8">
        <f>SUMIF(Cocina[Número de Orden],Sala[[#This Row],[Número de Orden]],Cocina[Ganancia bruta])</f>
        <v>99</v>
      </c>
      <c r="T78" s="8">
        <f>SUMIF(Cocina[Número de Orden],Sala[[#This Row],[Número de Orden]],Cocina[Costo Unitario])</f>
        <v>44</v>
      </c>
      <c r="U78" s="2">
        <f>Sala[[#This Row],[Fecha de Salida]]</f>
        <v>45017</v>
      </c>
      <c r="V78" s="7" t="str">
        <f>TEXT(Sala[[#This Row],[Fecha factura]],"dddd")</f>
        <v>sábado</v>
      </c>
      <c r="W78" t="str">
        <f>IF(Sala[[#This Row],[Tiempo de degustación]]&gt;0,"Sí","No")</f>
        <v>Sí</v>
      </c>
      <c r="X78" t="str">
        <f>IF(Sala[[#This Row],[Cobrada]]="Sí",Sala[[#This Row],[Método de Pago]],"Impago")</f>
        <v>Tarjeta de crédito</v>
      </c>
      <c r="Y78">
        <f>IF(Sala[[#This Row],[Cobrada]]="Sí",Sala[[#This Row],[Propina]],0)</f>
        <v>19.88</v>
      </c>
      <c r="Z78">
        <f>(IF(Sala[[#This Row],[Cobrada]]="Sí",Sala[[#This Row],[Monto total]],0))+Sala[[#This Row],[Propina real]]</f>
        <v>118.88</v>
      </c>
    </row>
    <row r="79" spans="1:26" x14ac:dyDescent="0.25">
      <c r="A79">
        <v>7</v>
      </c>
      <c r="B79" t="s">
        <v>111</v>
      </c>
      <c r="C79">
        <v>4</v>
      </c>
      <c r="D79" s="2">
        <v>45017</v>
      </c>
      <c r="E79" s="3">
        <v>6.5277777777777782E-2</v>
      </c>
      <c r="F79" s="2">
        <v>45017</v>
      </c>
      <c r="G79" s="3">
        <v>0.12708333333333333</v>
      </c>
      <c r="H79" s="1" t="s">
        <v>7</v>
      </c>
      <c r="I79" t="s">
        <v>8</v>
      </c>
      <c r="J79" t="s">
        <v>601</v>
      </c>
      <c r="K79" s="9">
        <v>20.02</v>
      </c>
      <c r="L79" t="s">
        <v>17</v>
      </c>
      <c r="M79">
        <v>78</v>
      </c>
      <c r="N79" t="s">
        <v>14</v>
      </c>
      <c r="O79" s="3">
        <f>(Sala[[#This Row],[Hora de Salida]]-Sala[[#This Row],[Hora de llegada]])+IF(Sala[[#This Row],[Estado de la Mesa]]="Ocupada",(TEXT((15/(60*24)),"h:mm")),(TEXT(0,"h:mm")))</f>
        <v>6.1805555555555544E-2</v>
      </c>
      <c r="P79" s="43">
        <f>(SUMIF(Cocina[Número de Orden],Sala[[#This Row],[Número de Orden]],Cocina[Tiempo de Preparación]))</f>
        <v>54</v>
      </c>
      <c r="Q79" s="5" t="str">
        <f>TEXT(((SUMIF(Cocina[Número de Orden],Sala[[#This Row],[Número de Orden]],Cocina[Tiempo de Preparación]))/(60*24)),"h:mm")</f>
        <v>0:54</v>
      </c>
      <c r="R79" s="3">
        <f>MAX((Sala[[#This Row],[Tiempo de permanencia]]-Sala[[#This Row],[Tiempo de preparación (h)]]),0)</f>
        <v>2.4305555555555546E-2</v>
      </c>
      <c r="S79" s="8">
        <f>SUMIF(Cocina[Número de Orden],Sala[[#This Row],[Número de Orden]],Cocina[Ganancia bruta])</f>
        <v>57</v>
      </c>
      <c r="T79" s="8">
        <f>SUMIF(Cocina[Número de Orden],Sala[[#This Row],[Número de Orden]],Cocina[Costo Unitario])</f>
        <v>11</v>
      </c>
      <c r="U79" s="2">
        <f>Sala[[#This Row],[Fecha de Salida]]</f>
        <v>45017</v>
      </c>
      <c r="V79" s="7" t="str">
        <f>TEXT(Sala[[#This Row],[Fecha factura]],"dddd")</f>
        <v>sábado</v>
      </c>
      <c r="W79" t="str">
        <f>IF(Sala[[#This Row],[Tiempo de degustación]]&gt;0,"Sí","No")</f>
        <v>Sí</v>
      </c>
      <c r="X79" t="str">
        <f>IF(Sala[[#This Row],[Cobrada]]="Sí",Sala[[#This Row],[Método de Pago]],"Impago")</f>
        <v>Tarjeta de crédito</v>
      </c>
      <c r="Y79">
        <f>IF(Sala[[#This Row],[Cobrada]]="Sí",Sala[[#This Row],[Propina]],0)</f>
        <v>20.02</v>
      </c>
      <c r="Z79">
        <f>(IF(Sala[[#This Row],[Cobrada]]="Sí",Sala[[#This Row],[Monto total]],0))+Sala[[#This Row],[Propina real]]</f>
        <v>77.02</v>
      </c>
    </row>
    <row r="80" spans="1:26" x14ac:dyDescent="0.25">
      <c r="A80">
        <v>16</v>
      </c>
      <c r="B80" t="s">
        <v>113</v>
      </c>
      <c r="C80">
        <v>2</v>
      </c>
      <c r="D80" s="2">
        <v>45017</v>
      </c>
      <c r="E80" s="3">
        <v>6.5277777777777782E-2</v>
      </c>
      <c r="F80" s="2">
        <v>45017</v>
      </c>
      <c r="G80" s="3">
        <v>0.21388888888888888</v>
      </c>
      <c r="H80" s="1" t="s">
        <v>7</v>
      </c>
      <c r="I80" t="s">
        <v>8</v>
      </c>
      <c r="J80" t="s">
        <v>601</v>
      </c>
      <c r="K80" s="9">
        <v>34.01</v>
      </c>
      <c r="L80" t="s">
        <v>17</v>
      </c>
      <c r="M80">
        <v>79</v>
      </c>
      <c r="N80" t="s">
        <v>29</v>
      </c>
      <c r="O80" s="3">
        <f>(Sala[[#This Row],[Hora de Salida]]-Sala[[#This Row],[Hora de llegada]])+IF(Sala[[#This Row],[Estado de la Mesa]]="Ocupada",(TEXT((15/(60*24)),"h:mm")),(TEXT(0,"h:mm")))</f>
        <v>0.14861111111111108</v>
      </c>
      <c r="P80" s="43">
        <f>(SUMIF(Cocina[Número de Orden],Sala[[#This Row],[Número de Orden]],Cocina[Tiempo de Preparación]))</f>
        <v>96</v>
      </c>
      <c r="Q80" s="5" t="str">
        <f>TEXT(((SUMIF(Cocina[Número de Orden],Sala[[#This Row],[Número de Orden]],Cocina[Tiempo de Preparación]))/(60*24)),"h:mm")</f>
        <v>1:36</v>
      </c>
      <c r="R80" s="3">
        <f>MAX((Sala[[#This Row],[Tiempo de permanencia]]-Sala[[#This Row],[Tiempo de preparación (h)]]),0)</f>
        <v>8.1944444444444417E-2</v>
      </c>
      <c r="S80" s="8">
        <f>SUMIF(Cocina[Número de Orden],Sala[[#This Row],[Número de Orden]],Cocina[Ganancia bruta])</f>
        <v>309</v>
      </c>
      <c r="T80" s="8">
        <f>SUMIF(Cocina[Número de Orden],Sala[[#This Row],[Número de Orden]],Cocina[Costo Unitario])</f>
        <v>62</v>
      </c>
      <c r="U80" s="2">
        <f>Sala[[#This Row],[Fecha de Salida]]</f>
        <v>45017</v>
      </c>
      <c r="V80" s="7" t="str">
        <f>TEXT(Sala[[#This Row],[Fecha factura]],"dddd")</f>
        <v>sábado</v>
      </c>
      <c r="W80" t="str">
        <f>IF(Sala[[#This Row],[Tiempo de degustación]]&gt;0,"Sí","No")</f>
        <v>Sí</v>
      </c>
      <c r="X80" t="str">
        <f>IF(Sala[[#This Row],[Cobrada]]="Sí",Sala[[#This Row],[Método de Pago]],"Impago")</f>
        <v>Tarjeta de crédito</v>
      </c>
      <c r="Y80">
        <f>IF(Sala[[#This Row],[Cobrada]]="Sí",Sala[[#This Row],[Propina]],0)</f>
        <v>34.01</v>
      </c>
      <c r="Z80">
        <f>(IF(Sala[[#This Row],[Cobrada]]="Sí",Sala[[#This Row],[Monto total]],0))+Sala[[#This Row],[Propina real]]</f>
        <v>343.01</v>
      </c>
    </row>
    <row r="81" spans="1:26" x14ac:dyDescent="0.25">
      <c r="A81">
        <v>18</v>
      </c>
      <c r="B81" t="s">
        <v>114</v>
      </c>
      <c r="C81">
        <v>6</v>
      </c>
      <c r="D81" s="2">
        <v>45017</v>
      </c>
      <c r="E81" s="3">
        <v>9.3055555555555558E-2</v>
      </c>
      <c r="F81" s="2">
        <v>45017</v>
      </c>
      <c r="G81" s="3">
        <v>0.15694444444444444</v>
      </c>
      <c r="H81" s="1" t="s">
        <v>23</v>
      </c>
      <c r="I81" t="s">
        <v>8</v>
      </c>
      <c r="J81" t="s">
        <v>601</v>
      </c>
      <c r="K81" s="9">
        <v>39.049999999999997</v>
      </c>
      <c r="L81" t="s">
        <v>17</v>
      </c>
      <c r="M81">
        <v>80</v>
      </c>
      <c r="N81" t="s">
        <v>29</v>
      </c>
      <c r="O81" s="3">
        <f>(Sala[[#This Row],[Hora de Salida]]-Sala[[#This Row],[Hora de llegada]])+IF(Sala[[#This Row],[Estado de la Mesa]]="Ocupada",(TEXT((15/(60*24)),"h:mm")),(TEXT(0,"h:mm")))</f>
        <v>6.3888888888888884E-2</v>
      </c>
      <c r="P81" s="43">
        <f>(SUMIF(Cocina[Número de Orden],Sala[[#This Row],[Número de Orden]],Cocina[Tiempo de Preparación]))</f>
        <v>67</v>
      </c>
      <c r="Q81" s="5" t="str">
        <f>TEXT(((SUMIF(Cocina[Número de Orden],Sala[[#This Row],[Número de Orden]],Cocina[Tiempo de Preparación]))/(60*24)),"h:mm")</f>
        <v>1:07</v>
      </c>
      <c r="R81" s="3">
        <f>MAX((Sala[[#This Row],[Tiempo de permanencia]]-Sala[[#This Row],[Tiempo de preparación (h)]]),0)</f>
        <v>1.7361111111111105E-2</v>
      </c>
      <c r="S81" s="8">
        <f>SUMIF(Cocina[Número de Orden],Sala[[#This Row],[Número de Orden]],Cocina[Ganancia bruta])</f>
        <v>121</v>
      </c>
      <c r="T81" s="8">
        <f>SUMIF(Cocina[Número de Orden],Sala[[#This Row],[Número de Orden]],Cocina[Costo Unitario])</f>
        <v>44</v>
      </c>
      <c r="U81" s="2">
        <f>Sala[[#This Row],[Fecha de Salida]]</f>
        <v>45017</v>
      </c>
      <c r="V81" s="7" t="str">
        <f>TEXT(Sala[[#This Row],[Fecha factura]],"dddd")</f>
        <v>sábado</v>
      </c>
      <c r="W81" t="str">
        <f>IF(Sala[[#This Row],[Tiempo de degustación]]&gt;0,"Sí","No")</f>
        <v>Sí</v>
      </c>
      <c r="X81" t="str">
        <f>IF(Sala[[#This Row],[Cobrada]]="Sí",Sala[[#This Row],[Método de Pago]],"Impago")</f>
        <v>Tarjeta de crédito</v>
      </c>
      <c r="Y81">
        <f>IF(Sala[[#This Row],[Cobrada]]="Sí",Sala[[#This Row],[Propina]],0)</f>
        <v>39.049999999999997</v>
      </c>
      <c r="Z81">
        <f>(IF(Sala[[#This Row],[Cobrada]]="Sí",Sala[[#This Row],[Monto total]],0))+Sala[[#This Row],[Propina real]]</f>
        <v>160.05000000000001</v>
      </c>
    </row>
    <row r="82" spans="1:26" x14ac:dyDescent="0.25">
      <c r="A82">
        <v>17</v>
      </c>
      <c r="B82" t="s">
        <v>115</v>
      </c>
      <c r="C82">
        <v>4</v>
      </c>
      <c r="D82" s="2">
        <v>45017</v>
      </c>
      <c r="E82" s="3">
        <v>0.15277777777777779</v>
      </c>
      <c r="F82" s="2">
        <v>45017</v>
      </c>
      <c r="G82" s="3">
        <v>0.27152777777777776</v>
      </c>
      <c r="H82" s="1" t="s">
        <v>20</v>
      </c>
      <c r="I82" t="s">
        <v>25</v>
      </c>
      <c r="J82" t="s">
        <v>601</v>
      </c>
      <c r="K82" s="9">
        <v>23.69</v>
      </c>
      <c r="L82" t="s">
        <v>28</v>
      </c>
      <c r="M82">
        <v>81</v>
      </c>
      <c r="N82" t="s">
        <v>34</v>
      </c>
      <c r="O82" s="3">
        <f>(Sala[[#This Row],[Hora de Salida]]-Sala[[#This Row],[Hora de llegada]])+IF(Sala[[#This Row],[Estado de la Mesa]]="Ocupada",(TEXT((15/(60*24)),"h:mm")),(TEXT(0,"h:mm")))</f>
        <v>0.12916666666666662</v>
      </c>
      <c r="P82" s="43">
        <f>(SUMIF(Cocina[Número de Orden],Sala[[#This Row],[Número de Orden]],Cocina[Tiempo de Preparación]))</f>
        <v>59</v>
      </c>
      <c r="Q82" s="5" t="str">
        <f>TEXT(((SUMIF(Cocina[Número de Orden],Sala[[#This Row],[Número de Orden]],Cocina[Tiempo de Preparación]))/(60*24)),"h:mm")</f>
        <v>0:59</v>
      </c>
      <c r="R82" s="3">
        <f>MAX((Sala[[#This Row],[Tiempo de permanencia]]-Sala[[#This Row],[Tiempo de preparación (h)]]),0)</f>
        <v>8.8194444444444409E-2</v>
      </c>
      <c r="S82" s="8">
        <f>SUMIF(Cocina[Número de Orden],Sala[[#This Row],[Número de Orden]],Cocina[Ganancia bruta])</f>
        <v>62</v>
      </c>
      <c r="T82" s="8">
        <f>SUMIF(Cocina[Número de Orden],Sala[[#This Row],[Número de Orden]],Cocina[Costo Unitario])</f>
        <v>19</v>
      </c>
      <c r="U82" s="2">
        <f>Sala[[#This Row],[Fecha de Salida]]</f>
        <v>45017</v>
      </c>
      <c r="V82" s="7" t="str">
        <f>TEXT(Sala[[#This Row],[Fecha factura]],"dddd")</f>
        <v>sábado</v>
      </c>
      <c r="W82" t="str">
        <f>IF(Sala[[#This Row],[Tiempo de degustación]]&gt;0,"Sí","No")</f>
        <v>Sí</v>
      </c>
      <c r="X82" t="str">
        <f>IF(Sala[[#This Row],[Cobrada]]="Sí",Sala[[#This Row],[Método de Pago]],"Impago")</f>
        <v>Tarjeta de crédito</v>
      </c>
      <c r="Y82">
        <f>IF(Sala[[#This Row],[Cobrada]]="Sí",Sala[[#This Row],[Propina]],0)</f>
        <v>23.69</v>
      </c>
      <c r="Z82">
        <f>(IF(Sala[[#This Row],[Cobrada]]="Sí",Sala[[#This Row],[Monto total]],0))+Sala[[#This Row],[Propina real]]</f>
        <v>85.69</v>
      </c>
    </row>
    <row r="83" spans="1:26" x14ac:dyDescent="0.25">
      <c r="A83">
        <v>16</v>
      </c>
      <c r="B83" t="s">
        <v>117</v>
      </c>
      <c r="C83">
        <v>3</v>
      </c>
      <c r="D83" s="2">
        <v>45017</v>
      </c>
      <c r="E83" s="3">
        <v>0.1423611111111111</v>
      </c>
      <c r="F83" s="2">
        <v>45017</v>
      </c>
      <c r="G83" s="3">
        <v>0.2986111111111111</v>
      </c>
      <c r="H83" s="1" t="s">
        <v>20</v>
      </c>
      <c r="I83" t="s">
        <v>12</v>
      </c>
      <c r="J83" t="s">
        <v>601</v>
      </c>
      <c r="K83" s="9">
        <v>38.6</v>
      </c>
      <c r="L83" t="s">
        <v>17</v>
      </c>
      <c r="M83">
        <v>82</v>
      </c>
      <c r="N83" t="s">
        <v>21</v>
      </c>
      <c r="O83" s="3">
        <f>(Sala[[#This Row],[Hora de Salida]]-Sala[[#This Row],[Hora de llegada]])+IF(Sala[[#This Row],[Estado de la Mesa]]="Ocupada",(TEXT((15/(60*24)),"h:mm")),(TEXT(0,"h:mm")))</f>
        <v>0.15625</v>
      </c>
      <c r="P83" s="43">
        <f>(SUMIF(Cocina[Número de Orden],Sala[[#This Row],[Número de Orden]],Cocina[Tiempo de Preparación]))</f>
        <v>19</v>
      </c>
      <c r="Q83" s="5" t="str">
        <f>TEXT(((SUMIF(Cocina[Número de Orden],Sala[[#This Row],[Número de Orden]],Cocina[Tiempo de Preparación]))/(60*24)),"h:mm")</f>
        <v>0:19</v>
      </c>
      <c r="R83" s="3">
        <f>MAX((Sala[[#This Row],[Tiempo de permanencia]]-Sala[[#This Row],[Tiempo de preparación (h)]]),0)</f>
        <v>0.14305555555555555</v>
      </c>
      <c r="S83" s="8">
        <f>SUMIF(Cocina[Número de Orden],Sala[[#This Row],[Número de Orden]],Cocina[Ganancia bruta])</f>
        <v>80</v>
      </c>
      <c r="T83" s="8">
        <f>SUMIF(Cocina[Número de Orden],Sala[[#This Row],[Número de Orden]],Cocina[Costo Unitario])</f>
        <v>33</v>
      </c>
      <c r="U83" s="2">
        <f>Sala[[#This Row],[Fecha de Salida]]</f>
        <v>45017</v>
      </c>
      <c r="V83" s="7" t="str">
        <f>TEXT(Sala[[#This Row],[Fecha factura]],"dddd")</f>
        <v>sábado</v>
      </c>
      <c r="W83" t="str">
        <f>IF(Sala[[#This Row],[Tiempo de degustación]]&gt;0,"Sí","No")</f>
        <v>Sí</v>
      </c>
      <c r="X83" t="str">
        <f>IF(Sala[[#This Row],[Cobrada]]="Sí",Sala[[#This Row],[Método de Pago]],"Impago")</f>
        <v>Tarjeta de crédito</v>
      </c>
      <c r="Y83">
        <f>IF(Sala[[#This Row],[Cobrada]]="Sí",Sala[[#This Row],[Propina]],0)</f>
        <v>38.6</v>
      </c>
      <c r="Z83">
        <f>(IF(Sala[[#This Row],[Cobrada]]="Sí",Sala[[#This Row],[Monto total]],0))+Sala[[#This Row],[Propina real]]</f>
        <v>118.6</v>
      </c>
    </row>
    <row r="84" spans="1:26" x14ac:dyDescent="0.25">
      <c r="A84">
        <v>15</v>
      </c>
      <c r="B84" t="s">
        <v>118</v>
      </c>
      <c r="C84">
        <v>1</v>
      </c>
      <c r="D84" s="2">
        <v>45017</v>
      </c>
      <c r="E84" s="3">
        <v>0.15416666666666667</v>
      </c>
      <c r="F84" s="2">
        <v>45017</v>
      </c>
      <c r="G84" s="3">
        <v>0.27708333333333335</v>
      </c>
      <c r="H84" s="1" t="s">
        <v>11</v>
      </c>
      <c r="I84" t="s">
        <v>25</v>
      </c>
      <c r="J84" t="s">
        <v>601</v>
      </c>
      <c r="K84" s="9">
        <v>24.94</v>
      </c>
      <c r="L84" t="s">
        <v>28</v>
      </c>
      <c r="M84">
        <v>83</v>
      </c>
      <c r="N84" t="s">
        <v>59</v>
      </c>
      <c r="O84" s="3">
        <f>(Sala[[#This Row],[Hora de Salida]]-Sala[[#This Row],[Hora de llegada]])+IF(Sala[[#This Row],[Estado de la Mesa]]="Ocupada",(TEXT((15/(60*24)),"h:mm")),(TEXT(0,"h:mm")))</f>
        <v>0.13333333333333333</v>
      </c>
      <c r="P84" s="43">
        <f>(SUMIF(Cocina[Número de Orden],Sala[[#This Row],[Número de Orden]],Cocina[Tiempo de Preparación]))</f>
        <v>94</v>
      </c>
      <c r="Q84" s="5" t="str">
        <f>TEXT(((SUMIF(Cocina[Número de Orden],Sala[[#This Row],[Número de Orden]],Cocina[Tiempo de Preparación]))/(60*24)),"h:mm")</f>
        <v>1:34</v>
      </c>
      <c r="R84" s="3">
        <f>MAX((Sala[[#This Row],[Tiempo de permanencia]]-Sala[[#This Row],[Tiempo de preparación (h)]]),0)</f>
        <v>6.805555555555555E-2</v>
      </c>
      <c r="S84" s="8">
        <f>SUMIF(Cocina[Número de Orden],Sala[[#This Row],[Número de Orden]],Cocina[Ganancia bruta])</f>
        <v>170</v>
      </c>
      <c r="T84" s="8">
        <f>SUMIF(Cocina[Número de Orden],Sala[[#This Row],[Número de Orden]],Cocina[Costo Unitario])</f>
        <v>47</v>
      </c>
      <c r="U84" s="2">
        <f>Sala[[#This Row],[Fecha de Salida]]</f>
        <v>45017</v>
      </c>
      <c r="V84" s="7" t="str">
        <f>TEXT(Sala[[#This Row],[Fecha factura]],"dddd")</f>
        <v>sábado</v>
      </c>
      <c r="W84" t="str">
        <f>IF(Sala[[#This Row],[Tiempo de degustación]]&gt;0,"Sí","No")</f>
        <v>Sí</v>
      </c>
      <c r="X84" t="str">
        <f>IF(Sala[[#This Row],[Cobrada]]="Sí",Sala[[#This Row],[Método de Pago]],"Impago")</f>
        <v>Tarjeta de crédito</v>
      </c>
      <c r="Y84">
        <f>IF(Sala[[#This Row],[Cobrada]]="Sí",Sala[[#This Row],[Propina]],0)</f>
        <v>24.94</v>
      </c>
      <c r="Z84">
        <f>(IF(Sala[[#This Row],[Cobrada]]="Sí",Sala[[#This Row],[Monto total]],0))+Sala[[#This Row],[Propina real]]</f>
        <v>194.94</v>
      </c>
    </row>
    <row r="85" spans="1:26" x14ac:dyDescent="0.25">
      <c r="A85">
        <v>19</v>
      </c>
      <c r="B85" t="s">
        <v>119</v>
      </c>
      <c r="C85">
        <v>5</v>
      </c>
      <c r="D85" s="2">
        <v>45017</v>
      </c>
      <c r="E85" s="3">
        <v>7.0833333333333331E-2</v>
      </c>
      <c r="F85" s="2">
        <v>45017</v>
      </c>
      <c r="G85" s="3">
        <v>0.13750000000000001</v>
      </c>
      <c r="H85" s="1" t="s">
        <v>23</v>
      </c>
      <c r="I85" t="s">
        <v>8</v>
      </c>
      <c r="J85" t="s">
        <v>601</v>
      </c>
      <c r="K85" s="9">
        <v>15.11</v>
      </c>
      <c r="L85" t="s">
        <v>28</v>
      </c>
      <c r="M85">
        <v>84</v>
      </c>
      <c r="N85" t="s">
        <v>593</v>
      </c>
      <c r="O85" s="3">
        <f>(Sala[[#This Row],[Hora de Salida]]-Sala[[#This Row],[Hora de llegada]])+IF(Sala[[#This Row],[Estado de la Mesa]]="Ocupada",(TEXT((15/(60*24)),"h:mm")),(TEXT(0,"h:mm")))</f>
        <v>7.7083333333333351E-2</v>
      </c>
      <c r="P85" s="43">
        <f>(SUMIF(Cocina[Número de Orden],Sala[[#This Row],[Número de Orden]],Cocina[Tiempo de Preparación]))</f>
        <v>10</v>
      </c>
      <c r="Q85" s="5" t="str">
        <f>TEXT(((SUMIF(Cocina[Número de Orden],Sala[[#This Row],[Número de Orden]],Cocina[Tiempo de Preparación]))/(60*24)),"h:mm")</f>
        <v>0:10</v>
      </c>
      <c r="R85" s="3">
        <f>MAX((Sala[[#This Row],[Tiempo de permanencia]]-Sala[[#This Row],[Tiempo de preparación (h)]]),0)</f>
        <v>7.0138888888888903E-2</v>
      </c>
      <c r="S85" s="8">
        <f>SUMIF(Cocina[Número de Orden],Sala[[#This Row],[Número de Orden]],Cocina[Ganancia bruta])</f>
        <v>60</v>
      </c>
      <c r="T85" s="8">
        <f>SUMIF(Cocina[Número de Orden],Sala[[#This Row],[Número de Orden]],Cocina[Costo Unitario])</f>
        <v>18</v>
      </c>
      <c r="U85" s="2">
        <f>Sala[[#This Row],[Fecha de Salida]]</f>
        <v>45017</v>
      </c>
      <c r="V85" s="7" t="str">
        <f>TEXT(Sala[[#This Row],[Fecha factura]],"dddd")</f>
        <v>sábado</v>
      </c>
      <c r="W85" t="str">
        <f>IF(Sala[[#This Row],[Tiempo de degustación]]&gt;0,"Sí","No")</f>
        <v>Sí</v>
      </c>
      <c r="X85" t="str">
        <f>IF(Sala[[#This Row],[Cobrada]]="Sí",Sala[[#This Row],[Método de Pago]],"Impago")</f>
        <v>Tarjeta de crédito</v>
      </c>
      <c r="Y85">
        <f>IF(Sala[[#This Row],[Cobrada]]="Sí",Sala[[#This Row],[Propina]],0)</f>
        <v>15.11</v>
      </c>
      <c r="Z85">
        <f>(IF(Sala[[#This Row],[Cobrada]]="Sí",Sala[[#This Row],[Monto total]],0))+Sala[[#This Row],[Propina real]]</f>
        <v>75.11</v>
      </c>
    </row>
    <row r="86" spans="1:26" x14ac:dyDescent="0.25">
      <c r="A86">
        <v>8</v>
      </c>
      <c r="B86" t="s">
        <v>120</v>
      </c>
      <c r="C86">
        <v>3</v>
      </c>
      <c r="D86" s="2">
        <v>45017</v>
      </c>
      <c r="E86" s="3">
        <v>0.1076388888888889</v>
      </c>
      <c r="F86" s="2">
        <v>45017</v>
      </c>
      <c r="G86" s="3">
        <v>0.18819444444444444</v>
      </c>
      <c r="H86" s="1" t="s">
        <v>16</v>
      </c>
      <c r="I86" t="s">
        <v>25</v>
      </c>
      <c r="J86" t="s">
        <v>601</v>
      </c>
      <c r="K86" s="9">
        <v>45.96</v>
      </c>
      <c r="L86" t="s">
        <v>17</v>
      </c>
      <c r="M86">
        <v>85</v>
      </c>
      <c r="N86" t="s">
        <v>44</v>
      </c>
      <c r="O86" s="3">
        <f>(Sala[[#This Row],[Hora de Salida]]-Sala[[#This Row],[Hora de llegada]])+IF(Sala[[#This Row],[Estado de la Mesa]]="Ocupada",(TEXT((15/(60*24)),"h:mm")),(TEXT(0,"h:mm")))</f>
        <v>8.0555555555555547E-2</v>
      </c>
      <c r="P86" s="43">
        <f>(SUMIF(Cocina[Número de Orden],Sala[[#This Row],[Número de Orden]],Cocina[Tiempo de Preparación]))</f>
        <v>142</v>
      </c>
      <c r="Q86" s="5" t="str">
        <f>TEXT(((SUMIF(Cocina[Número de Orden],Sala[[#This Row],[Número de Orden]],Cocina[Tiempo de Preparación]))/(60*24)),"h:mm")</f>
        <v>2:22</v>
      </c>
      <c r="R86" s="3">
        <f>MAX((Sala[[#This Row],[Tiempo de permanencia]]-Sala[[#This Row],[Tiempo de preparación (h)]]),0)</f>
        <v>0</v>
      </c>
      <c r="S86" s="8">
        <f>SUMIF(Cocina[Número de Orden],Sala[[#This Row],[Número de Orden]],Cocina[Ganancia bruta])</f>
        <v>208</v>
      </c>
      <c r="T86" s="8">
        <f>SUMIF(Cocina[Número de Orden],Sala[[#This Row],[Número de Orden]],Cocina[Costo Unitario])</f>
        <v>69</v>
      </c>
      <c r="U86" s="2">
        <f>Sala[[#This Row],[Fecha de Salida]]</f>
        <v>45017</v>
      </c>
      <c r="V86" s="7" t="str">
        <f>TEXT(Sala[[#This Row],[Fecha factura]],"dddd")</f>
        <v>sábado</v>
      </c>
      <c r="W86" t="str">
        <f>IF(Sala[[#This Row],[Tiempo de degustación]]&gt;0,"Sí","No")</f>
        <v>No</v>
      </c>
      <c r="X86" t="str">
        <f>IF(Sala[[#This Row],[Cobrada]]="Sí",Sala[[#This Row],[Método de Pago]],"Impago")</f>
        <v>Impago</v>
      </c>
      <c r="Y86">
        <f>IF(Sala[[#This Row],[Cobrada]]="Sí",Sala[[#This Row],[Propina]],0)</f>
        <v>0</v>
      </c>
      <c r="Z86">
        <f>(IF(Sala[[#This Row],[Cobrada]]="Sí",Sala[[#This Row],[Monto total]],0))+Sala[[#This Row],[Propina real]]</f>
        <v>0</v>
      </c>
    </row>
    <row r="87" spans="1:26" x14ac:dyDescent="0.25">
      <c r="A87">
        <v>20</v>
      </c>
      <c r="B87" t="s">
        <v>121</v>
      </c>
      <c r="C87">
        <v>3</v>
      </c>
      <c r="D87" s="2">
        <v>45017</v>
      </c>
      <c r="E87" s="3">
        <v>1.3888888888888889E-3</v>
      </c>
      <c r="F87" s="2">
        <v>45017</v>
      </c>
      <c r="G87" s="3">
        <v>8.8888888888888892E-2</v>
      </c>
      <c r="H87" s="1" t="s">
        <v>20</v>
      </c>
      <c r="I87" t="s">
        <v>8</v>
      </c>
      <c r="J87" t="s">
        <v>600</v>
      </c>
      <c r="K87" s="9">
        <v>11.84</v>
      </c>
      <c r="L87" t="s">
        <v>17</v>
      </c>
      <c r="M87">
        <v>86</v>
      </c>
      <c r="N87" t="s">
        <v>594</v>
      </c>
      <c r="O87" s="3">
        <f>(Sala[[#This Row],[Hora de Salida]]-Sala[[#This Row],[Hora de llegada]])+IF(Sala[[#This Row],[Estado de la Mesa]]="Ocupada",(TEXT((15/(60*24)),"h:mm")),(TEXT(0,"h:mm")))</f>
        <v>8.7500000000000008E-2</v>
      </c>
      <c r="P87" s="43">
        <f>(SUMIF(Cocina[Número de Orden],Sala[[#This Row],[Número de Orden]],Cocina[Tiempo de Preparación]))</f>
        <v>8</v>
      </c>
      <c r="Q87" s="5" t="str">
        <f>TEXT(((SUMIF(Cocina[Número de Orden],Sala[[#This Row],[Número de Orden]],Cocina[Tiempo de Preparación]))/(60*24)),"h:mm")</f>
        <v>0:08</v>
      </c>
      <c r="R87" s="3">
        <f>MAX((Sala[[#This Row],[Tiempo de permanencia]]-Sala[[#This Row],[Tiempo de preparación (h)]]),0)</f>
        <v>8.1944444444444459E-2</v>
      </c>
      <c r="S87" s="8">
        <f>SUMIF(Cocina[Número de Orden],Sala[[#This Row],[Número de Orden]],Cocina[Ganancia bruta])</f>
        <v>50</v>
      </c>
      <c r="T87" s="8">
        <f>SUMIF(Cocina[Número de Orden],Sala[[#This Row],[Número de Orden]],Cocina[Costo Unitario])</f>
        <v>15</v>
      </c>
      <c r="U87" s="2">
        <f>Sala[[#This Row],[Fecha de Salida]]</f>
        <v>45017</v>
      </c>
      <c r="V87" s="7" t="str">
        <f>TEXT(Sala[[#This Row],[Fecha factura]],"dddd")</f>
        <v>sábado</v>
      </c>
      <c r="W87" t="str">
        <f>IF(Sala[[#This Row],[Tiempo de degustación]]&gt;0,"Sí","No")</f>
        <v>Sí</v>
      </c>
      <c r="X87" t="str">
        <f>IF(Sala[[#This Row],[Cobrada]]="Sí",Sala[[#This Row],[Método de Pago]],"Impago")</f>
        <v>Tarjeta de débito</v>
      </c>
      <c r="Y87">
        <f>IF(Sala[[#This Row],[Cobrada]]="Sí",Sala[[#This Row],[Propina]],0)</f>
        <v>11.84</v>
      </c>
      <c r="Z87">
        <f>(IF(Sala[[#This Row],[Cobrada]]="Sí",Sala[[#This Row],[Monto total]],0))+Sala[[#This Row],[Propina real]]</f>
        <v>61.84</v>
      </c>
    </row>
    <row r="88" spans="1:26" x14ac:dyDescent="0.25">
      <c r="A88">
        <v>3</v>
      </c>
      <c r="B88" t="s">
        <v>123</v>
      </c>
      <c r="C88">
        <v>2</v>
      </c>
      <c r="D88" s="2">
        <v>45017</v>
      </c>
      <c r="E88" s="3">
        <v>7.3611111111111113E-2</v>
      </c>
      <c r="F88" s="2">
        <v>45017</v>
      </c>
      <c r="G88" s="3">
        <v>0.13750000000000001</v>
      </c>
      <c r="H88" s="1" t="s">
        <v>23</v>
      </c>
      <c r="I88" t="s">
        <v>8</v>
      </c>
      <c r="J88" t="s">
        <v>601</v>
      </c>
      <c r="K88" s="9">
        <v>29.46</v>
      </c>
      <c r="L88" t="s">
        <v>28</v>
      </c>
      <c r="M88">
        <v>87</v>
      </c>
      <c r="N88" t="s">
        <v>29</v>
      </c>
      <c r="O88" s="3">
        <f>(Sala[[#This Row],[Hora de Salida]]-Sala[[#This Row],[Hora de llegada]])+IF(Sala[[#This Row],[Estado de la Mesa]]="Ocupada",(TEXT((15/(60*24)),"h:mm")),(TEXT(0,"h:mm")))</f>
        <v>7.4305555555555569E-2</v>
      </c>
      <c r="P88" s="43">
        <f>(SUMIF(Cocina[Número de Orden],Sala[[#This Row],[Número de Orden]],Cocina[Tiempo de Preparación]))</f>
        <v>71</v>
      </c>
      <c r="Q88" s="5" t="str">
        <f>TEXT(((SUMIF(Cocina[Número de Orden],Sala[[#This Row],[Número de Orden]],Cocina[Tiempo de Preparación]))/(60*24)),"h:mm")</f>
        <v>1:11</v>
      </c>
      <c r="R88" s="3">
        <f>MAX((Sala[[#This Row],[Tiempo de permanencia]]-Sala[[#This Row],[Tiempo de preparación (h)]]),0)</f>
        <v>2.5000000000000015E-2</v>
      </c>
      <c r="S88" s="8">
        <f>SUMIF(Cocina[Número de Orden],Sala[[#This Row],[Número de Orden]],Cocina[Ganancia bruta])</f>
        <v>99</v>
      </c>
      <c r="T88" s="8">
        <f>SUMIF(Cocina[Número de Orden],Sala[[#This Row],[Número de Orden]],Cocina[Costo Unitario])</f>
        <v>48</v>
      </c>
      <c r="U88" s="2">
        <f>Sala[[#This Row],[Fecha de Salida]]</f>
        <v>45017</v>
      </c>
      <c r="V88" s="7" t="str">
        <f>TEXT(Sala[[#This Row],[Fecha factura]],"dddd")</f>
        <v>sábado</v>
      </c>
      <c r="W88" t="str">
        <f>IF(Sala[[#This Row],[Tiempo de degustación]]&gt;0,"Sí","No")</f>
        <v>Sí</v>
      </c>
      <c r="X88" t="str">
        <f>IF(Sala[[#This Row],[Cobrada]]="Sí",Sala[[#This Row],[Método de Pago]],"Impago")</f>
        <v>Tarjeta de crédito</v>
      </c>
      <c r="Y88">
        <f>IF(Sala[[#This Row],[Cobrada]]="Sí",Sala[[#This Row],[Propina]],0)</f>
        <v>29.46</v>
      </c>
      <c r="Z88">
        <f>(IF(Sala[[#This Row],[Cobrada]]="Sí",Sala[[#This Row],[Monto total]],0))+Sala[[#This Row],[Propina real]]</f>
        <v>128.46</v>
      </c>
    </row>
    <row r="89" spans="1:26" x14ac:dyDescent="0.25">
      <c r="A89">
        <v>18</v>
      </c>
      <c r="B89" t="s">
        <v>124</v>
      </c>
      <c r="C89">
        <v>1</v>
      </c>
      <c r="D89" s="2">
        <v>45017</v>
      </c>
      <c r="E89" s="3">
        <v>0.14583333333333334</v>
      </c>
      <c r="F89" s="2">
        <v>45017</v>
      </c>
      <c r="G89" s="3">
        <v>0.27777777777777779</v>
      </c>
      <c r="H89" s="1" t="s">
        <v>23</v>
      </c>
      <c r="I89" t="s">
        <v>8</v>
      </c>
      <c r="J89" t="s">
        <v>600</v>
      </c>
      <c r="K89" s="9">
        <v>23.93</v>
      </c>
      <c r="L89" t="s">
        <v>9</v>
      </c>
      <c r="M89">
        <v>88</v>
      </c>
      <c r="N89" t="s">
        <v>44</v>
      </c>
      <c r="O89" s="3">
        <f>(Sala[[#This Row],[Hora de Salida]]-Sala[[#This Row],[Hora de llegada]])+IF(Sala[[#This Row],[Estado de la Mesa]]="Ocupada",(TEXT((15/(60*24)),"h:mm")),(TEXT(0,"h:mm")))</f>
        <v>0.13194444444444445</v>
      </c>
      <c r="P89" s="43">
        <f>(SUMIF(Cocina[Número de Orden],Sala[[#This Row],[Número de Orden]],Cocina[Tiempo de Preparación]))</f>
        <v>117</v>
      </c>
      <c r="Q89" s="5" t="str">
        <f>TEXT(((SUMIF(Cocina[Número de Orden],Sala[[#This Row],[Número de Orden]],Cocina[Tiempo de Preparación]))/(60*24)),"h:mm")</f>
        <v>1:57</v>
      </c>
      <c r="R89" s="3">
        <f>MAX((Sala[[#This Row],[Tiempo de permanencia]]-Sala[[#This Row],[Tiempo de preparación (h)]]),0)</f>
        <v>5.0694444444444445E-2</v>
      </c>
      <c r="S89" s="8">
        <f>SUMIF(Cocina[Número de Orden],Sala[[#This Row],[Número de Orden]],Cocina[Ganancia bruta])</f>
        <v>123</v>
      </c>
      <c r="T89" s="8">
        <f>SUMIF(Cocina[Número de Orden],Sala[[#This Row],[Número de Orden]],Cocina[Costo Unitario])</f>
        <v>51</v>
      </c>
      <c r="U89" s="2">
        <f>Sala[[#This Row],[Fecha de Salida]]</f>
        <v>45017</v>
      </c>
      <c r="V89" s="7" t="str">
        <f>TEXT(Sala[[#This Row],[Fecha factura]],"dddd")</f>
        <v>sábado</v>
      </c>
      <c r="W89" t="str">
        <f>IF(Sala[[#This Row],[Tiempo de degustación]]&gt;0,"Sí","No")</f>
        <v>Sí</v>
      </c>
      <c r="X89" t="str">
        <f>IF(Sala[[#This Row],[Cobrada]]="Sí",Sala[[#This Row],[Método de Pago]],"Impago")</f>
        <v>Tarjeta de débito</v>
      </c>
      <c r="Y89">
        <f>IF(Sala[[#This Row],[Cobrada]]="Sí",Sala[[#This Row],[Propina]],0)</f>
        <v>23.93</v>
      </c>
      <c r="Z89">
        <f>(IF(Sala[[#This Row],[Cobrada]]="Sí",Sala[[#This Row],[Monto total]],0))+Sala[[#This Row],[Propina real]]</f>
        <v>146.93</v>
      </c>
    </row>
    <row r="90" spans="1:26" x14ac:dyDescent="0.25">
      <c r="A90">
        <v>11</v>
      </c>
      <c r="B90" t="s">
        <v>94</v>
      </c>
      <c r="C90">
        <v>4</v>
      </c>
      <c r="D90" s="2">
        <v>45017</v>
      </c>
      <c r="E90" s="3">
        <v>2.9166666666666667E-2</v>
      </c>
      <c r="F90" s="2">
        <v>45017</v>
      </c>
      <c r="G90" s="3">
        <v>9.6527777777777782E-2</v>
      </c>
      <c r="H90" s="1" t="s">
        <v>20</v>
      </c>
      <c r="I90" t="s">
        <v>12</v>
      </c>
      <c r="J90" t="s">
        <v>600</v>
      </c>
      <c r="K90" s="9">
        <v>12.28</v>
      </c>
      <c r="L90" t="s">
        <v>17</v>
      </c>
      <c r="M90">
        <v>89</v>
      </c>
      <c r="N90" t="s">
        <v>34</v>
      </c>
      <c r="O90" s="3">
        <f>(Sala[[#This Row],[Hora de Salida]]-Sala[[#This Row],[Hora de llegada]])+IF(Sala[[#This Row],[Estado de la Mesa]]="Ocupada",(TEXT((15/(60*24)),"h:mm")),(TEXT(0,"h:mm")))</f>
        <v>6.7361111111111122E-2</v>
      </c>
      <c r="P90" s="43">
        <f>(SUMIF(Cocina[Número de Orden],Sala[[#This Row],[Número de Orden]],Cocina[Tiempo de Preparación]))</f>
        <v>142</v>
      </c>
      <c r="Q90" s="5" t="str">
        <f>TEXT(((SUMIF(Cocina[Número de Orden],Sala[[#This Row],[Número de Orden]],Cocina[Tiempo de Preparación]))/(60*24)),"h:mm")</f>
        <v>2:22</v>
      </c>
      <c r="R90" s="3">
        <f>MAX((Sala[[#This Row],[Tiempo de permanencia]]-Sala[[#This Row],[Tiempo de preparación (h)]]),0)</f>
        <v>0</v>
      </c>
      <c r="S90" s="8">
        <f>SUMIF(Cocina[Número de Orden],Sala[[#This Row],[Número de Orden]],Cocina[Ganancia bruta])</f>
        <v>159</v>
      </c>
      <c r="T90" s="8">
        <f>SUMIF(Cocina[Número de Orden],Sala[[#This Row],[Número de Orden]],Cocina[Costo Unitario])</f>
        <v>47</v>
      </c>
      <c r="U90" s="2">
        <f>Sala[[#This Row],[Fecha de Salida]]</f>
        <v>45017</v>
      </c>
      <c r="V90" s="7" t="str">
        <f>TEXT(Sala[[#This Row],[Fecha factura]],"dddd")</f>
        <v>sábado</v>
      </c>
      <c r="W90" t="str">
        <f>IF(Sala[[#This Row],[Tiempo de degustación]]&gt;0,"Sí","No")</f>
        <v>No</v>
      </c>
      <c r="X90" t="str">
        <f>IF(Sala[[#This Row],[Cobrada]]="Sí",Sala[[#This Row],[Método de Pago]],"Impago")</f>
        <v>Impago</v>
      </c>
      <c r="Y90">
        <f>IF(Sala[[#This Row],[Cobrada]]="Sí",Sala[[#This Row],[Propina]],0)</f>
        <v>0</v>
      </c>
      <c r="Z90">
        <f>(IF(Sala[[#This Row],[Cobrada]]="Sí",Sala[[#This Row],[Monto total]],0))+Sala[[#This Row],[Propina real]]</f>
        <v>0</v>
      </c>
    </row>
    <row r="91" spans="1:26" x14ac:dyDescent="0.25">
      <c r="A91">
        <v>6</v>
      </c>
      <c r="B91" t="s">
        <v>125</v>
      </c>
      <c r="C91">
        <v>3</v>
      </c>
      <c r="D91" s="2">
        <v>45017</v>
      </c>
      <c r="E91" s="3">
        <v>5.347222222222222E-2</v>
      </c>
      <c r="F91" s="2">
        <v>45017</v>
      </c>
      <c r="G91" s="3">
        <v>0.13402777777777777</v>
      </c>
      <c r="H91" s="1" t="s">
        <v>20</v>
      </c>
      <c r="I91" t="s">
        <v>8</v>
      </c>
      <c r="J91" t="s">
        <v>600</v>
      </c>
      <c r="K91" s="9">
        <v>30.69</v>
      </c>
      <c r="L91" t="s">
        <v>9</v>
      </c>
      <c r="M91">
        <v>90</v>
      </c>
      <c r="N91" t="s">
        <v>44</v>
      </c>
      <c r="O91" s="3">
        <f>(Sala[[#This Row],[Hora de Salida]]-Sala[[#This Row],[Hora de llegada]])+IF(Sala[[#This Row],[Estado de la Mesa]]="Ocupada",(TEXT((15/(60*24)),"h:mm")),(TEXT(0,"h:mm")))</f>
        <v>8.0555555555555547E-2</v>
      </c>
      <c r="P91" s="43">
        <f>(SUMIF(Cocina[Número de Orden],Sala[[#This Row],[Número de Orden]],Cocina[Tiempo de Preparación]))</f>
        <v>48</v>
      </c>
      <c r="Q91" s="5" t="str">
        <f>TEXT(((SUMIF(Cocina[Número de Orden],Sala[[#This Row],[Número de Orden]],Cocina[Tiempo de Preparación]))/(60*24)),"h:mm")</f>
        <v>0:48</v>
      </c>
      <c r="R91" s="3">
        <f>MAX((Sala[[#This Row],[Tiempo de permanencia]]-Sala[[#This Row],[Tiempo de preparación (h)]]),0)</f>
        <v>4.7222222222222214E-2</v>
      </c>
      <c r="S91" s="8">
        <f>SUMIF(Cocina[Número de Orden],Sala[[#This Row],[Número de Orden]],Cocina[Ganancia bruta])</f>
        <v>34</v>
      </c>
      <c r="T91" s="8">
        <f>SUMIF(Cocina[Número de Orden],Sala[[#This Row],[Número de Orden]],Cocina[Costo Unitario])</f>
        <v>20</v>
      </c>
      <c r="U91" s="2">
        <f>Sala[[#This Row],[Fecha de Salida]]</f>
        <v>45017</v>
      </c>
      <c r="V91" s="7" t="str">
        <f>TEXT(Sala[[#This Row],[Fecha factura]],"dddd")</f>
        <v>sábado</v>
      </c>
      <c r="W91" t="str">
        <f>IF(Sala[[#This Row],[Tiempo de degustación]]&gt;0,"Sí","No")</f>
        <v>Sí</v>
      </c>
      <c r="X91" t="str">
        <f>IF(Sala[[#This Row],[Cobrada]]="Sí",Sala[[#This Row],[Método de Pago]],"Impago")</f>
        <v>Tarjeta de débito</v>
      </c>
      <c r="Y91">
        <f>IF(Sala[[#This Row],[Cobrada]]="Sí",Sala[[#This Row],[Propina]],0)</f>
        <v>30.69</v>
      </c>
      <c r="Z91">
        <f>(IF(Sala[[#This Row],[Cobrada]]="Sí",Sala[[#This Row],[Monto total]],0))+Sala[[#This Row],[Propina real]]</f>
        <v>64.69</v>
      </c>
    </row>
    <row r="92" spans="1:26" x14ac:dyDescent="0.25">
      <c r="A92">
        <v>1</v>
      </c>
      <c r="B92" t="s">
        <v>126</v>
      </c>
      <c r="C92">
        <v>5</v>
      </c>
      <c r="D92" s="2">
        <v>45017</v>
      </c>
      <c r="E92" s="3">
        <v>0.15138888888888888</v>
      </c>
      <c r="F92" s="2">
        <v>45017</v>
      </c>
      <c r="G92" s="3">
        <v>0.22500000000000001</v>
      </c>
      <c r="H92" s="1" t="s">
        <v>20</v>
      </c>
      <c r="I92" t="s">
        <v>8</v>
      </c>
      <c r="J92" t="s">
        <v>601</v>
      </c>
      <c r="K92" s="9">
        <v>39.1</v>
      </c>
      <c r="L92" t="s">
        <v>9</v>
      </c>
      <c r="M92">
        <v>91</v>
      </c>
      <c r="N92" t="s">
        <v>594</v>
      </c>
      <c r="O92" s="3">
        <f>(Sala[[#This Row],[Hora de Salida]]-Sala[[#This Row],[Hora de llegada]])+IF(Sala[[#This Row],[Estado de la Mesa]]="Ocupada",(TEXT((15/(60*24)),"h:mm")),(TEXT(0,"h:mm")))</f>
        <v>7.3611111111111127E-2</v>
      </c>
      <c r="P92" s="43">
        <f>(SUMIF(Cocina[Número de Orden],Sala[[#This Row],[Número de Orden]],Cocina[Tiempo de Preparación]))</f>
        <v>132</v>
      </c>
      <c r="Q92" s="5" t="str">
        <f>TEXT(((SUMIF(Cocina[Número de Orden],Sala[[#This Row],[Número de Orden]],Cocina[Tiempo de Preparación]))/(60*24)),"h:mm")</f>
        <v>2:12</v>
      </c>
      <c r="R92" s="3">
        <f>MAX((Sala[[#This Row],[Tiempo de permanencia]]-Sala[[#This Row],[Tiempo de preparación (h)]]),0)</f>
        <v>0</v>
      </c>
      <c r="S92" s="8">
        <f>SUMIF(Cocina[Número de Orden],Sala[[#This Row],[Número de Orden]],Cocina[Ganancia bruta])</f>
        <v>293</v>
      </c>
      <c r="T92" s="8">
        <f>SUMIF(Cocina[Número de Orden],Sala[[#This Row],[Número de Orden]],Cocina[Costo Unitario])</f>
        <v>63</v>
      </c>
      <c r="U92" s="2">
        <f>Sala[[#This Row],[Fecha de Salida]]</f>
        <v>45017</v>
      </c>
      <c r="V92" s="7" t="str">
        <f>TEXT(Sala[[#This Row],[Fecha factura]],"dddd")</f>
        <v>sábado</v>
      </c>
      <c r="W92" t="str">
        <f>IF(Sala[[#This Row],[Tiempo de degustación]]&gt;0,"Sí","No")</f>
        <v>No</v>
      </c>
      <c r="X92" t="str">
        <f>IF(Sala[[#This Row],[Cobrada]]="Sí",Sala[[#This Row],[Método de Pago]],"Impago")</f>
        <v>Impago</v>
      </c>
      <c r="Y92">
        <f>IF(Sala[[#This Row],[Cobrada]]="Sí",Sala[[#This Row],[Propina]],0)</f>
        <v>0</v>
      </c>
      <c r="Z92">
        <f>(IF(Sala[[#This Row],[Cobrada]]="Sí",Sala[[#This Row],[Monto total]],0))+Sala[[#This Row],[Propina real]]</f>
        <v>0</v>
      </c>
    </row>
    <row r="93" spans="1:26" x14ac:dyDescent="0.25">
      <c r="A93">
        <v>6</v>
      </c>
      <c r="B93" t="s">
        <v>127</v>
      </c>
      <c r="C93">
        <v>2</v>
      </c>
      <c r="D93" s="2">
        <v>45017</v>
      </c>
      <c r="E93" s="3">
        <v>0.14930555555555555</v>
      </c>
      <c r="F93" s="2">
        <v>45017</v>
      </c>
      <c r="G93" s="3">
        <v>0.25624999999999998</v>
      </c>
      <c r="H93" s="1" t="s">
        <v>16</v>
      </c>
      <c r="I93" t="s">
        <v>12</v>
      </c>
      <c r="J93" t="s">
        <v>601</v>
      </c>
      <c r="K93" s="9">
        <v>12.75</v>
      </c>
      <c r="L93" t="s">
        <v>17</v>
      </c>
      <c r="M93">
        <v>92</v>
      </c>
      <c r="N93" t="s">
        <v>29</v>
      </c>
      <c r="O93" s="3">
        <f>(Sala[[#This Row],[Hora de Salida]]-Sala[[#This Row],[Hora de llegada]])+IF(Sala[[#This Row],[Estado de la Mesa]]="Ocupada",(TEXT((15/(60*24)),"h:mm")),(TEXT(0,"h:mm")))</f>
        <v>0.10694444444444443</v>
      </c>
      <c r="P93" s="43">
        <f>(SUMIF(Cocina[Número de Orden],Sala[[#This Row],[Número de Orden]],Cocina[Tiempo de Preparación]))</f>
        <v>42</v>
      </c>
      <c r="Q93" s="5" t="str">
        <f>TEXT(((SUMIF(Cocina[Número de Orden],Sala[[#This Row],[Número de Orden]],Cocina[Tiempo de Preparación]))/(60*24)),"h:mm")</f>
        <v>0:42</v>
      </c>
      <c r="R93" s="3">
        <f>MAX((Sala[[#This Row],[Tiempo de permanencia]]-Sala[[#This Row],[Tiempo de preparación (h)]]),0)</f>
        <v>7.7777777777777751E-2</v>
      </c>
      <c r="S93" s="8">
        <f>SUMIF(Cocina[Número de Orden],Sala[[#This Row],[Número de Orden]],Cocina[Ganancia bruta])</f>
        <v>82</v>
      </c>
      <c r="T93" s="8">
        <f>SUMIF(Cocina[Número de Orden],Sala[[#This Row],[Número de Orden]],Cocina[Costo Unitario])</f>
        <v>31</v>
      </c>
      <c r="U93" s="2">
        <f>Sala[[#This Row],[Fecha de Salida]]</f>
        <v>45017</v>
      </c>
      <c r="V93" s="7" t="str">
        <f>TEXT(Sala[[#This Row],[Fecha factura]],"dddd")</f>
        <v>sábado</v>
      </c>
      <c r="W93" t="str">
        <f>IF(Sala[[#This Row],[Tiempo de degustación]]&gt;0,"Sí","No")</f>
        <v>Sí</v>
      </c>
      <c r="X93" t="str">
        <f>IF(Sala[[#This Row],[Cobrada]]="Sí",Sala[[#This Row],[Método de Pago]],"Impago")</f>
        <v>Tarjeta de crédito</v>
      </c>
      <c r="Y93">
        <f>IF(Sala[[#This Row],[Cobrada]]="Sí",Sala[[#This Row],[Propina]],0)</f>
        <v>12.75</v>
      </c>
      <c r="Z93">
        <f>(IF(Sala[[#This Row],[Cobrada]]="Sí",Sala[[#This Row],[Monto total]],0))+Sala[[#This Row],[Propina real]]</f>
        <v>94.75</v>
      </c>
    </row>
    <row r="94" spans="1:26" x14ac:dyDescent="0.25">
      <c r="A94">
        <v>2</v>
      </c>
      <c r="B94" t="s">
        <v>128</v>
      </c>
      <c r="C94">
        <v>2</v>
      </c>
      <c r="D94" s="2">
        <v>45017</v>
      </c>
      <c r="E94" s="3">
        <v>6.8750000000000006E-2</v>
      </c>
      <c r="F94" s="2">
        <v>45017</v>
      </c>
      <c r="G94" s="3">
        <v>0.15833333333333333</v>
      </c>
      <c r="H94" s="1" t="s">
        <v>16</v>
      </c>
      <c r="I94" t="s">
        <v>8</v>
      </c>
      <c r="J94" t="s">
        <v>601</v>
      </c>
      <c r="K94" s="9">
        <v>45.66</v>
      </c>
      <c r="L94" t="s">
        <v>17</v>
      </c>
      <c r="M94">
        <v>93</v>
      </c>
      <c r="N94" t="s">
        <v>593</v>
      </c>
      <c r="O94" s="3">
        <f>(Sala[[#This Row],[Hora de Salida]]-Sala[[#This Row],[Hora de llegada]])+IF(Sala[[#This Row],[Estado de la Mesa]]="Ocupada",(TEXT((15/(60*24)),"h:mm")),(TEXT(0,"h:mm")))</f>
        <v>8.958333333333332E-2</v>
      </c>
      <c r="P94" s="43">
        <f>(SUMIF(Cocina[Número de Orden],Sala[[#This Row],[Número de Orden]],Cocina[Tiempo de Preparación]))</f>
        <v>18</v>
      </c>
      <c r="Q94" s="5" t="str">
        <f>TEXT(((SUMIF(Cocina[Número de Orden],Sala[[#This Row],[Número de Orden]],Cocina[Tiempo de Preparación]))/(60*24)),"h:mm")</f>
        <v>0:18</v>
      </c>
      <c r="R94" s="3">
        <f>MAX((Sala[[#This Row],[Tiempo de permanencia]]-Sala[[#This Row],[Tiempo de preparación (h)]]),0)</f>
        <v>7.7083333333333323E-2</v>
      </c>
      <c r="S94" s="8">
        <f>SUMIF(Cocina[Número de Orden],Sala[[#This Row],[Número de Orden]],Cocina[Ganancia bruta])</f>
        <v>29</v>
      </c>
      <c r="T94" s="8">
        <f>SUMIF(Cocina[Número de Orden],Sala[[#This Row],[Número de Orden]],Cocina[Costo Unitario])</f>
        <v>17</v>
      </c>
      <c r="U94" s="2">
        <f>Sala[[#This Row],[Fecha de Salida]]</f>
        <v>45017</v>
      </c>
      <c r="V94" s="7" t="str">
        <f>TEXT(Sala[[#This Row],[Fecha factura]],"dddd")</f>
        <v>sábado</v>
      </c>
      <c r="W94" t="str">
        <f>IF(Sala[[#This Row],[Tiempo de degustación]]&gt;0,"Sí","No")</f>
        <v>Sí</v>
      </c>
      <c r="X94" t="str">
        <f>IF(Sala[[#This Row],[Cobrada]]="Sí",Sala[[#This Row],[Método de Pago]],"Impago")</f>
        <v>Tarjeta de crédito</v>
      </c>
      <c r="Y94">
        <f>IF(Sala[[#This Row],[Cobrada]]="Sí",Sala[[#This Row],[Propina]],0)</f>
        <v>45.66</v>
      </c>
      <c r="Z94">
        <f>(IF(Sala[[#This Row],[Cobrada]]="Sí",Sala[[#This Row],[Monto total]],0))+Sala[[#This Row],[Propina real]]</f>
        <v>74.66</v>
      </c>
    </row>
    <row r="95" spans="1:26" x14ac:dyDescent="0.25">
      <c r="A95">
        <v>12</v>
      </c>
      <c r="B95" t="s">
        <v>129</v>
      </c>
      <c r="C95">
        <v>1</v>
      </c>
      <c r="D95" s="2">
        <v>45017</v>
      </c>
      <c r="E95" s="3">
        <v>7.7777777777777779E-2</v>
      </c>
      <c r="F95" s="2">
        <v>45017</v>
      </c>
      <c r="G95" s="3">
        <v>0.20347222222222222</v>
      </c>
      <c r="H95" s="1" t="s">
        <v>23</v>
      </c>
      <c r="I95" t="s">
        <v>8</v>
      </c>
      <c r="J95" t="s">
        <v>601</v>
      </c>
      <c r="K95" s="9">
        <v>28.36</v>
      </c>
      <c r="L95" t="s">
        <v>28</v>
      </c>
      <c r="M95">
        <v>94</v>
      </c>
      <c r="N95" t="s">
        <v>47</v>
      </c>
      <c r="O95" s="3">
        <f>(Sala[[#This Row],[Hora de Salida]]-Sala[[#This Row],[Hora de llegada]])+IF(Sala[[#This Row],[Estado de la Mesa]]="Ocupada",(TEXT((15/(60*24)),"h:mm")),(TEXT(0,"h:mm")))</f>
        <v>0.1361111111111111</v>
      </c>
      <c r="P95" s="43">
        <f>(SUMIF(Cocina[Número de Orden],Sala[[#This Row],[Número de Orden]],Cocina[Tiempo de Preparación]))</f>
        <v>129</v>
      </c>
      <c r="Q95" s="5" t="str">
        <f>TEXT(((SUMIF(Cocina[Número de Orden],Sala[[#This Row],[Número de Orden]],Cocina[Tiempo de Preparación]))/(60*24)),"h:mm")</f>
        <v>2:09</v>
      </c>
      <c r="R95" s="3">
        <f>MAX((Sala[[#This Row],[Tiempo de permanencia]]-Sala[[#This Row],[Tiempo de preparación (h)]]),0)</f>
        <v>4.6527777777777765E-2</v>
      </c>
      <c r="S95" s="8">
        <f>SUMIF(Cocina[Número de Orden],Sala[[#This Row],[Número de Orden]],Cocina[Ganancia bruta])</f>
        <v>253</v>
      </c>
      <c r="T95" s="8">
        <f>SUMIF(Cocina[Número de Orden],Sala[[#This Row],[Número de Orden]],Cocina[Costo Unitario])</f>
        <v>57</v>
      </c>
      <c r="U95" s="2">
        <f>Sala[[#This Row],[Fecha de Salida]]</f>
        <v>45017</v>
      </c>
      <c r="V95" s="7" t="str">
        <f>TEXT(Sala[[#This Row],[Fecha factura]],"dddd")</f>
        <v>sábado</v>
      </c>
      <c r="W95" t="str">
        <f>IF(Sala[[#This Row],[Tiempo de degustación]]&gt;0,"Sí","No")</f>
        <v>Sí</v>
      </c>
      <c r="X95" t="str">
        <f>IF(Sala[[#This Row],[Cobrada]]="Sí",Sala[[#This Row],[Método de Pago]],"Impago")</f>
        <v>Tarjeta de crédito</v>
      </c>
      <c r="Y95">
        <f>IF(Sala[[#This Row],[Cobrada]]="Sí",Sala[[#This Row],[Propina]],0)</f>
        <v>28.36</v>
      </c>
      <c r="Z95">
        <f>(IF(Sala[[#This Row],[Cobrada]]="Sí",Sala[[#This Row],[Monto total]],0))+Sala[[#This Row],[Propina real]]</f>
        <v>281.36</v>
      </c>
    </row>
    <row r="96" spans="1:26" x14ac:dyDescent="0.25">
      <c r="A96">
        <v>12</v>
      </c>
      <c r="B96" t="s">
        <v>130</v>
      </c>
      <c r="C96">
        <v>5</v>
      </c>
      <c r="D96" s="2">
        <v>45017</v>
      </c>
      <c r="E96" s="3">
        <v>0.13819444444444445</v>
      </c>
      <c r="F96" s="2">
        <v>45017</v>
      </c>
      <c r="G96" s="3">
        <v>0.25486111111111109</v>
      </c>
      <c r="H96" s="1" t="s">
        <v>16</v>
      </c>
      <c r="I96" t="s">
        <v>25</v>
      </c>
      <c r="J96" t="s">
        <v>601</v>
      </c>
      <c r="K96" s="9">
        <v>24.68</v>
      </c>
      <c r="L96" t="s">
        <v>28</v>
      </c>
      <c r="M96">
        <v>95</v>
      </c>
      <c r="N96" t="s">
        <v>594</v>
      </c>
      <c r="O96" s="3">
        <f>(Sala[[#This Row],[Hora de Salida]]-Sala[[#This Row],[Hora de llegada]])+IF(Sala[[#This Row],[Estado de la Mesa]]="Ocupada",(TEXT((15/(60*24)),"h:mm")),(TEXT(0,"h:mm")))</f>
        <v>0.1270833333333333</v>
      </c>
      <c r="P96" s="43">
        <f>(SUMIF(Cocina[Número de Orden],Sala[[#This Row],[Número de Orden]],Cocina[Tiempo de Preparación]))</f>
        <v>41</v>
      </c>
      <c r="Q96" s="5" t="str">
        <f>TEXT(((SUMIF(Cocina[Número de Orden],Sala[[#This Row],[Número de Orden]],Cocina[Tiempo de Preparación]))/(60*24)),"h:mm")</f>
        <v>0:41</v>
      </c>
      <c r="R96" s="3">
        <f>MAX((Sala[[#This Row],[Tiempo de permanencia]]-Sala[[#This Row],[Tiempo de preparación (h)]]),0)</f>
        <v>9.861111111111108E-2</v>
      </c>
      <c r="S96" s="8">
        <f>SUMIF(Cocina[Número de Orden],Sala[[#This Row],[Número de Orden]],Cocina[Ganancia bruta])</f>
        <v>153</v>
      </c>
      <c r="T96" s="8">
        <f>SUMIF(Cocina[Número de Orden],Sala[[#This Row],[Número de Orden]],Cocina[Costo Unitario])</f>
        <v>30</v>
      </c>
      <c r="U96" s="2">
        <f>Sala[[#This Row],[Fecha de Salida]]</f>
        <v>45017</v>
      </c>
      <c r="V96" s="7" t="str">
        <f>TEXT(Sala[[#This Row],[Fecha factura]],"dddd")</f>
        <v>sábado</v>
      </c>
      <c r="W96" t="str">
        <f>IF(Sala[[#This Row],[Tiempo de degustación]]&gt;0,"Sí","No")</f>
        <v>Sí</v>
      </c>
      <c r="X96" t="str">
        <f>IF(Sala[[#This Row],[Cobrada]]="Sí",Sala[[#This Row],[Método de Pago]],"Impago")</f>
        <v>Tarjeta de crédito</v>
      </c>
      <c r="Y96">
        <f>IF(Sala[[#This Row],[Cobrada]]="Sí",Sala[[#This Row],[Propina]],0)</f>
        <v>24.68</v>
      </c>
      <c r="Z96">
        <f>(IF(Sala[[#This Row],[Cobrada]]="Sí",Sala[[#This Row],[Monto total]],0))+Sala[[#This Row],[Propina real]]</f>
        <v>177.68</v>
      </c>
    </row>
    <row r="97" spans="1:26" x14ac:dyDescent="0.25">
      <c r="A97">
        <v>16</v>
      </c>
      <c r="B97" t="s">
        <v>131</v>
      </c>
      <c r="C97">
        <v>5</v>
      </c>
      <c r="D97" s="2">
        <v>45017</v>
      </c>
      <c r="E97" s="3">
        <v>8.2638888888888887E-2</v>
      </c>
      <c r="F97" s="2">
        <v>45017</v>
      </c>
      <c r="G97" s="3">
        <v>0.22638888888888889</v>
      </c>
      <c r="H97" s="1" t="s">
        <v>23</v>
      </c>
      <c r="I97" t="s">
        <v>12</v>
      </c>
      <c r="J97" t="s">
        <v>601</v>
      </c>
      <c r="K97" s="9">
        <v>33.630000000000003</v>
      </c>
      <c r="L97" t="s">
        <v>17</v>
      </c>
      <c r="M97">
        <v>96</v>
      </c>
      <c r="N97" t="s">
        <v>32</v>
      </c>
      <c r="O97" s="3">
        <f>(Sala[[#This Row],[Hora de Salida]]-Sala[[#This Row],[Hora de llegada]])+IF(Sala[[#This Row],[Estado de la Mesa]]="Ocupada",(TEXT((15/(60*24)),"h:mm")),(TEXT(0,"h:mm")))</f>
        <v>0.14374999999999999</v>
      </c>
      <c r="P97" s="43">
        <f>(SUMIF(Cocina[Número de Orden],Sala[[#This Row],[Número de Orden]],Cocina[Tiempo de Preparación]))</f>
        <v>76</v>
      </c>
      <c r="Q97" s="5" t="str">
        <f>TEXT(((SUMIF(Cocina[Número de Orden],Sala[[#This Row],[Número de Orden]],Cocina[Tiempo de Preparación]))/(60*24)),"h:mm")</f>
        <v>1:16</v>
      </c>
      <c r="R97" s="3">
        <f>MAX((Sala[[#This Row],[Tiempo de permanencia]]-Sala[[#This Row],[Tiempo de preparación (h)]]),0)</f>
        <v>9.0972222222222204E-2</v>
      </c>
      <c r="S97" s="8">
        <f>SUMIF(Cocina[Número de Orden],Sala[[#This Row],[Número de Orden]],Cocina[Ganancia bruta])</f>
        <v>176</v>
      </c>
      <c r="T97" s="8">
        <f>SUMIF(Cocina[Número de Orden],Sala[[#This Row],[Número de Orden]],Cocina[Costo Unitario])</f>
        <v>45</v>
      </c>
      <c r="U97" s="2">
        <f>Sala[[#This Row],[Fecha de Salida]]</f>
        <v>45017</v>
      </c>
      <c r="V97" s="7" t="str">
        <f>TEXT(Sala[[#This Row],[Fecha factura]],"dddd")</f>
        <v>sábado</v>
      </c>
      <c r="W97" t="str">
        <f>IF(Sala[[#This Row],[Tiempo de degustación]]&gt;0,"Sí","No")</f>
        <v>Sí</v>
      </c>
      <c r="X97" t="str">
        <f>IF(Sala[[#This Row],[Cobrada]]="Sí",Sala[[#This Row],[Método de Pago]],"Impago")</f>
        <v>Tarjeta de crédito</v>
      </c>
      <c r="Y97">
        <f>IF(Sala[[#This Row],[Cobrada]]="Sí",Sala[[#This Row],[Propina]],0)</f>
        <v>33.630000000000003</v>
      </c>
      <c r="Z97">
        <f>(IF(Sala[[#This Row],[Cobrada]]="Sí",Sala[[#This Row],[Monto total]],0))+Sala[[#This Row],[Propina real]]</f>
        <v>209.63</v>
      </c>
    </row>
    <row r="98" spans="1:26" x14ac:dyDescent="0.25">
      <c r="A98">
        <v>14</v>
      </c>
      <c r="B98" t="s">
        <v>132</v>
      </c>
      <c r="C98">
        <v>2</v>
      </c>
      <c r="D98" s="2">
        <v>45017</v>
      </c>
      <c r="E98" s="3">
        <v>7.3611111111111113E-2</v>
      </c>
      <c r="F98" s="2">
        <v>45017</v>
      </c>
      <c r="G98" s="3">
        <v>0.12708333333333333</v>
      </c>
      <c r="H98" s="1" t="s">
        <v>16</v>
      </c>
      <c r="I98" t="s">
        <v>25</v>
      </c>
      <c r="J98" t="s">
        <v>601</v>
      </c>
      <c r="K98" s="9">
        <v>19.22</v>
      </c>
      <c r="L98" t="s">
        <v>28</v>
      </c>
      <c r="M98">
        <v>97</v>
      </c>
      <c r="N98" t="s">
        <v>44</v>
      </c>
      <c r="O98" s="3">
        <f>(Sala[[#This Row],[Hora de Salida]]-Sala[[#This Row],[Hora de llegada]])+IF(Sala[[#This Row],[Estado de la Mesa]]="Ocupada",(TEXT((15/(60*24)),"h:mm")),(TEXT(0,"h:mm")))</f>
        <v>6.3888888888888884E-2</v>
      </c>
      <c r="P98" s="43">
        <f>(SUMIF(Cocina[Número de Orden],Sala[[#This Row],[Número de Orden]],Cocina[Tiempo de Preparación]))</f>
        <v>79</v>
      </c>
      <c r="Q98" s="5" t="str">
        <f>TEXT(((SUMIF(Cocina[Número de Orden],Sala[[#This Row],[Número de Orden]],Cocina[Tiempo de Preparación]))/(60*24)),"h:mm")</f>
        <v>1:19</v>
      </c>
      <c r="R98" s="3">
        <f>MAX((Sala[[#This Row],[Tiempo de permanencia]]-Sala[[#This Row],[Tiempo de preparación (h)]]),0)</f>
        <v>9.0277777777777735E-3</v>
      </c>
      <c r="S98" s="8">
        <f>SUMIF(Cocina[Número de Orden],Sala[[#This Row],[Número de Orden]],Cocina[Ganancia bruta])</f>
        <v>188</v>
      </c>
      <c r="T98" s="8">
        <f>SUMIF(Cocina[Número de Orden],Sala[[#This Row],[Número de Orden]],Cocina[Costo Unitario])</f>
        <v>47</v>
      </c>
      <c r="U98" s="2">
        <f>Sala[[#This Row],[Fecha de Salida]]</f>
        <v>45017</v>
      </c>
      <c r="V98" s="7" t="str">
        <f>TEXT(Sala[[#This Row],[Fecha factura]],"dddd")</f>
        <v>sábado</v>
      </c>
      <c r="W98" t="str">
        <f>IF(Sala[[#This Row],[Tiempo de degustación]]&gt;0,"Sí","No")</f>
        <v>Sí</v>
      </c>
      <c r="X98" t="str">
        <f>IF(Sala[[#This Row],[Cobrada]]="Sí",Sala[[#This Row],[Método de Pago]],"Impago")</f>
        <v>Tarjeta de crédito</v>
      </c>
      <c r="Y98">
        <f>IF(Sala[[#This Row],[Cobrada]]="Sí",Sala[[#This Row],[Propina]],0)</f>
        <v>19.22</v>
      </c>
      <c r="Z98">
        <f>(IF(Sala[[#This Row],[Cobrada]]="Sí",Sala[[#This Row],[Monto total]],0))+Sala[[#This Row],[Propina real]]</f>
        <v>207.22</v>
      </c>
    </row>
    <row r="99" spans="1:26" x14ac:dyDescent="0.25">
      <c r="A99">
        <v>7</v>
      </c>
      <c r="B99" t="s">
        <v>133</v>
      </c>
      <c r="C99">
        <v>3</v>
      </c>
      <c r="D99" s="2">
        <v>45017</v>
      </c>
      <c r="E99" s="3">
        <v>4.2361111111111113E-2</v>
      </c>
      <c r="F99" s="2">
        <v>45017</v>
      </c>
      <c r="G99" s="3">
        <v>0.14027777777777778</v>
      </c>
      <c r="H99" s="1" t="s">
        <v>20</v>
      </c>
      <c r="I99" t="s">
        <v>8</v>
      </c>
      <c r="J99" t="s">
        <v>601</v>
      </c>
      <c r="K99" s="9">
        <v>17.149999999999999</v>
      </c>
      <c r="L99" t="s">
        <v>28</v>
      </c>
      <c r="M99">
        <v>98</v>
      </c>
      <c r="N99" t="s">
        <v>32</v>
      </c>
      <c r="O99" s="3">
        <f>(Sala[[#This Row],[Hora de Salida]]-Sala[[#This Row],[Hora de llegada]])+IF(Sala[[#This Row],[Estado de la Mesa]]="Ocupada",(TEXT((15/(60*24)),"h:mm")),(TEXT(0,"h:mm")))</f>
        <v>0.10833333333333334</v>
      </c>
      <c r="P99" s="43">
        <f>(SUMIF(Cocina[Número de Orden],Sala[[#This Row],[Número de Orden]],Cocina[Tiempo de Preparación]))</f>
        <v>140</v>
      </c>
      <c r="Q99" s="5" t="str">
        <f>TEXT(((SUMIF(Cocina[Número de Orden],Sala[[#This Row],[Número de Orden]],Cocina[Tiempo de Preparación]))/(60*24)),"h:mm")</f>
        <v>2:20</v>
      </c>
      <c r="R99" s="3">
        <f>MAX((Sala[[#This Row],[Tiempo de permanencia]]-Sala[[#This Row],[Tiempo de preparación (h)]]),0)</f>
        <v>1.1111111111111113E-2</v>
      </c>
      <c r="S99" s="8">
        <f>SUMIF(Cocina[Número de Orden],Sala[[#This Row],[Número de Orden]],Cocina[Ganancia bruta])</f>
        <v>166</v>
      </c>
      <c r="T99" s="8">
        <f>SUMIF(Cocina[Número de Orden],Sala[[#This Row],[Número de Orden]],Cocina[Costo Unitario])</f>
        <v>40</v>
      </c>
      <c r="U99" s="2">
        <f>Sala[[#This Row],[Fecha de Salida]]</f>
        <v>45017</v>
      </c>
      <c r="V99" s="7" t="str">
        <f>TEXT(Sala[[#This Row],[Fecha factura]],"dddd")</f>
        <v>sábado</v>
      </c>
      <c r="W99" t="str">
        <f>IF(Sala[[#This Row],[Tiempo de degustación]]&gt;0,"Sí","No")</f>
        <v>Sí</v>
      </c>
      <c r="X99" t="str">
        <f>IF(Sala[[#This Row],[Cobrada]]="Sí",Sala[[#This Row],[Método de Pago]],"Impago")</f>
        <v>Tarjeta de crédito</v>
      </c>
      <c r="Y99">
        <f>IF(Sala[[#This Row],[Cobrada]]="Sí",Sala[[#This Row],[Propina]],0)</f>
        <v>17.149999999999999</v>
      </c>
      <c r="Z99">
        <f>(IF(Sala[[#This Row],[Cobrada]]="Sí",Sala[[#This Row],[Monto total]],0))+Sala[[#This Row],[Propina real]]</f>
        <v>183.15</v>
      </c>
    </row>
    <row r="100" spans="1:26" x14ac:dyDescent="0.25">
      <c r="A100">
        <v>2</v>
      </c>
      <c r="B100" t="s">
        <v>37</v>
      </c>
      <c r="C100">
        <v>6</v>
      </c>
      <c r="D100" s="2">
        <v>45017</v>
      </c>
      <c r="E100" s="3">
        <v>9.8611111111111108E-2</v>
      </c>
      <c r="F100" s="2">
        <v>45017</v>
      </c>
      <c r="G100" s="3">
        <v>0.26250000000000001</v>
      </c>
      <c r="H100" s="1" t="s">
        <v>16</v>
      </c>
      <c r="I100" t="s">
        <v>8</v>
      </c>
      <c r="J100" t="s">
        <v>601</v>
      </c>
      <c r="K100" s="9">
        <v>33.549999999999997</v>
      </c>
      <c r="L100" t="s">
        <v>28</v>
      </c>
      <c r="M100">
        <v>99</v>
      </c>
      <c r="N100" t="s">
        <v>47</v>
      </c>
      <c r="O100" s="3">
        <f>(Sala[[#This Row],[Hora de Salida]]-Sala[[#This Row],[Hora de llegada]])+IF(Sala[[#This Row],[Estado de la Mesa]]="Ocupada",(TEXT((15/(60*24)),"h:mm")),(TEXT(0,"h:mm")))</f>
        <v>0.17430555555555557</v>
      </c>
      <c r="P100" s="43">
        <f>(SUMIF(Cocina[Número de Orden],Sala[[#This Row],[Número de Orden]],Cocina[Tiempo de Preparación]))</f>
        <v>86</v>
      </c>
      <c r="Q100" s="5" t="str">
        <f>TEXT(((SUMIF(Cocina[Número de Orden],Sala[[#This Row],[Número de Orden]],Cocina[Tiempo de Preparación]))/(60*24)),"h:mm")</f>
        <v>1:26</v>
      </c>
      <c r="R100" s="3">
        <f>MAX((Sala[[#This Row],[Tiempo de permanencia]]-Sala[[#This Row],[Tiempo de preparación (h)]]),0)</f>
        <v>0.11458333333333334</v>
      </c>
      <c r="S100" s="8">
        <f>SUMIF(Cocina[Número de Orden],Sala[[#This Row],[Número de Orden]],Cocina[Ganancia bruta])</f>
        <v>139</v>
      </c>
      <c r="T100" s="8">
        <f>SUMIF(Cocina[Número de Orden],Sala[[#This Row],[Número de Orden]],Cocina[Costo Unitario])</f>
        <v>65</v>
      </c>
      <c r="U100" s="2">
        <f>Sala[[#This Row],[Fecha de Salida]]</f>
        <v>45017</v>
      </c>
      <c r="V100" s="7" t="str">
        <f>TEXT(Sala[[#This Row],[Fecha factura]],"dddd")</f>
        <v>sábado</v>
      </c>
      <c r="W100" t="str">
        <f>IF(Sala[[#This Row],[Tiempo de degustación]]&gt;0,"Sí","No")</f>
        <v>Sí</v>
      </c>
      <c r="X100" t="str">
        <f>IF(Sala[[#This Row],[Cobrada]]="Sí",Sala[[#This Row],[Método de Pago]],"Impago")</f>
        <v>Tarjeta de crédito</v>
      </c>
      <c r="Y100">
        <f>IF(Sala[[#This Row],[Cobrada]]="Sí",Sala[[#This Row],[Propina]],0)</f>
        <v>33.549999999999997</v>
      </c>
      <c r="Z100">
        <f>(IF(Sala[[#This Row],[Cobrada]]="Sí",Sala[[#This Row],[Monto total]],0))+Sala[[#This Row],[Propina real]]</f>
        <v>172.55</v>
      </c>
    </row>
    <row r="101" spans="1:26" x14ac:dyDescent="0.25">
      <c r="A101">
        <v>18</v>
      </c>
      <c r="B101" t="s">
        <v>24</v>
      </c>
      <c r="C101">
        <v>1</v>
      </c>
      <c r="D101" s="2">
        <v>45017</v>
      </c>
      <c r="E101" s="3">
        <v>0.14722222222222223</v>
      </c>
      <c r="F101" s="2">
        <v>45017</v>
      </c>
      <c r="G101" s="3">
        <v>0.28125</v>
      </c>
      <c r="H101" s="1" t="s">
        <v>11</v>
      </c>
      <c r="I101" t="s">
        <v>8</v>
      </c>
      <c r="J101" t="s">
        <v>601</v>
      </c>
      <c r="K101" s="9">
        <v>15.15</v>
      </c>
      <c r="L101" t="s">
        <v>9</v>
      </c>
      <c r="M101">
        <v>100</v>
      </c>
      <c r="N101" t="s">
        <v>21</v>
      </c>
      <c r="O101" s="3">
        <f>(Sala[[#This Row],[Hora de Salida]]-Sala[[#This Row],[Hora de llegada]])+IF(Sala[[#This Row],[Estado de la Mesa]]="Ocupada",(TEXT((15/(60*24)),"h:mm")),(TEXT(0,"h:mm")))</f>
        <v>0.13402777777777777</v>
      </c>
      <c r="P101" s="43">
        <f>(SUMIF(Cocina[Número de Orden],Sala[[#This Row],[Número de Orden]],Cocina[Tiempo de Preparación]))</f>
        <v>103</v>
      </c>
      <c r="Q101" s="5" t="str">
        <f>TEXT(((SUMIF(Cocina[Número de Orden],Sala[[#This Row],[Número de Orden]],Cocina[Tiempo de Preparación]))/(60*24)),"h:mm")</f>
        <v>1:43</v>
      </c>
      <c r="R101" s="3">
        <f>MAX((Sala[[#This Row],[Tiempo de permanencia]]-Sala[[#This Row],[Tiempo de preparación (h)]]),0)</f>
        <v>6.25E-2</v>
      </c>
      <c r="S101" s="8">
        <f>SUMIF(Cocina[Número de Orden],Sala[[#This Row],[Número de Orden]],Cocina[Ganancia bruta])</f>
        <v>166</v>
      </c>
      <c r="T101" s="8">
        <f>SUMIF(Cocina[Número de Orden],Sala[[#This Row],[Número de Orden]],Cocina[Costo Unitario])</f>
        <v>42</v>
      </c>
      <c r="U101" s="2">
        <f>Sala[[#This Row],[Fecha de Salida]]</f>
        <v>45017</v>
      </c>
      <c r="V101" s="7" t="str">
        <f>TEXT(Sala[[#This Row],[Fecha factura]],"dddd")</f>
        <v>sábado</v>
      </c>
      <c r="W101" t="str">
        <f>IF(Sala[[#This Row],[Tiempo de degustación]]&gt;0,"Sí","No")</f>
        <v>Sí</v>
      </c>
      <c r="X101" t="str">
        <f>IF(Sala[[#This Row],[Cobrada]]="Sí",Sala[[#This Row],[Método de Pago]],"Impago")</f>
        <v>Tarjeta de crédito</v>
      </c>
      <c r="Y101">
        <f>IF(Sala[[#This Row],[Cobrada]]="Sí",Sala[[#This Row],[Propina]],0)</f>
        <v>15.15</v>
      </c>
      <c r="Z101">
        <f>(IF(Sala[[#This Row],[Cobrada]]="Sí",Sala[[#This Row],[Monto total]],0))+Sala[[#This Row],[Propina real]]</f>
        <v>181.15</v>
      </c>
    </row>
    <row r="102" spans="1:26" x14ac:dyDescent="0.25">
      <c r="A102">
        <v>1</v>
      </c>
      <c r="B102" t="s">
        <v>134</v>
      </c>
      <c r="C102">
        <v>5</v>
      </c>
      <c r="D102" s="2">
        <v>45017</v>
      </c>
      <c r="E102" s="3">
        <v>9.7222222222222224E-3</v>
      </c>
      <c r="F102" s="2">
        <v>45017</v>
      </c>
      <c r="G102" s="3">
        <v>9.375E-2</v>
      </c>
      <c r="H102" s="1" t="s">
        <v>23</v>
      </c>
      <c r="I102" t="s">
        <v>8</v>
      </c>
      <c r="J102" t="s">
        <v>601</v>
      </c>
      <c r="K102" s="9">
        <v>15.09</v>
      </c>
      <c r="L102" t="s">
        <v>17</v>
      </c>
      <c r="M102">
        <v>101</v>
      </c>
      <c r="N102" t="s">
        <v>29</v>
      </c>
      <c r="O102" s="3">
        <f>(Sala[[#This Row],[Hora de Salida]]-Sala[[#This Row],[Hora de llegada]])+IF(Sala[[#This Row],[Estado de la Mesa]]="Ocupada",(TEXT((15/(60*24)),"h:mm")),(TEXT(0,"h:mm")))</f>
        <v>8.4027777777777785E-2</v>
      </c>
      <c r="P102" s="43">
        <f>(SUMIF(Cocina[Número de Orden],Sala[[#This Row],[Número de Orden]],Cocina[Tiempo de Preparación]))</f>
        <v>134</v>
      </c>
      <c r="Q102" s="5" t="str">
        <f>TEXT(((SUMIF(Cocina[Número de Orden],Sala[[#This Row],[Número de Orden]],Cocina[Tiempo de Preparación]))/(60*24)),"h:mm")</f>
        <v>2:14</v>
      </c>
      <c r="R102" s="3">
        <f>MAX((Sala[[#This Row],[Tiempo de permanencia]]-Sala[[#This Row],[Tiempo de preparación (h)]]),0)</f>
        <v>0</v>
      </c>
      <c r="S102" s="8">
        <f>SUMIF(Cocina[Número de Orden],Sala[[#This Row],[Número de Orden]],Cocina[Ganancia bruta])</f>
        <v>138</v>
      </c>
      <c r="T102" s="8">
        <f>SUMIF(Cocina[Número de Orden],Sala[[#This Row],[Número de Orden]],Cocina[Costo Unitario])</f>
        <v>68</v>
      </c>
      <c r="U102" s="2">
        <f>Sala[[#This Row],[Fecha de Salida]]</f>
        <v>45017</v>
      </c>
      <c r="V102" s="7" t="str">
        <f>TEXT(Sala[[#This Row],[Fecha factura]],"dddd")</f>
        <v>sábado</v>
      </c>
      <c r="W102" t="str">
        <f>IF(Sala[[#This Row],[Tiempo de degustación]]&gt;0,"Sí","No")</f>
        <v>No</v>
      </c>
      <c r="X102" t="str">
        <f>IF(Sala[[#This Row],[Cobrada]]="Sí",Sala[[#This Row],[Método de Pago]],"Impago")</f>
        <v>Impago</v>
      </c>
      <c r="Y102">
        <f>IF(Sala[[#This Row],[Cobrada]]="Sí",Sala[[#This Row],[Propina]],0)</f>
        <v>0</v>
      </c>
      <c r="Z102">
        <f>(IF(Sala[[#This Row],[Cobrada]]="Sí",Sala[[#This Row],[Monto total]],0))+Sala[[#This Row],[Propina real]]</f>
        <v>0</v>
      </c>
    </row>
    <row r="103" spans="1:26" x14ac:dyDescent="0.25">
      <c r="A103">
        <v>19</v>
      </c>
      <c r="B103" t="s">
        <v>135</v>
      </c>
      <c r="C103">
        <v>2</v>
      </c>
      <c r="D103" s="2">
        <v>45017</v>
      </c>
      <c r="E103" s="3">
        <v>6.458333333333334E-2</v>
      </c>
      <c r="F103" s="2">
        <v>45017</v>
      </c>
      <c r="G103" s="3">
        <v>0.1763888888888889</v>
      </c>
      <c r="H103" s="1" t="s">
        <v>7</v>
      </c>
      <c r="I103" t="s">
        <v>8</v>
      </c>
      <c r="J103" t="s">
        <v>601</v>
      </c>
      <c r="K103" s="9">
        <v>12.65</v>
      </c>
      <c r="L103" t="s">
        <v>9</v>
      </c>
      <c r="M103">
        <v>102</v>
      </c>
      <c r="N103" t="s">
        <v>29</v>
      </c>
      <c r="O103" s="3">
        <f>(Sala[[#This Row],[Hora de Salida]]-Sala[[#This Row],[Hora de llegada]])+IF(Sala[[#This Row],[Estado de la Mesa]]="Ocupada",(TEXT((15/(60*24)),"h:mm")),(TEXT(0,"h:mm")))</f>
        <v>0.11180555555555556</v>
      </c>
      <c r="P103" s="43">
        <f>(SUMIF(Cocina[Número de Orden],Sala[[#This Row],[Número de Orden]],Cocina[Tiempo de Preparación]))</f>
        <v>46</v>
      </c>
      <c r="Q103" s="5" t="str">
        <f>TEXT(((SUMIF(Cocina[Número de Orden],Sala[[#This Row],[Número de Orden]],Cocina[Tiempo de Preparación]))/(60*24)),"h:mm")</f>
        <v>0:46</v>
      </c>
      <c r="R103" s="3">
        <f>MAX((Sala[[#This Row],[Tiempo de permanencia]]-Sala[[#This Row],[Tiempo de preparación (h)]]),0)</f>
        <v>7.9861111111111119E-2</v>
      </c>
      <c r="S103" s="8">
        <f>SUMIF(Cocina[Número de Orden],Sala[[#This Row],[Número de Orden]],Cocina[Ganancia bruta])</f>
        <v>171</v>
      </c>
      <c r="T103" s="8">
        <f>SUMIF(Cocina[Número de Orden],Sala[[#This Row],[Número de Orden]],Cocina[Costo Unitario])</f>
        <v>33</v>
      </c>
      <c r="U103" s="2">
        <f>Sala[[#This Row],[Fecha de Salida]]</f>
        <v>45017</v>
      </c>
      <c r="V103" s="7" t="str">
        <f>TEXT(Sala[[#This Row],[Fecha factura]],"dddd")</f>
        <v>sábado</v>
      </c>
      <c r="W103" t="str">
        <f>IF(Sala[[#This Row],[Tiempo de degustación]]&gt;0,"Sí","No")</f>
        <v>Sí</v>
      </c>
      <c r="X103" t="str">
        <f>IF(Sala[[#This Row],[Cobrada]]="Sí",Sala[[#This Row],[Método de Pago]],"Impago")</f>
        <v>Tarjeta de crédito</v>
      </c>
      <c r="Y103">
        <f>IF(Sala[[#This Row],[Cobrada]]="Sí",Sala[[#This Row],[Propina]],0)</f>
        <v>12.65</v>
      </c>
      <c r="Z103">
        <f>(IF(Sala[[#This Row],[Cobrada]]="Sí",Sala[[#This Row],[Monto total]],0))+Sala[[#This Row],[Propina real]]</f>
        <v>183.65</v>
      </c>
    </row>
    <row r="104" spans="1:26" x14ac:dyDescent="0.25">
      <c r="A104">
        <v>13</v>
      </c>
      <c r="B104" t="s">
        <v>136</v>
      </c>
      <c r="C104">
        <v>3</v>
      </c>
      <c r="D104" s="2">
        <v>45017</v>
      </c>
      <c r="E104" s="3">
        <v>7.0833333333333331E-2</v>
      </c>
      <c r="F104" s="2">
        <v>45017</v>
      </c>
      <c r="G104" s="3">
        <v>0.21527777777777779</v>
      </c>
      <c r="H104" s="1" t="s">
        <v>23</v>
      </c>
      <c r="I104" t="s">
        <v>8</v>
      </c>
      <c r="J104" t="s">
        <v>600</v>
      </c>
      <c r="K104" s="9">
        <v>26.75</v>
      </c>
      <c r="L104" t="s">
        <v>9</v>
      </c>
      <c r="M104">
        <v>103</v>
      </c>
      <c r="N104" t="s">
        <v>18</v>
      </c>
      <c r="O104" s="3">
        <f>(Sala[[#This Row],[Hora de Salida]]-Sala[[#This Row],[Hora de llegada]])+IF(Sala[[#This Row],[Estado de la Mesa]]="Ocupada",(TEXT((15/(60*24)),"h:mm")),(TEXT(0,"h:mm")))</f>
        <v>0.14444444444444446</v>
      </c>
      <c r="P104" s="43">
        <f>(SUMIF(Cocina[Número de Orden],Sala[[#This Row],[Número de Orden]],Cocina[Tiempo de Preparación]))</f>
        <v>99</v>
      </c>
      <c r="Q104" s="5" t="str">
        <f>TEXT(((SUMIF(Cocina[Número de Orden],Sala[[#This Row],[Número de Orden]],Cocina[Tiempo de Preparación]))/(60*24)),"h:mm")</f>
        <v>1:39</v>
      </c>
      <c r="R104" s="3">
        <f>MAX((Sala[[#This Row],[Tiempo de permanencia]]-Sala[[#This Row],[Tiempo de preparación (h)]]),0)</f>
        <v>7.5694444444444453E-2</v>
      </c>
      <c r="S104" s="8">
        <f>SUMIF(Cocina[Número de Orden],Sala[[#This Row],[Número de Orden]],Cocina[Ganancia bruta])</f>
        <v>73</v>
      </c>
      <c r="T104" s="8">
        <f>SUMIF(Cocina[Número de Orden],Sala[[#This Row],[Número de Orden]],Cocina[Costo Unitario])</f>
        <v>43</v>
      </c>
      <c r="U104" s="2">
        <f>Sala[[#This Row],[Fecha de Salida]]</f>
        <v>45017</v>
      </c>
      <c r="V104" s="7" t="str">
        <f>TEXT(Sala[[#This Row],[Fecha factura]],"dddd")</f>
        <v>sábado</v>
      </c>
      <c r="W104" t="str">
        <f>IF(Sala[[#This Row],[Tiempo de degustación]]&gt;0,"Sí","No")</f>
        <v>Sí</v>
      </c>
      <c r="X104" t="str">
        <f>IF(Sala[[#This Row],[Cobrada]]="Sí",Sala[[#This Row],[Método de Pago]],"Impago")</f>
        <v>Tarjeta de débito</v>
      </c>
      <c r="Y104">
        <f>IF(Sala[[#This Row],[Cobrada]]="Sí",Sala[[#This Row],[Propina]],0)</f>
        <v>26.75</v>
      </c>
      <c r="Z104">
        <f>(IF(Sala[[#This Row],[Cobrada]]="Sí",Sala[[#This Row],[Monto total]],0))+Sala[[#This Row],[Propina real]]</f>
        <v>99.75</v>
      </c>
    </row>
    <row r="105" spans="1:26" x14ac:dyDescent="0.25">
      <c r="A105">
        <v>14</v>
      </c>
      <c r="B105" t="s">
        <v>137</v>
      </c>
      <c r="C105">
        <v>4</v>
      </c>
      <c r="D105" s="2">
        <v>45017</v>
      </c>
      <c r="E105" s="3">
        <v>6.1111111111111109E-2</v>
      </c>
      <c r="F105" s="2">
        <v>45017</v>
      </c>
      <c r="G105" s="3">
        <v>0.11388888888888889</v>
      </c>
      <c r="H105" s="1" t="s">
        <v>7</v>
      </c>
      <c r="I105" t="s">
        <v>12</v>
      </c>
      <c r="J105" t="s">
        <v>600</v>
      </c>
      <c r="K105" s="9">
        <v>11.12</v>
      </c>
      <c r="L105" t="s">
        <v>9</v>
      </c>
      <c r="M105">
        <v>104</v>
      </c>
      <c r="N105" t="s">
        <v>34</v>
      </c>
      <c r="O105" s="3">
        <f>(Sala[[#This Row],[Hora de Salida]]-Sala[[#This Row],[Hora de llegada]])+IF(Sala[[#This Row],[Estado de la Mesa]]="Ocupada",(TEXT((15/(60*24)),"h:mm")),(TEXT(0,"h:mm")))</f>
        <v>5.2777777777777778E-2</v>
      </c>
      <c r="P105" s="43">
        <f>(SUMIF(Cocina[Número de Orden],Sala[[#This Row],[Número de Orden]],Cocina[Tiempo de Preparación]))</f>
        <v>55</v>
      </c>
      <c r="Q105" s="5" t="str">
        <f>TEXT(((SUMIF(Cocina[Número de Orden],Sala[[#This Row],[Número de Orden]],Cocina[Tiempo de Preparación]))/(60*24)),"h:mm")</f>
        <v>0:55</v>
      </c>
      <c r="R105" s="3">
        <f>MAX((Sala[[#This Row],[Tiempo de permanencia]]-Sala[[#This Row],[Tiempo de preparación (h)]]),0)</f>
        <v>1.458333333333333E-2</v>
      </c>
      <c r="S105" s="8">
        <f>SUMIF(Cocina[Número de Orden],Sala[[#This Row],[Número de Orden]],Cocina[Ganancia bruta])</f>
        <v>77</v>
      </c>
      <c r="T105" s="8">
        <f>SUMIF(Cocina[Número de Orden],Sala[[#This Row],[Número de Orden]],Cocina[Costo Unitario])</f>
        <v>33</v>
      </c>
      <c r="U105" s="2">
        <f>Sala[[#This Row],[Fecha de Salida]]</f>
        <v>45017</v>
      </c>
      <c r="V105" s="7" t="str">
        <f>TEXT(Sala[[#This Row],[Fecha factura]],"dddd")</f>
        <v>sábado</v>
      </c>
      <c r="W105" t="str">
        <f>IF(Sala[[#This Row],[Tiempo de degustación]]&gt;0,"Sí","No")</f>
        <v>Sí</v>
      </c>
      <c r="X105" t="str">
        <f>IF(Sala[[#This Row],[Cobrada]]="Sí",Sala[[#This Row],[Método de Pago]],"Impago")</f>
        <v>Tarjeta de débito</v>
      </c>
      <c r="Y105">
        <f>IF(Sala[[#This Row],[Cobrada]]="Sí",Sala[[#This Row],[Propina]],0)</f>
        <v>11.12</v>
      </c>
      <c r="Z105">
        <f>(IF(Sala[[#This Row],[Cobrada]]="Sí",Sala[[#This Row],[Monto total]],0))+Sala[[#This Row],[Propina real]]</f>
        <v>88.12</v>
      </c>
    </row>
    <row r="106" spans="1:26" x14ac:dyDescent="0.25">
      <c r="A106">
        <v>14</v>
      </c>
      <c r="B106" t="s">
        <v>138</v>
      </c>
      <c r="C106">
        <v>6</v>
      </c>
      <c r="D106" s="2">
        <v>45017</v>
      </c>
      <c r="E106" s="3">
        <v>5.4166666666666669E-2</v>
      </c>
      <c r="F106" s="2">
        <v>45017</v>
      </c>
      <c r="G106" s="3">
        <v>0.16666666666666666</v>
      </c>
      <c r="H106" s="1" t="s">
        <v>7</v>
      </c>
      <c r="I106" t="s">
        <v>8</v>
      </c>
      <c r="J106" t="s">
        <v>601</v>
      </c>
      <c r="K106" s="9">
        <v>15.64</v>
      </c>
      <c r="L106" t="s">
        <v>17</v>
      </c>
      <c r="M106">
        <v>105</v>
      </c>
      <c r="N106" t="s">
        <v>18</v>
      </c>
      <c r="O106" s="3">
        <f>(Sala[[#This Row],[Hora de Salida]]-Sala[[#This Row],[Hora de llegada]])+IF(Sala[[#This Row],[Estado de la Mesa]]="Ocupada",(TEXT((15/(60*24)),"h:mm")),(TEXT(0,"h:mm")))</f>
        <v>0.11249999999999999</v>
      </c>
      <c r="P106" s="43">
        <f>(SUMIF(Cocina[Número de Orden],Sala[[#This Row],[Número de Orden]],Cocina[Tiempo de Preparación]))</f>
        <v>43</v>
      </c>
      <c r="Q106" s="5" t="str">
        <f>TEXT(((SUMIF(Cocina[Número de Orden],Sala[[#This Row],[Número de Orden]],Cocina[Tiempo de Preparación]))/(60*24)),"h:mm")</f>
        <v>0:43</v>
      </c>
      <c r="R106" s="3">
        <f>MAX((Sala[[#This Row],[Tiempo de permanencia]]-Sala[[#This Row],[Tiempo de preparación (h)]]),0)</f>
        <v>8.2638888888888873E-2</v>
      </c>
      <c r="S106" s="8">
        <f>SUMIF(Cocina[Número de Orden],Sala[[#This Row],[Número de Orden]],Cocina[Ganancia bruta])</f>
        <v>141</v>
      </c>
      <c r="T106" s="8">
        <f>SUMIF(Cocina[Número de Orden],Sala[[#This Row],[Número de Orden]],Cocina[Costo Unitario])</f>
        <v>28</v>
      </c>
      <c r="U106" s="2">
        <f>Sala[[#This Row],[Fecha de Salida]]</f>
        <v>45017</v>
      </c>
      <c r="V106" s="7" t="str">
        <f>TEXT(Sala[[#This Row],[Fecha factura]],"dddd")</f>
        <v>sábado</v>
      </c>
      <c r="W106" t="str">
        <f>IF(Sala[[#This Row],[Tiempo de degustación]]&gt;0,"Sí","No")</f>
        <v>Sí</v>
      </c>
      <c r="X106" t="str">
        <f>IF(Sala[[#This Row],[Cobrada]]="Sí",Sala[[#This Row],[Método de Pago]],"Impago")</f>
        <v>Tarjeta de crédito</v>
      </c>
      <c r="Y106">
        <f>IF(Sala[[#This Row],[Cobrada]]="Sí",Sala[[#This Row],[Propina]],0)</f>
        <v>15.64</v>
      </c>
      <c r="Z106">
        <f>(IF(Sala[[#This Row],[Cobrada]]="Sí",Sala[[#This Row],[Monto total]],0))+Sala[[#This Row],[Propina real]]</f>
        <v>156.63999999999999</v>
      </c>
    </row>
    <row r="107" spans="1:26" x14ac:dyDescent="0.25">
      <c r="A107">
        <v>15</v>
      </c>
      <c r="B107" t="s">
        <v>139</v>
      </c>
      <c r="C107">
        <v>3</v>
      </c>
      <c r="D107" s="2">
        <v>45017</v>
      </c>
      <c r="E107" s="3">
        <v>8.3333333333333329E-2</v>
      </c>
      <c r="F107" s="2">
        <v>45017</v>
      </c>
      <c r="G107" s="3">
        <v>0.21388888888888888</v>
      </c>
      <c r="H107" s="1" t="s">
        <v>23</v>
      </c>
      <c r="I107" t="s">
        <v>12</v>
      </c>
      <c r="J107" t="s">
        <v>13</v>
      </c>
      <c r="K107" s="9">
        <v>22.72</v>
      </c>
      <c r="L107" t="s">
        <v>17</v>
      </c>
      <c r="M107">
        <v>106</v>
      </c>
      <c r="N107" t="s">
        <v>34</v>
      </c>
      <c r="O107" s="3">
        <f>(Sala[[#This Row],[Hora de Salida]]-Sala[[#This Row],[Hora de llegada]])+IF(Sala[[#This Row],[Estado de la Mesa]]="Ocupada",(TEXT((15/(60*24)),"h:mm")),(TEXT(0,"h:mm")))</f>
        <v>0.13055555555555554</v>
      </c>
      <c r="P107" s="43">
        <f>(SUMIF(Cocina[Número de Orden],Sala[[#This Row],[Número de Orden]],Cocina[Tiempo de Preparación]))</f>
        <v>29</v>
      </c>
      <c r="Q107" s="5" t="str">
        <f>TEXT(((SUMIF(Cocina[Número de Orden],Sala[[#This Row],[Número de Orden]],Cocina[Tiempo de Preparación]))/(60*24)),"h:mm")</f>
        <v>0:29</v>
      </c>
      <c r="R107" s="3">
        <f>MAX((Sala[[#This Row],[Tiempo de permanencia]]-Sala[[#This Row],[Tiempo de preparación (h)]]),0)</f>
        <v>0.11041666666666665</v>
      </c>
      <c r="S107" s="8">
        <f>SUMIF(Cocina[Número de Orden],Sala[[#This Row],[Número de Orden]],Cocina[Ganancia bruta])</f>
        <v>68</v>
      </c>
      <c r="T107" s="8">
        <f>SUMIF(Cocina[Número de Orden],Sala[[#This Row],[Número de Orden]],Cocina[Costo Unitario])</f>
        <v>20</v>
      </c>
      <c r="U107" s="2">
        <f>Sala[[#This Row],[Fecha de Salida]]</f>
        <v>45017</v>
      </c>
      <c r="V107" s="7" t="str">
        <f>TEXT(Sala[[#This Row],[Fecha factura]],"dddd")</f>
        <v>sábado</v>
      </c>
      <c r="W107" t="str">
        <f>IF(Sala[[#This Row],[Tiempo de degustación]]&gt;0,"Sí","No")</f>
        <v>Sí</v>
      </c>
      <c r="X107" t="str">
        <f>IF(Sala[[#This Row],[Cobrada]]="Sí",Sala[[#This Row],[Método de Pago]],"Impago")</f>
        <v>Efectivo</v>
      </c>
      <c r="Y107">
        <f>IF(Sala[[#This Row],[Cobrada]]="Sí",Sala[[#This Row],[Propina]],0)</f>
        <v>22.72</v>
      </c>
      <c r="Z107">
        <f>(IF(Sala[[#This Row],[Cobrada]]="Sí",Sala[[#This Row],[Monto total]],0))+Sala[[#This Row],[Propina real]]</f>
        <v>90.72</v>
      </c>
    </row>
    <row r="108" spans="1:26" x14ac:dyDescent="0.25">
      <c r="A108">
        <v>11</v>
      </c>
      <c r="B108" t="s">
        <v>140</v>
      </c>
      <c r="C108">
        <v>5</v>
      </c>
      <c r="D108" s="2">
        <v>45017</v>
      </c>
      <c r="E108" s="3">
        <v>6.1805555555555558E-2</v>
      </c>
      <c r="F108" s="2">
        <v>45017</v>
      </c>
      <c r="G108" s="3">
        <v>0.12361111111111112</v>
      </c>
      <c r="H108" s="1" t="s">
        <v>16</v>
      </c>
      <c r="I108" t="s">
        <v>8</v>
      </c>
      <c r="J108" t="s">
        <v>600</v>
      </c>
      <c r="K108" s="9">
        <v>48.77</v>
      </c>
      <c r="L108" t="s">
        <v>9</v>
      </c>
      <c r="M108">
        <v>107</v>
      </c>
      <c r="N108" t="s">
        <v>32</v>
      </c>
      <c r="O108" s="3">
        <f>(Sala[[#This Row],[Hora de Salida]]-Sala[[#This Row],[Hora de llegada]])+IF(Sala[[#This Row],[Estado de la Mesa]]="Ocupada",(TEXT((15/(60*24)),"h:mm")),(TEXT(0,"h:mm")))</f>
        <v>6.1805555555555558E-2</v>
      </c>
      <c r="P108" s="43">
        <f>(SUMIF(Cocina[Número de Orden],Sala[[#This Row],[Número de Orden]],Cocina[Tiempo de Preparación]))</f>
        <v>141</v>
      </c>
      <c r="Q108" s="5" t="str">
        <f>TEXT(((SUMIF(Cocina[Número de Orden],Sala[[#This Row],[Número de Orden]],Cocina[Tiempo de Preparación]))/(60*24)),"h:mm")</f>
        <v>2:21</v>
      </c>
      <c r="R108" s="3">
        <f>MAX((Sala[[#This Row],[Tiempo de permanencia]]-Sala[[#This Row],[Tiempo de preparación (h)]]),0)</f>
        <v>0</v>
      </c>
      <c r="S108" s="8">
        <f>SUMIF(Cocina[Número de Orden],Sala[[#This Row],[Número de Orden]],Cocina[Ganancia bruta])</f>
        <v>253</v>
      </c>
      <c r="T108" s="8">
        <f>SUMIF(Cocina[Número de Orden],Sala[[#This Row],[Número de Orden]],Cocina[Costo Unitario])</f>
        <v>56</v>
      </c>
      <c r="U108" s="2">
        <f>Sala[[#This Row],[Fecha de Salida]]</f>
        <v>45017</v>
      </c>
      <c r="V108" s="7" t="str">
        <f>TEXT(Sala[[#This Row],[Fecha factura]],"dddd")</f>
        <v>sábado</v>
      </c>
      <c r="W108" t="str">
        <f>IF(Sala[[#This Row],[Tiempo de degustación]]&gt;0,"Sí","No")</f>
        <v>No</v>
      </c>
      <c r="X108" t="str">
        <f>IF(Sala[[#This Row],[Cobrada]]="Sí",Sala[[#This Row],[Método de Pago]],"Impago")</f>
        <v>Impago</v>
      </c>
      <c r="Y108">
        <f>IF(Sala[[#This Row],[Cobrada]]="Sí",Sala[[#This Row],[Propina]],0)</f>
        <v>0</v>
      </c>
      <c r="Z108">
        <f>(IF(Sala[[#This Row],[Cobrada]]="Sí",Sala[[#This Row],[Monto total]],0))+Sala[[#This Row],[Propina real]]</f>
        <v>0</v>
      </c>
    </row>
    <row r="109" spans="1:26" x14ac:dyDescent="0.25">
      <c r="A109">
        <v>3</v>
      </c>
      <c r="B109" t="s">
        <v>141</v>
      </c>
      <c r="C109">
        <v>3</v>
      </c>
      <c r="D109" s="2">
        <v>45017</v>
      </c>
      <c r="E109" s="3">
        <v>6.3888888888888884E-2</v>
      </c>
      <c r="F109" s="2">
        <v>45017</v>
      </c>
      <c r="G109" s="3">
        <v>0.15069444444444444</v>
      </c>
      <c r="H109" s="1" t="s">
        <v>23</v>
      </c>
      <c r="I109" t="s">
        <v>12</v>
      </c>
      <c r="J109" t="s">
        <v>600</v>
      </c>
      <c r="K109" s="9">
        <v>23.26</v>
      </c>
      <c r="L109" t="s">
        <v>9</v>
      </c>
      <c r="M109">
        <v>108</v>
      </c>
      <c r="N109" t="s">
        <v>21</v>
      </c>
      <c r="O109" s="3">
        <f>(Sala[[#This Row],[Hora de Salida]]-Sala[[#This Row],[Hora de llegada]])+IF(Sala[[#This Row],[Estado de la Mesa]]="Ocupada",(TEXT((15/(60*24)),"h:mm")),(TEXT(0,"h:mm")))</f>
        <v>8.6805555555555552E-2</v>
      </c>
      <c r="P109" s="43">
        <f>(SUMIF(Cocina[Número de Orden],Sala[[#This Row],[Número de Orden]],Cocina[Tiempo de Preparación]))</f>
        <v>115</v>
      </c>
      <c r="Q109" s="5" t="str">
        <f>TEXT(((SUMIF(Cocina[Número de Orden],Sala[[#This Row],[Número de Orden]],Cocina[Tiempo de Preparación]))/(60*24)),"h:mm")</f>
        <v>1:55</v>
      </c>
      <c r="R109" s="3">
        <f>MAX((Sala[[#This Row],[Tiempo de permanencia]]-Sala[[#This Row],[Tiempo de preparación (h)]]),0)</f>
        <v>6.9444444444444475E-3</v>
      </c>
      <c r="S109" s="8">
        <f>SUMIF(Cocina[Número de Orden],Sala[[#This Row],[Número de Orden]],Cocina[Ganancia bruta])</f>
        <v>124</v>
      </c>
      <c r="T109" s="8">
        <f>SUMIF(Cocina[Número de Orden],Sala[[#This Row],[Número de Orden]],Cocina[Costo Unitario])</f>
        <v>55</v>
      </c>
      <c r="U109" s="2">
        <f>Sala[[#This Row],[Fecha de Salida]]</f>
        <v>45017</v>
      </c>
      <c r="V109" s="7" t="str">
        <f>TEXT(Sala[[#This Row],[Fecha factura]],"dddd")</f>
        <v>sábado</v>
      </c>
      <c r="W109" t="str">
        <f>IF(Sala[[#This Row],[Tiempo de degustación]]&gt;0,"Sí","No")</f>
        <v>Sí</v>
      </c>
      <c r="X109" t="str">
        <f>IF(Sala[[#This Row],[Cobrada]]="Sí",Sala[[#This Row],[Método de Pago]],"Impago")</f>
        <v>Tarjeta de débito</v>
      </c>
      <c r="Y109">
        <f>IF(Sala[[#This Row],[Cobrada]]="Sí",Sala[[#This Row],[Propina]],0)</f>
        <v>23.26</v>
      </c>
      <c r="Z109">
        <f>(IF(Sala[[#This Row],[Cobrada]]="Sí",Sala[[#This Row],[Monto total]],0))+Sala[[#This Row],[Propina real]]</f>
        <v>147.26</v>
      </c>
    </row>
    <row r="110" spans="1:26" x14ac:dyDescent="0.25">
      <c r="A110">
        <v>10</v>
      </c>
      <c r="B110" t="s">
        <v>142</v>
      </c>
      <c r="C110">
        <v>2</v>
      </c>
      <c r="D110" s="2">
        <v>45017</v>
      </c>
      <c r="E110" s="3">
        <v>5.9027777777777776E-2</v>
      </c>
      <c r="F110" s="2">
        <v>45017</v>
      </c>
      <c r="G110" s="3">
        <v>0.10138888888888889</v>
      </c>
      <c r="H110" s="1" t="s">
        <v>23</v>
      </c>
      <c r="I110" t="s">
        <v>12</v>
      </c>
      <c r="J110" t="s">
        <v>601</v>
      </c>
      <c r="K110" s="9">
        <v>42.95</v>
      </c>
      <c r="L110" t="s">
        <v>17</v>
      </c>
      <c r="M110">
        <v>109</v>
      </c>
      <c r="N110" t="s">
        <v>44</v>
      </c>
      <c r="O110" s="3">
        <f>(Sala[[#This Row],[Hora de Salida]]-Sala[[#This Row],[Hora de llegada]])+IF(Sala[[#This Row],[Estado de la Mesa]]="Ocupada",(TEXT((15/(60*24)),"h:mm")),(TEXT(0,"h:mm")))</f>
        <v>4.2361111111111113E-2</v>
      </c>
      <c r="P110" s="43">
        <f>(SUMIF(Cocina[Número de Orden],Sala[[#This Row],[Número de Orden]],Cocina[Tiempo de Preparación]))</f>
        <v>118</v>
      </c>
      <c r="Q110" s="5" t="str">
        <f>TEXT(((SUMIF(Cocina[Número de Orden],Sala[[#This Row],[Número de Orden]],Cocina[Tiempo de Preparación]))/(60*24)),"h:mm")</f>
        <v>1:58</v>
      </c>
      <c r="R110" s="3">
        <f>MAX((Sala[[#This Row],[Tiempo de permanencia]]-Sala[[#This Row],[Tiempo de preparación (h)]]),0)</f>
        <v>0</v>
      </c>
      <c r="S110" s="8">
        <f>SUMIF(Cocina[Número de Orden],Sala[[#This Row],[Número de Orden]],Cocina[Ganancia bruta])</f>
        <v>169</v>
      </c>
      <c r="T110" s="8">
        <f>SUMIF(Cocina[Número de Orden],Sala[[#This Row],[Número de Orden]],Cocina[Costo Unitario])</f>
        <v>47</v>
      </c>
      <c r="U110" s="2">
        <f>Sala[[#This Row],[Fecha de Salida]]</f>
        <v>45017</v>
      </c>
      <c r="V110" s="7" t="str">
        <f>TEXT(Sala[[#This Row],[Fecha factura]],"dddd")</f>
        <v>sábado</v>
      </c>
      <c r="W110" t="str">
        <f>IF(Sala[[#This Row],[Tiempo de degustación]]&gt;0,"Sí","No")</f>
        <v>No</v>
      </c>
      <c r="X110" t="str">
        <f>IF(Sala[[#This Row],[Cobrada]]="Sí",Sala[[#This Row],[Método de Pago]],"Impago")</f>
        <v>Impago</v>
      </c>
      <c r="Y110">
        <f>IF(Sala[[#This Row],[Cobrada]]="Sí",Sala[[#This Row],[Propina]],0)</f>
        <v>0</v>
      </c>
      <c r="Z110">
        <f>(IF(Sala[[#This Row],[Cobrada]]="Sí",Sala[[#This Row],[Monto total]],0))+Sala[[#This Row],[Propina real]]</f>
        <v>0</v>
      </c>
    </row>
    <row r="111" spans="1:26" x14ac:dyDescent="0.25">
      <c r="A111">
        <v>5</v>
      </c>
      <c r="B111" t="s">
        <v>143</v>
      </c>
      <c r="C111">
        <v>1</v>
      </c>
      <c r="D111" s="2">
        <v>45017</v>
      </c>
      <c r="E111" s="3">
        <v>0.14722222222222223</v>
      </c>
      <c r="F111" s="2">
        <v>45017</v>
      </c>
      <c r="G111" s="3">
        <v>0.27569444444444446</v>
      </c>
      <c r="H111" s="1" t="s">
        <v>11</v>
      </c>
      <c r="I111" t="s">
        <v>8</v>
      </c>
      <c r="J111" t="s">
        <v>601</v>
      </c>
      <c r="K111" s="9">
        <v>47.91</v>
      </c>
      <c r="L111" t="s">
        <v>9</v>
      </c>
      <c r="M111">
        <v>110</v>
      </c>
      <c r="N111" t="s">
        <v>21</v>
      </c>
      <c r="O111" s="3">
        <f>(Sala[[#This Row],[Hora de Salida]]-Sala[[#This Row],[Hora de llegada]])+IF(Sala[[#This Row],[Estado de la Mesa]]="Ocupada",(TEXT((15/(60*24)),"h:mm")),(TEXT(0,"h:mm")))</f>
        <v>0.12847222222222224</v>
      </c>
      <c r="P111" s="43">
        <f>(SUMIF(Cocina[Número de Orden],Sala[[#This Row],[Número de Orden]],Cocina[Tiempo de Preparación]))</f>
        <v>121</v>
      </c>
      <c r="Q111" s="5" t="str">
        <f>TEXT(((SUMIF(Cocina[Número de Orden],Sala[[#This Row],[Número de Orden]],Cocina[Tiempo de Preparación]))/(60*24)),"h:mm")</f>
        <v>2:01</v>
      </c>
      <c r="R111" s="3">
        <f>MAX((Sala[[#This Row],[Tiempo de permanencia]]-Sala[[#This Row],[Tiempo de preparación (h)]]),0)</f>
        <v>4.4444444444444453E-2</v>
      </c>
      <c r="S111" s="8">
        <f>SUMIF(Cocina[Número de Orden],Sala[[#This Row],[Número de Orden]],Cocina[Ganancia bruta])</f>
        <v>163</v>
      </c>
      <c r="T111" s="8">
        <f>SUMIF(Cocina[Número de Orden],Sala[[#This Row],[Número de Orden]],Cocina[Costo Unitario])</f>
        <v>48</v>
      </c>
      <c r="U111" s="2">
        <f>Sala[[#This Row],[Fecha de Salida]]</f>
        <v>45017</v>
      </c>
      <c r="V111" s="7" t="str">
        <f>TEXT(Sala[[#This Row],[Fecha factura]],"dddd")</f>
        <v>sábado</v>
      </c>
      <c r="W111" t="str">
        <f>IF(Sala[[#This Row],[Tiempo de degustación]]&gt;0,"Sí","No")</f>
        <v>Sí</v>
      </c>
      <c r="X111" t="str">
        <f>IF(Sala[[#This Row],[Cobrada]]="Sí",Sala[[#This Row],[Método de Pago]],"Impago")</f>
        <v>Tarjeta de crédito</v>
      </c>
      <c r="Y111">
        <f>IF(Sala[[#This Row],[Cobrada]]="Sí",Sala[[#This Row],[Propina]],0)</f>
        <v>47.91</v>
      </c>
      <c r="Z111">
        <f>(IF(Sala[[#This Row],[Cobrada]]="Sí",Sala[[#This Row],[Monto total]],0))+Sala[[#This Row],[Propina real]]</f>
        <v>210.91</v>
      </c>
    </row>
    <row r="112" spans="1:26" x14ac:dyDescent="0.25">
      <c r="A112">
        <v>3</v>
      </c>
      <c r="B112" t="s">
        <v>144</v>
      </c>
      <c r="C112">
        <v>2</v>
      </c>
      <c r="D112" s="2">
        <v>45017</v>
      </c>
      <c r="E112" s="3">
        <v>7.4999999999999997E-2</v>
      </c>
      <c r="F112" s="2">
        <v>45017</v>
      </c>
      <c r="G112" s="3">
        <v>0.21319444444444444</v>
      </c>
      <c r="H112" s="1" t="s">
        <v>7</v>
      </c>
      <c r="I112" t="s">
        <v>12</v>
      </c>
      <c r="J112" t="s">
        <v>601</v>
      </c>
      <c r="K112" s="9">
        <v>18.82</v>
      </c>
      <c r="L112" t="s">
        <v>9</v>
      </c>
      <c r="M112">
        <v>111</v>
      </c>
      <c r="N112" t="s">
        <v>44</v>
      </c>
      <c r="O112" s="3">
        <f>(Sala[[#This Row],[Hora de Salida]]-Sala[[#This Row],[Hora de llegada]])+IF(Sala[[#This Row],[Estado de la Mesa]]="Ocupada",(TEXT((15/(60*24)),"h:mm")),(TEXT(0,"h:mm")))</f>
        <v>0.13819444444444445</v>
      </c>
      <c r="P112" s="43">
        <f>(SUMIF(Cocina[Número de Orden],Sala[[#This Row],[Número de Orden]],Cocina[Tiempo de Preparación]))</f>
        <v>137</v>
      </c>
      <c r="Q112" s="5" t="str">
        <f>TEXT(((SUMIF(Cocina[Número de Orden],Sala[[#This Row],[Número de Orden]],Cocina[Tiempo de Preparación]))/(60*24)),"h:mm")</f>
        <v>2:17</v>
      </c>
      <c r="R112" s="3">
        <f>MAX((Sala[[#This Row],[Tiempo de permanencia]]-Sala[[#This Row],[Tiempo de preparación (h)]]),0)</f>
        <v>4.3055555555555569E-2</v>
      </c>
      <c r="S112" s="8">
        <f>SUMIF(Cocina[Número de Orden],Sala[[#This Row],[Número de Orden]],Cocina[Ganancia bruta])</f>
        <v>204</v>
      </c>
      <c r="T112" s="8">
        <f>SUMIF(Cocina[Número de Orden],Sala[[#This Row],[Número de Orden]],Cocina[Costo Unitario])</f>
        <v>63</v>
      </c>
      <c r="U112" s="2">
        <f>Sala[[#This Row],[Fecha de Salida]]</f>
        <v>45017</v>
      </c>
      <c r="V112" s="7" t="str">
        <f>TEXT(Sala[[#This Row],[Fecha factura]],"dddd")</f>
        <v>sábado</v>
      </c>
      <c r="W112" t="str">
        <f>IF(Sala[[#This Row],[Tiempo de degustación]]&gt;0,"Sí","No")</f>
        <v>Sí</v>
      </c>
      <c r="X112" t="str">
        <f>IF(Sala[[#This Row],[Cobrada]]="Sí",Sala[[#This Row],[Método de Pago]],"Impago")</f>
        <v>Tarjeta de crédito</v>
      </c>
      <c r="Y112">
        <f>IF(Sala[[#This Row],[Cobrada]]="Sí",Sala[[#This Row],[Propina]],0)</f>
        <v>18.82</v>
      </c>
      <c r="Z112">
        <f>(IF(Sala[[#This Row],[Cobrada]]="Sí",Sala[[#This Row],[Monto total]],0))+Sala[[#This Row],[Propina real]]</f>
        <v>222.82</v>
      </c>
    </row>
    <row r="113" spans="1:26" x14ac:dyDescent="0.25">
      <c r="A113">
        <v>6</v>
      </c>
      <c r="B113" t="s">
        <v>145</v>
      </c>
      <c r="C113">
        <v>2</v>
      </c>
      <c r="D113" s="2">
        <v>45017</v>
      </c>
      <c r="E113" s="3">
        <v>7.5694444444444439E-2</v>
      </c>
      <c r="F113" s="2">
        <v>45017</v>
      </c>
      <c r="G113" s="3">
        <v>0.1673611111111111</v>
      </c>
      <c r="H113" s="1" t="s">
        <v>16</v>
      </c>
      <c r="I113" t="s">
        <v>25</v>
      </c>
      <c r="J113" t="s">
        <v>13</v>
      </c>
      <c r="K113" s="9">
        <v>35.36</v>
      </c>
      <c r="L113" t="s">
        <v>28</v>
      </c>
      <c r="M113">
        <v>112</v>
      </c>
      <c r="N113" t="s">
        <v>593</v>
      </c>
      <c r="O113" s="3">
        <f>(Sala[[#This Row],[Hora de Salida]]-Sala[[#This Row],[Hora de llegada]])+IF(Sala[[#This Row],[Estado de la Mesa]]="Ocupada",(TEXT((15/(60*24)),"h:mm")),(TEXT(0,"h:mm")))</f>
        <v>0.10208333333333333</v>
      </c>
      <c r="P113" s="43">
        <f>(SUMIF(Cocina[Número de Orden],Sala[[#This Row],[Número de Orden]],Cocina[Tiempo de Preparación]))</f>
        <v>16</v>
      </c>
      <c r="Q113" s="5" t="str">
        <f>TEXT(((SUMIF(Cocina[Número de Orden],Sala[[#This Row],[Número de Orden]],Cocina[Tiempo de Preparación]))/(60*24)),"h:mm")</f>
        <v>0:16</v>
      </c>
      <c r="R113" s="3">
        <f>MAX((Sala[[#This Row],[Tiempo de permanencia]]-Sala[[#This Row],[Tiempo de preparación (h)]]),0)</f>
        <v>9.0972222222222218E-2</v>
      </c>
      <c r="S113" s="8">
        <f>SUMIF(Cocina[Número de Orden],Sala[[#This Row],[Número de Orden]],Cocina[Ganancia bruta])</f>
        <v>20</v>
      </c>
      <c r="T113" s="8">
        <f>SUMIF(Cocina[Número de Orden],Sala[[#This Row],[Número de Orden]],Cocina[Costo Unitario])</f>
        <v>12</v>
      </c>
      <c r="U113" s="2">
        <f>Sala[[#This Row],[Fecha de Salida]]</f>
        <v>45017</v>
      </c>
      <c r="V113" s="7" t="str">
        <f>TEXT(Sala[[#This Row],[Fecha factura]],"dddd")</f>
        <v>sábado</v>
      </c>
      <c r="W113" t="str">
        <f>IF(Sala[[#This Row],[Tiempo de degustación]]&gt;0,"Sí","No")</f>
        <v>Sí</v>
      </c>
      <c r="X113" t="str">
        <f>IF(Sala[[#This Row],[Cobrada]]="Sí",Sala[[#This Row],[Método de Pago]],"Impago")</f>
        <v>Efectivo</v>
      </c>
      <c r="Y113">
        <f>IF(Sala[[#This Row],[Cobrada]]="Sí",Sala[[#This Row],[Propina]],0)</f>
        <v>35.36</v>
      </c>
      <c r="Z113">
        <f>(IF(Sala[[#This Row],[Cobrada]]="Sí",Sala[[#This Row],[Monto total]],0))+Sala[[#This Row],[Propina real]]</f>
        <v>55.36</v>
      </c>
    </row>
    <row r="114" spans="1:26" x14ac:dyDescent="0.25">
      <c r="A114">
        <v>4</v>
      </c>
      <c r="B114" t="s">
        <v>147</v>
      </c>
      <c r="C114">
        <v>2</v>
      </c>
      <c r="D114" s="2">
        <v>45017</v>
      </c>
      <c r="E114" s="3">
        <v>0.05</v>
      </c>
      <c r="F114" s="2">
        <v>45017</v>
      </c>
      <c r="G114" s="3">
        <v>0.18124999999999999</v>
      </c>
      <c r="H114" s="1" t="s">
        <v>7</v>
      </c>
      <c r="I114" t="s">
        <v>8</v>
      </c>
      <c r="J114" t="s">
        <v>601</v>
      </c>
      <c r="K114" s="9">
        <v>29.74</v>
      </c>
      <c r="L114" t="s">
        <v>28</v>
      </c>
      <c r="M114">
        <v>113</v>
      </c>
      <c r="N114" t="s">
        <v>18</v>
      </c>
      <c r="O114" s="3">
        <f>(Sala[[#This Row],[Hora de Salida]]-Sala[[#This Row],[Hora de llegada]])+IF(Sala[[#This Row],[Estado de la Mesa]]="Ocupada",(TEXT((15/(60*24)),"h:mm")),(TEXT(0,"h:mm")))</f>
        <v>0.14166666666666664</v>
      </c>
      <c r="P114" s="43">
        <f>(SUMIF(Cocina[Número de Orden],Sala[[#This Row],[Número de Orden]],Cocina[Tiempo de Preparación]))</f>
        <v>51</v>
      </c>
      <c r="Q114" s="5" t="str">
        <f>TEXT(((SUMIF(Cocina[Número de Orden],Sala[[#This Row],[Número de Orden]],Cocina[Tiempo de Preparación]))/(60*24)),"h:mm")</f>
        <v>0:51</v>
      </c>
      <c r="R114" s="3">
        <f>MAX((Sala[[#This Row],[Tiempo de permanencia]]-Sala[[#This Row],[Tiempo de preparación (h)]]),0)</f>
        <v>0.10624999999999997</v>
      </c>
      <c r="S114" s="8">
        <f>SUMIF(Cocina[Número de Orden],Sala[[#This Row],[Número de Orden]],Cocina[Ganancia bruta])</f>
        <v>68</v>
      </c>
      <c r="T114" s="8">
        <f>SUMIF(Cocina[Número de Orden],Sala[[#This Row],[Número de Orden]],Cocina[Costo Unitario])</f>
        <v>20</v>
      </c>
      <c r="U114" s="2">
        <f>Sala[[#This Row],[Fecha de Salida]]</f>
        <v>45017</v>
      </c>
      <c r="V114" s="7" t="str">
        <f>TEXT(Sala[[#This Row],[Fecha factura]],"dddd")</f>
        <v>sábado</v>
      </c>
      <c r="W114" t="str">
        <f>IF(Sala[[#This Row],[Tiempo de degustación]]&gt;0,"Sí","No")</f>
        <v>Sí</v>
      </c>
      <c r="X114" t="str">
        <f>IF(Sala[[#This Row],[Cobrada]]="Sí",Sala[[#This Row],[Método de Pago]],"Impago")</f>
        <v>Tarjeta de crédito</v>
      </c>
      <c r="Y114">
        <f>IF(Sala[[#This Row],[Cobrada]]="Sí",Sala[[#This Row],[Propina]],0)</f>
        <v>29.74</v>
      </c>
      <c r="Z114">
        <f>(IF(Sala[[#This Row],[Cobrada]]="Sí",Sala[[#This Row],[Monto total]],0))+Sala[[#This Row],[Propina real]]</f>
        <v>97.74</v>
      </c>
    </row>
    <row r="115" spans="1:26" x14ac:dyDescent="0.25">
      <c r="A115">
        <v>7</v>
      </c>
      <c r="B115" t="s">
        <v>148</v>
      </c>
      <c r="C115">
        <v>6</v>
      </c>
      <c r="D115" s="2">
        <v>45017</v>
      </c>
      <c r="E115" s="3">
        <v>3.4027777777777775E-2</v>
      </c>
      <c r="F115" s="2">
        <v>45017</v>
      </c>
      <c r="G115" s="3">
        <v>0.14583333333333334</v>
      </c>
      <c r="H115" s="1" t="s">
        <v>11</v>
      </c>
      <c r="I115" t="s">
        <v>8</v>
      </c>
      <c r="J115" t="s">
        <v>601</v>
      </c>
      <c r="K115" s="9">
        <v>38.81</v>
      </c>
      <c r="L115" t="s">
        <v>28</v>
      </c>
      <c r="M115">
        <v>114</v>
      </c>
      <c r="N115" t="s">
        <v>47</v>
      </c>
      <c r="O115" s="3">
        <f>(Sala[[#This Row],[Hora de Salida]]-Sala[[#This Row],[Hora de llegada]])+IF(Sala[[#This Row],[Estado de la Mesa]]="Ocupada",(TEXT((15/(60*24)),"h:mm")),(TEXT(0,"h:mm")))</f>
        <v>0.12222222222222225</v>
      </c>
      <c r="P115" s="43">
        <f>(SUMIF(Cocina[Número de Orden],Sala[[#This Row],[Número de Orden]],Cocina[Tiempo de Preparación]))</f>
        <v>131</v>
      </c>
      <c r="Q115" s="5" t="str">
        <f>TEXT(((SUMIF(Cocina[Número de Orden],Sala[[#This Row],[Número de Orden]],Cocina[Tiempo de Preparación]))/(60*24)),"h:mm")</f>
        <v>2:11</v>
      </c>
      <c r="R115" s="3">
        <f>MAX((Sala[[#This Row],[Tiempo de permanencia]]-Sala[[#This Row],[Tiempo de preparación (h)]]),0)</f>
        <v>3.1250000000000028E-2</v>
      </c>
      <c r="S115" s="8">
        <f>SUMIF(Cocina[Número de Orden],Sala[[#This Row],[Número de Orden]],Cocina[Ganancia bruta])</f>
        <v>253</v>
      </c>
      <c r="T115" s="8">
        <f>SUMIF(Cocina[Número de Orden],Sala[[#This Row],[Número de Orden]],Cocina[Costo Unitario])</f>
        <v>58</v>
      </c>
      <c r="U115" s="2">
        <f>Sala[[#This Row],[Fecha de Salida]]</f>
        <v>45017</v>
      </c>
      <c r="V115" s="7" t="str">
        <f>TEXT(Sala[[#This Row],[Fecha factura]],"dddd")</f>
        <v>sábado</v>
      </c>
      <c r="W115" t="str">
        <f>IF(Sala[[#This Row],[Tiempo de degustación]]&gt;0,"Sí","No")</f>
        <v>Sí</v>
      </c>
      <c r="X115" t="str">
        <f>IF(Sala[[#This Row],[Cobrada]]="Sí",Sala[[#This Row],[Método de Pago]],"Impago")</f>
        <v>Tarjeta de crédito</v>
      </c>
      <c r="Y115">
        <f>IF(Sala[[#This Row],[Cobrada]]="Sí",Sala[[#This Row],[Propina]],0)</f>
        <v>38.81</v>
      </c>
      <c r="Z115">
        <f>(IF(Sala[[#This Row],[Cobrada]]="Sí",Sala[[#This Row],[Monto total]],0))+Sala[[#This Row],[Propina real]]</f>
        <v>291.81</v>
      </c>
    </row>
    <row r="116" spans="1:26" x14ac:dyDescent="0.25">
      <c r="A116">
        <v>12</v>
      </c>
      <c r="B116" t="s">
        <v>134</v>
      </c>
      <c r="C116">
        <v>6</v>
      </c>
      <c r="D116" s="2">
        <v>45017</v>
      </c>
      <c r="E116" s="3">
        <v>0.15486111111111112</v>
      </c>
      <c r="F116" s="2">
        <v>45017</v>
      </c>
      <c r="G116" s="3">
        <v>0.26805555555555555</v>
      </c>
      <c r="H116" s="1" t="s">
        <v>11</v>
      </c>
      <c r="I116" t="s">
        <v>25</v>
      </c>
      <c r="J116" t="s">
        <v>600</v>
      </c>
      <c r="K116" s="9">
        <v>46.46</v>
      </c>
      <c r="L116" t="s">
        <v>28</v>
      </c>
      <c r="M116">
        <v>115</v>
      </c>
      <c r="N116" t="s">
        <v>34</v>
      </c>
      <c r="O116" s="3">
        <f>(Sala[[#This Row],[Hora de Salida]]-Sala[[#This Row],[Hora de llegada]])+IF(Sala[[#This Row],[Estado de la Mesa]]="Ocupada",(TEXT((15/(60*24)),"h:mm")),(TEXT(0,"h:mm")))</f>
        <v>0.1236111111111111</v>
      </c>
      <c r="P116" s="43">
        <f>(SUMIF(Cocina[Número de Orden],Sala[[#This Row],[Número de Orden]],Cocina[Tiempo de Preparación]))</f>
        <v>98</v>
      </c>
      <c r="Q116" s="5" t="str">
        <f>TEXT(((SUMIF(Cocina[Número de Orden],Sala[[#This Row],[Número de Orden]],Cocina[Tiempo de Preparación]))/(60*24)),"h:mm")</f>
        <v>1:38</v>
      </c>
      <c r="R116" s="3">
        <f>MAX((Sala[[#This Row],[Tiempo de permanencia]]-Sala[[#This Row],[Tiempo de preparación (h)]]),0)</f>
        <v>5.5555555555555552E-2</v>
      </c>
      <c r="S116" s="8">
        <f>SUMIF(Cocina[Número de Orden],Sala[[#This Row],[Número de Orden]],Cocina[Ganancia bruta])</f>
        <v>237</v>
      </c>
      <c r="T116" s="8">
        <f>SUMIF(Cocina[Número de Orden],Sala[[#This Row],[Número de Orden]],Cocina[Costo Unitario])</f>
        <v>53</v>
      </c>
      <c r="U116" s="2">
        <f>Sala[[#This Row],[Fecha de Salida]]</f>
        <v>45017</v>
      </c>
      <c r="V116" s="7" t="str">
        <f>TEXT(Sala[[#This Row],[Fecha factura]],"dddd")</f>
        <v>sábado</v>
      </c>
      <c r="W116" t="str">
        <f>IF(Sala[[#This Row],[Tiempo de degustación]]&gt;0,"Sí","No")</f>
        <v>Sí</v>
      </c>
      <c r="X116" t="str">
        <f>IF(Sala[[#This Row],[Cobrada]]="Sí",Sala[[#This Row],[Método de Pago]],"Impago")</f>
        <v>Tarjeta de débito</v>
      </c>
      <c r="Y116">
        <f>IF(Sala[[#This Row],[Cobrada]]="Sí",Sala[[#This Row],[Propina]],0)</f>
        <v>46.46</v>
      </c>
      <c r="Z116">
        <f>(IF(Sala[[#This Row],[Cobrada]]="Sí",Sala[[#This Row],[Monto total]],0))+Sala[[#This Row],[Propina real]]</f>
        <v>283.45999999999998</v>
      </c>
    </row>
    <row r="117" spans="1:26" x14ac:dyDescent="0.25">
      <c r="A117">
        <v>8</v>
      </c>
      <c r="B117" t="s">
        <v>149</v>
      </c>
      <c r="C117">
        <v>5</v>
      </c>
      <c r="D117" s="2">
        <v>45017</v>
      </c>
      <c r="E117" s="3">
        <v>0.13541666666666666</v>
      </c>
      <c r="F117" s="2">
        <v>45017</v>
      </c>
      <c r="G117" s="3">
        <v>0.27291666666666664</v>
      </c>
      <c r="H117" s="1" t="s">
        <v>11</v>
      </c>
      <c r="I117" t="s">
        <v>8</v>
      </c>
      <c r="J117" t="s">
        <v>601</v>
      </c>
      <c r="K117" s="9">
        <v>47.69</v>
      </c>
      <c r="L117" t="s">
        <v>28</v>
      </c>
      <c r="M117">
        <v>116</v>
      </c>
      <c r="N117" t="s">
        <v>47</v>
      </c>
      <c r="O117" s="3">
        <f>(Sala[[#This Row],[Hora de Salida]]-Sala[[#This Row],[Hora de llegada]])+IF(Sala[[#This Row],[Estado de la Mesa]]="Ocupada",(TEXT((15/(60*24)),"h:mm")),(TEXT(0,"h:mm")))</f>
        <v>0.14791666666666664</v>
      </c>
      <c r="P117" s="43">
        <f>(SUMIF(Cocina[Número de Orden],Sala[[#This Row],[Número de Orden]],Cocina[Tiempo de Preparación]))</f>
        <v>129</v>
      </c>
      <c r="Q117" s="5" t="str">
        <f>TEXT(((SUMIF(Cocina[Número de Orden],Sala[[#This Row],[Número de Orden]],Cocina[Tiempo de Preparación]))/(60*24)),"h:mm")</f>
        <v>2:09</v>
      </c>
      <c r="R117" s="3">
        <f>MAX((Sala[[#This Row],[Tiempo de permanencia]]-Sala[[#This Row],[Tiempo de preparación (h)]]),0)</f>
        <v>5.8333333333333307E-2</v>
      </c>
      <c r="S117" s="8">
        <f>SUMIF(Cocina[Número de Orden],Sala[[#This Row],[Número de Orden]],Cocina[Ganancia bruta])</f>
        <v>269</v>
      </c>
      <c r="T117" s="8">
        <f>SUMIF(Cocina[Número de Orden],Sala[[#This Row],[Número de Orden]],Cocina[Costo Unitario])</f>
        <v>82</v>
      </c>
      <c r="U117" s="2">
        <f>Sala[[#This Row],[Fecha de Salida]]</f>
        <v>45017</v>
      </c>
      <c r="V117" s="7" t="str">
        <f>TEXT(Sala[[#This Row],[Fecha factura]],"dddd")</f>
        <v>sábado</v>
      </c>
      <c r="W117" t="str">
        <f>IF(Sala[[#This Row],[Tiempo de degustación]]&gt;0,"Sí","No")</f>
        <v>Sí</v>
      </c>
      <c r="X117" t="str">
        <f>IF(Sala[[#This Row],[Cobrada]]="Sí",Sala[[#This Row],[Método de Pago]],"Impago")</f>
        <v>Tarjeta de crédito</v>
      </c>
      <c r="Y117">
        <f>IF(Sala[[#This Row],[Cobrada]]="Sí",Sala[[#This Row],[Propina]],0)</f>
        <v>47.69</v>
      </c>
      <c r="Z117">
        <f>(IF(Sala[[#This Row],[Cobrada]]="Sí",Sala[[#This Row],[Monto total]],0))+Sala[[#This Row],[Propina real]]</f>
        <v>316.69</v>
      </c>
    </row>
    <row r="118" spans="1:26" x14ac:dyDescent="0.25">
      <c r="A118">
        <v>8</v>
      </c>
      <c r="B118" t="s">
        <v>150</v>
      </c>
      <c r="C118">
        <v>4</v>
      </c>
      <c r="D118" s="2">
        <v>45017</v>
      </c>
      <c r="E118" s="3">
        <v>0.12152777777777778</v>
      </c>
      <c r="F118" s="2">
        <v>45017</v>
      </c>
      <c r="G118" s="3">
        <v>0.23958333333333334</v>
      </c>
      <c r="H118" s="1" t="s">
        <v>7</v>
      </c>
      <c r="I118" t="s">
        <v>12</v>
      </c>
      <c r="J118" t="s">
        <v>601</v>
      </c>
      <c r="K118" s="9">
        <v>11.65</v>
      </c>
      <c r="L118" t="s">
        <v>28</v>
      </c>
      <c r="M118">
        <v>117</v>
      </c>
      <c r="N118" t="s">
        <v>47</v>
      </c>
      <c r="O118" s="3">
        <f>(Sala[[#This Row],[Hora de Salida]]-Sala[[#This Row],[Hora de llegada]])+IF(Sala[[#This Row],[Estado de la Mesa]]="Ocupada",(TEXT((15/(60*24)),"h:mm")),(TEXT(0,"h:mm")))</f>
        <v>0.12847222222222224</v>
      </c>
      <c r="P118" s="43">
        <f>(SUMIF(Cocina[Número de Orden],Sala[[#This Row],[Número de Orden]],Cocina[Tiempo de Preparación]))</f>
        <v>8</v>
      </c>
      <c r="Q118" s="5" t="str">
        <f>TEXT(((SUMIF(Cocina[Número de Orden],Sala[[#This Row],[Número de Orden]],Cocina[Tiempo de Preparación]))/(60*24)),"h:mm")</f>
        <v>0:08</v>
      </c>
      <c r="R118" s="3">
        <f>MAX((Sala[[#This Row],[Tiempo de permanencia]]-Sala[[#This Row],[Tiempo de preparación (h)]]),0)</f>
        <v>0.12291666666666669</v>
      </c>
      <c r="S118" s="8">
        <f>SUMIF(Cocina[Número de Orden],Sala[[#This Row],[Número de Orden]],Cocina[Ganancia bruta])</f>
        <v>70</v>
      </c>
      <c r="T118" s="8">
        <f>SUMIF(Cocina[Número de Orden],Sala[[#This Row],[Número de Orden]],Cocina[Costo Unitario])</f>
        <v>21</v>
      </c>
      <c r="U118" s="2">
        <f>Sala[[#This Row],[Fecha de Salida]]</f>
        <v>45017</v>
      </c>
      <c r="V118" s="7" t="str">
        <f>TEXT(Sala[[#This Row],[Fecha factura]],"dddd")</f>
        <v>sábado</v>
      </c>
      <c r="W118" t="str">
        <f>IF(Sala[[#This Row],[Tiempo de degustación]]&gt;0,"Sí","No")</f>
        <v>Sí</v>
      </c>
      <c r="X118" t="str">
        <f>IF(Sala[[#This Row],[Cobrada]]="Sí",Sala[[#This Row],[Método de Pago]],"Impago")</f>
        <v>Tarjeta de crédito</v>
      </c>
      <c r="Y118">
        <f>IF(Sala[[#This Row],[Cobrada]]="Sí",Sala[[#This Row],[Propina]],0)</f>
        <v>11.65</v>
      </c>
      <c r="Z118">
        <f>(IF(Sala[[#This Row],[Cobrada]]="Sí",Sala[[#This Row],[Monto total]],0))+Sala[[#This Row],[Propina real]]</f>
        <v>81.650000000000006</v>
      </c>
    </row>
    <row r="119" spans="1:26" x14ac:dyDescent="0.25">
      <c r="A119">
        <v>13</v>
      </c>
      <c r="B119" t="s">
        <v>151</v>
      </c>
      <c r="C119">
        <v>1</v>
      </c>
      <c r="D119" s="2">
        <v>45017</v>
      </c>
      <c r="E119" s="3">
        <v>2.361111111111111E-2</v>
      </c>
      <c r="F119" s="2">
        <v>45017</v>
      </c>
      <c r="G119" s="3">
        <v>7.2916666666666671E-2</v>
      </c>
      <c r="H119" s="1" t="s">
        <v>20</v>
      </c>
      <c r="I119" t="s">
        <v>25</v>
      </c>
      <c r="J119" t="s">
        <v>600</v>
      </c>
      <c r="K119" s="9">
        <v>49.32</v>
      </c>
      <c r="L119" t="s">
        <v>17</v>
      </c>
      <c r="M119">
        <v>118</v>
      </c>
      <c r="N119" t="s">
        <v>32</v>
      </c>
      <c r="O119" s="3">
        <f>(Sala[[#This Row],[Hora de Salida]]-Sala[[#This Row],[Hora de llegada]])+IF(Sala[[#This Row],[Estado de la Mesa]]="Ocupada",(TEXT((15/(60*24)),"h:mm")),(TEXT(0,"h:mm")))</f>
        <v>4.9305555555555561E-2</v>
      </c>
      <c r="P119" s="43">
        <f>(SUMIF(Cocina[Número de Orden],Sala[[#This Row],[Número de Orden]],Cocina[Tiempo de Preparación]))</f>
        <v>136</v>
      </c>
      <c r="Q119" s="5" t="str">
        <f>TEXT(((SUMIF(Cocina[Número de Orden],Sala[[#This Row],[Número de Orden]],Cocina[Tiempo de Preparación]))/(60*24)),"h:mm")</f>
        <v>2:16</v>
      </c>
      <c r="R119" s="3">
        <f>MAX((Sala[[#This Row],[Tiempo de permanencia]]-Sala[[#This Row],[Tiempo de preparación (h)]]),0)</f>
        <v>0</v>
      </c>
      <c r="S119" s="8">
        <f>SUMIF(Cocina[Número de Orden],Sala[[#This Row],[Número de Orden]],Cocina[Ganancia bruta])</f>
        <v>209</v>
      </c>
      <c r="T119" s="8">
        <f>SUMIF(Cocina[Número de Orden],Sala[[#This Row],[Número de Orden]],Cocina[Costo Unitario])</f>
        <v>59</v>
      </c>
      <c r="U119" s="2">
        <f>Sala[[#This Row],[Fecha de Salida]]</f>
        <v>45017</v>
      </c>
      <c r="V119" s="7" t="str">
        <f>TEXT(Sala[[#This Row],[Fecha factura]],"dddd")</f>
        <v>sábado</v>
      </c>
      <c r="W119" t="str">
        <f>IF(Sala[[#This Row],[Tiempo de degustación]]&gt;0,"Sí","No")</f>
        <v>No</v>
      </c>
      <c r="X119" t="str">
        <f>IF(Sala[[#This Row],[Cobrada]]="Sí",Sala[[#This Row],[Método de Pago]],"Impago")</f>
        <v>Impago</v>
      </c>
      <c r="Y119">
        <f>IF(Sala[[#This Row],[Cobrada]]="Sí",Sala[[#This Row],[Propina]],0)</f>
        <v>0</v>
      </c>
      <c r="Z119">
        <f>(IF(Sala[[#This Row],[Cobrada]]="Sí",Sala[[#This Row],[Monto total]],0))+Sala[[#This Row],[Propina real]]</f>
        <v>0</v>
      </c>
    </row>
    <row r="120" spans="1:26" x14ac:dyDescent="0.25">
      <c r="A120">
        <v>17</v>
      </c>
      <c r="B120" t="s">
        <v>152</v>
      </c>
      <c r="C120">
        <v>3</v>
      </c>
      <c r="D120" s="2">
        <v>45018</v>
      </c>
      <c r="E120" s="3">
        <v>0.14166666666666666</v>
      </c>
      <c r="F120" s="2">
        <v>45018</v>
      </c>
      <c r="G120" s="3">
        <v>0.21041666666666667</v>
      </c>
      <c r="H120" s="1" t="s">
        <v>16</v>
      </c>
      <c r="I120" t="s">
        <v>12</v>
      </c>
      <c r="J120" t="s">
        <v>601</v>
      </c>
      <c r="K120" s="9">
        <v>11.5</v>
      </c>
      <c r="L120" t="s">
        <v>9</v>
      </c>
      <c r="M120">
        <v>119</v>
      </c>
      <c r="N120" t="s">
        <v>593</v>
      </c>
      <c r="O120" s="3">
        <f>(Sala[[#This Row],[Hora de Salida]]-Sala[[#This Row],[Hora de llegada]])+IF(Sala[[#This Row],[Estado de la Mesa]]="Ocupada",(TEXT((15/(60*24)),"h:mm")),(TEXT(0,"h:mm")))</f>
        <v>6.8750000000000006E-2</v>
      </c>
      <c r="P120" s="43">
        <f>(SUMIF(Cocina[Número de Orden],Sala[[#This Row],[Número de Orden]],Cocina[Tiempo de Preparación]))</f>
        <v>54</v>
      </c>
      <c r="Q120" s="5" t="str">
        <f>TEXT(((SUMIF(Cocina[Número de Orden],Sala[[#This Row],[Número de Orden]],Cocina[Tiempo de Preparación]))/(60*24)),"h:mm")</f>
        <v>0:54</v>
      </c>
      <c r="R120" s="3">
        <f>MAX((Sala[[#This Row],[Tiempo de permanencia]]-Sala[[#This Row],[Tiempo de preparación (h)]]),0)</f>
        <v>3.1250000000000007E-2</v>
      </c>
      <c r="S120" s="8">
        <f>SUMIF(Cocina[Número de Orden],Sala[[#This Row],[Número de Orden]],Cocina[Ganancia bruta])</f>
        <v>134</v>
      </c>
      <c r="T120" s="8">
        <f>SUMIF(Cocina[Número de Orden],Sala[[#This Row],[Número de Orden]],Cocina[Costo Unitario])</f>
        <v>47</v>
      </c>
      <c r="U120" s="2">
        <f>Sala[[#This Row],[Fecha de Salida]]</f>
        <v>45018</v>
      </c>
      <c r="V120" s="7" t="str">
        <f>TEXT(Sala[[#This Row],[Fecha factura]],"dddd")</f>
        <v>domingo</v>
      </c>
      <c r="W120" t="str">
        <f>IF(Sala[[#This Row],[Tiempo de degustación]]&gt;0,"Sí","No")</f>
        <v>Sí</v>
      </c>
      <c r="X120" t="str">
        <f>IF(Sala[[#This Row],[Cobrada]]="Sí",Sala[[#This Row],[Método de Pago]],"Impago")</f>
        <v>Tarjeta de crédito</v>
      </c>
      <c r="Y120">
        <f>IF(Sala[[#This Row],[Cobrada]]="Sí",Sala[[#This Row],[Propina]],0)</f>
        <v>11.5</v>
      </c>
      <c r="Z120">
        <f>(IF(Sala[[#This Row],[Cobrada]]="Sí",Sala[[#This Row],[Monto total]],0))+Sala[[#This Row],[Propina real]]</f>
        <v>145.5</v>
      </c>
    </row>
    <row r="121" spans="1:26" x14ac:dyDescent="0.25">
      <c r="A121">
        <v>4</v>
      </c>
      <c r="B121" t="s">
        <v>153</v>
      </c>
      <c r="C121">
        <v>2</v>
      </c>
      <c r="D121" s="2">
        <v>45018</v>
      </c>
      <c r="E121" s="3">
        <v>2.6388888888888889E-2</v>
      </c>
      <c r="F121" s="2">
        <v>45018</v>
      </c>
      <c r="G121" s="3">
        <v>7.0833333333333331E-2</v>
      </c>
      <c r="H121" s="1" t="s">
        <v>11</v>
      </c>
      <c r="I121" t="s">
        <v>8</v>
      </c>
      <c r="J121" t="s">
        <v>13</v>
      </c>
      <c r="K121" s="9">
        <v>12.51</v>
      </c>
      <c r="L121" t="s">
        <v>9</v>
      </c>
      <c r="M121">
        <v>120</v>
      </c>
      <c r="N121" t="s">
        <v>34</v>
      </c>
      <c r="O121" s="3">
        <f>(Sala[[#This Row],[Hora de Salida]]-Sala[[#This Row],[Hora de llegada]])+IF(Sala[[#This Row],[Estado de la Mesa]]="Ocupada",(TEXT((15/(60*24)),"h:mm")),(TEXT(0,"h:mm")))</f>
        <v>4.4444444444444439E-2</v>
      </c>
      <c r="P121" s="43">
        <f>(SUMIF(Cocina[Número de Orden],Sala[[#This Row],[Número de Orden]],Cocina[Tiempo de Preparación]))</f>
        <v>97</v>
      </c>
      <c r="Q121" s="5" t="str">
        <f>TEXT(((SUMIF(Cocina[Número de Orden],Sala[[#This Row],[Número de Orden]],Cocina[Tiempo de Preparación]))/(60*24)),"h:mm")</f>
        <v>1:37</v>
      </c>
      <c r="R121" s="3">
        <f>MAX((Sala[[#This Row],[Tiempo de permanencia]]-Sala[[#This Row],[Tiempo de preparación (h)]]),0)</f>
        <v>0</v>
      </c>
      <c r="S121" s="8">
        <f>SUMIF(Cocina[Número de Orden],Sala[[#This Row],[Número de Orden]],Cocina[Ganancia bruta])</f>
        <v>145</v>
      </c>
      <c r="T121" s="8">
        <f>SUMIF(Cocina[Número de Orden],Sala[[#This Row],[Número de Orden]],Cocina[Costo Unitario])</f>
        <v>34</v>
      </c>
      <c r="U121" s="2">
        <f>Sala[[#This Row],[Fecha de Salida]]</f>
        <v>45018</v>
      </c>
      <c r="V121" s="7" t="str">
        <f>TEXT(Sala[[#This Row],[Fecha factura]],"dddd")</f>
        <v>domingo</v>
      </c>
      <c r="W121" t="str">
        <f>IF(Sala[[#This Row],[Tiempo de degustación]]&gt;0,"Sí","No")</f>
        <v>No</v>
      </c>
      <c r="X121" t="str">
        <f>IF(Sala[[#This Row],[Cobrada]]="Sí",Sala[[#This Row],[Método de Pago]],"Impago")</f>
        <v>Impago</v>
      </c>
      <c r="Y121">
        <f>IF(Sala[[#This Row],[Cobrada]]="Sí",Sala[[#This Row],[Propina]],0)</f>
        <v>0</v>
      </c>
      <c r="Z121">
        <f>(IF(Sala[[#This Row],[Cobrada]]="Sí",Sala[[#This Row],[Monto total]],0))+Sala[[#This Row],[Propina real]]</f>
        <v>0</v>
      </c>
    </row>
    <row r="122" spans="1:26" x14ac:dyDescent="0.25">
      <c r="A122">
        <v>5</v>
      </c>
      <c r="B122" t="s">
        <v>154</v>
      </c>
      <c r="C122">
        <v>4</v>
      </c>
      <c r="D122" s="2">
        <v>45018</v>
      </c>
      <c r="E122" s="3">
        <v>0.15625</v>
      </c>
      <c r="F122" s="2">
        <v>45018</v>
      </c>
      <c r="G122" s="3">
        <v>0.2590277777777778</v>
      </c>
      <c r="H122" s="1" t="s">
        <v>23</v>
      </c>
      <c r="I122" t="s">
        <v>8</v>
      </c>
      <c r="J122" t="s">
        <v>601</v>
      </c>
      <c r="K122" s="9">
        <v>12.3</v>
      </c>
      <c r="L122" t="s">
        <v>9</v>
      </c>
      <c r="M122">
        <v>121</v>
      </c>
      <c r="N122" t="s">
        <v>21</v>
      </c>
      <c r="O122" s="3">
        <f>(Sala[[#This Row],[Hora de Salida]]-Sala[[#This Row],[Hora de llegada]])+IF(Sala[[#This Row],[Estado de la Mesa]]="Ocupada",(TEXT((15/(60*24)),"h:mm")),(TEXT(0,"h:mm")))</f>
        <v>0.1027777777777778</v>
      </c>
      <c r="P122" s="43">
        <f>(SUMIF(Cocina[Número de Orden],Sala[[#This Row],[Número de Orden]],Cocina[Tiempo de Preparación]))</f>
        <v>38</v>
      </c>
      <c r="Q122" s="5" t="str">
        <f>TEXT(((SUMIF(Cocina[Número de Orden],Sala[[#This Row],[Número de Orden]],Cocina[Tiempo de Preparación]))/(60*24)),"h:mm")</f>
        <v>0:38</v>
      </c>
      <c r="R122" s="3">
        <f>MAX((Sala[[#This Row],[Tiempo de permanencia]]-Sala[[#This Row],[Tiempo de preparación (h)]]),0)</f>
        <v>7.6388888888888909E-2</v>
      </c>
      <c r="S122" s="8">
        <f>SUMIF(Cocina[Número de Orden],Sala[[#This Row],[Número de Orden]],Cocina[Ganancia bruta])</f>
        <v>52</v>
      </c>
      <c r="T122" s="8">
        <f>SUMIF(Cocina[Número de Orden],Sala[[#This Row],[Número de Orden]],Cocina[Costo Unitario])</f>
        <v>15</v>
      </c>
      <c r="U122" s="2">
        <f>Sala[[#This Row],[Fecha de Salida]]</f>
        <v>45018</v>
      </c>
      <c r="V122" s="7" t="str">
        <f>TEXT(Sala[[#This Row],[Fecha factura]],"dddd")</f>
        <v>domingo</v>
      </c>
      <c r="W122" t="str">
        <f>IF(Sala[[#This Row],[Tiempo de degustación]]&gt;0,"Sí","No")</f>
        <v>Sí</v>
      </c>
      <c r="X122" t="str">
        <f>IF(Sala[[#This Row],[Cobrada]]="Sí",Sala[[#This Row],[Método de Pago]],"Impago")</f>
        <v>Tarjeta de crédito</v>
      </c>
      <c r="Y122">
        <f>IF(Sala[[#This Row],[Cobrada]]="Sí",Sala[[#This Row],[Propina]],0)</f>
        <v>12.3</v>
      </c>
      <c r="Z122">
        <f>(IF(Sala[[#This Row],[Cobrada]]="Sí",Sala[[#This Row],[Monto total]],0))+Sala[[#This Row],[Propina real]]</f>
        <v>64.3</v>
      </c>
    </row>
    <row r="123" spans="1:26" x14ac:dyDescent="0.25">
      <c r="A123">
        <v>6</v>
      </c>
      <c r="B123" t="s">
        <v>156</v>
      </c>
      <c r="C123">
        <v>6</v>
      </c>
      <c r="D123" s="2">
        <v>45018</v>
      </c>
      <c r="E123" s="3">
        <v>5.7638888888888892E-2</v>
      </c>
      <c r="F123" s="2">
        <v>45018</v>
      </c>
      <c r="G123" s="3">
        <v>0.11666666666666667</v>
      </c>
      <c r="H123" s="1" t="s">
        <v>11</v>
      </c>
      <c r="I123" t="s">
        <v>8</v>
      </c>
      <c r="J123" t="s">
        <v>600</v>
      </c>
      <c r="K123" s="9">
        <v>20.38</v>
      </c>
      <c r="L123" t="s">
        <v>28</v>
      </c>
      <c r="M123">
        <v>122</v>
      </c>
      <c r="N123" t="s">
        <v>14</v>
      </c>
      <c r="O123" s="3">
        <f>(Sala[[#This Row],[Hora de Salida]]-Sala[[#This Row],[Hora de llegada]])+IF(Sala[[#This Row],[Estado de la Mesa]]="Ocupada",(TEXT((15/(60*24)),"h:mm")),(TEXT(0,"h:mm")))</f>
        <v>6.9444444444444448E-2</v>
      </c>
      <c r="P123" s="43">
        <f>(SUMIF(Cocina[Número de Orden],Sala[[#This Row],[Número de Orden]],Cocina[Tiempo de Preparación]))</f>
        <v>32</v>
      </c>
      <c r="Q123" s="5" t="str">
        <f>TEXT(((SUMIF(Cocina[Número de Orden],Sala[[#This Row],[Número de Orden]],Cocina[Tiempo de Preparación]))/(60*24)),"h:mm")</f>
        <v>0:32</v>
      </c>
      <c r="R123" s="3">
        <f>MAX((Sala[[#This Row],[Tiempo de permanencia]]-Sala[[#This Row],[Tiempo de preparación (h)]]),0)</f>
        <v>4.7222222222222221E-2</v>
      </c>
      <c r="S123" s="8">
        <f>SUMIF(Cocina[Número de Orden],Sala[[#This Row],[Número de Orden]],Cocina[Ganancia bruta])</f>
        <v>105</v>
      </c>
      <c r="T123" s="8">
        <f>SUMIF(Cocina[Número de Orden],Sala[[#This Row],[Número de Orden]],Cocina[Costo Unitario])</f>
        <v>21</v>
      </c>
      <c r="U123" s="2">
        <f>Sala[[#This Row],[Fecha de Salida]]</f>
        <v>45018</v>
      </c>
      <c r="V123" s="7" t="str">
        <f>TEXT(Sala[[#This Row],[Fecha factura]],"dddd")</f>
        <v>domingo</v>
      </c>
      <c r="W123" t="str">
        <f>IF(Sala[[#This Row],[Tiempo de degustación]]&gt;0,"Sí","No")</f>
        <v>Sí</v>
      </c>
      <c r="X123" t="str">
        <f>IF(Sala[[#This Row],[Cobrada]]="Sí",Sala[[#This Row],[Método de Pago]],"Impago")</f>
        <v>Tarjeta de débito</v>
      </c>
      <c r="Y123">
        <f>IF(Sala[[#This Row],[Cobrada]]="Sí",Sala[[#This Row],[Propina]],0)</f>
        <v>20.38</v>
      </c>
      <c r="Z123">
        <f>(IF(Sala[[#This Row],[Cobrada]]="Sí",Sala[[#This Row],[Monto total]],0))+Sala[[#This Row],[Propina real]]</f>
        <v>125.38</v>
      </c>
    </row>
    <row r="124" spans="1:26" x14ac:dyDescent="0.25">
      <c r="A124">
        <v>16</v>
      </c>
      <c r="B124" t="s">
        <v>157</v>
      </c>
      <c r="C124">
        <v>6</v>
      </c>
      <c r="D124" s="2">
        <v>45018</v>
      </c>
      <c r="E124" s="3">
        <v>0.13125000000000001</v>
      </c>
      <c r="F124" s="2">
        <v>45018</v>
      </c>
      <c r="G124" s="3">
        <v>0.1736111111111111</v>
      </c>
      <c r="H124" s="1" t="s">
        <v>23</v>
      </c>
      <c r="I124" t="s">
        <v>8</v>
      </c>
      <c r="J124" t="s">
        <v>600</v>
      </c>
      <c r="K124" s="9">
        <v>46.88</v>
      </c>
      <c r="L124" t="s">
        <v>9</v>
      </c>
      <c r="M124">
        <v>123</v>
      </c>
      <c r="N124" t="s">
        <v>59</v>
      </c>
      <c r="O124" s="3">
        <f>(Sala[[#This Row],[Hora de Salida]]-Sala[[#This Row],[Hora de llegada]])+IF(Sala[[#This Row],[Estado de la Mesa]]="Ocupada",(TEXT((15/(60*24)),"h:mm")),(TEXT(0,"h:mm")))</f>
        <v>4.2361111111111099E-2</v>
      </c>
      <c r="P124" s="43">
        <f>(SUMIF(Cocina[Número de Orden],Sala[[#This Row],[Número de Orden]],Cocina[Tiempo de Preparación]))</f>
        <v>33</v>
      </c>
      <c r="Q124" s="5" t="str">
        <f>TEXT(((SUMIF(Cocina[Número de Orden],Sala[[#This Row],[Número de Orden]],Cocina[Tiempo de Preparación]))/(60*24)),"h:mm")</f>
        <v>0:33</v>
      </c>
      <c r="R124" s="3">
        <f>MAX((Sala[[#This Row],[Tiempo de permanencia]]-Sala[[#This Row],[Tiempo de preparación (h)]]),0)</f>
        <v>1.9444444444444434E-2</v>
      </c>
      <c r="S124" s="8">
        <f>SUMIF(Cocina[Número de Orden],Sala[[#This Row],[Número de Orden]],Cocina[Ganancia bruta])</f>
        <v>24</v>
      </c>
      <c r="T124" s="8">
        <f>SUMIF(Cocina[Número de Orden],Sala[[#This Row],[Número de Orden]],Cocina[Costo Unitario])</f>
        <v>14</v>
      </c>
      <c r="U124" s="2">
        <f>Sala[[#This Row],[Fecha de Salida]]</f>
        <v>45018</v>
      </c>
      <c r="V124" s="7" t="str">
        <f>TEXT(Sala[[#This Row],[Fecha factura]],"dddd")</f>
        <v>domingo</v>
      </c>
      <c r="W124" t="str">
        <f>IF(Sala[[#This Row],[Tiempo de degustación]]&gt;0,"Sí","No")</f>
        <v>Sí</v>
      </c>
      <c r="X124" t="str">
        <f>IF(Sala[[#This Row],[Cobrada]]="Sí",Sala[[#This Row],[Método de Pago]],"Impago")</f>
        <v>Tarjeta de débito</v>
      </c>
      <c r="Y124">
        <f>IF(Sala[[#This Row],[Cobrada]]="Sí",Sala[[#This Row],[Propina]],0)</f>
        <v>46.88</v>
      </c>
      <c r="Z124">
        <f>(IF(Sala[[#This Row],[Cobrada]]="Sí",Sala[[#This Row],[Monto total]],0))+Sala[[#This Row],[Propina real]]</f>
        <v>70.88</v>
      </c>
    </row>
    <row r="125" spans="1:26" x14ac:dyDescent="0.25">
      <c r="A125">
        <v>16</v>
      </c>
      <c r="B125" t="s">
        <v>159</v>
      </c>
      <c r="C125">
        <v>5</v>
      </c>
      <c r="D125" s="2">
        <v>45018</v>
      </c>
      <c r="E125" s="3">
        <v>0.15208333333333332</v>
      </c>
      <c r="F125" s="2">
        <v>45018</v>
      </c>
      <c r="G125" s="3">
        <v>0.22361111111111112</v>
      </c>
      <c r="H125" s="1" t="s">
        <v>7</v>
      </c>
      <c r="I125" t="s">
        <v>8</v>
      </c>
      <c r="J125" t="s">
        <v>600</v>
      </c>
      <c r="K125" s="9">
        <v>10.85</v>
      </c>
      <c r="L125" t="s">
        <v>17</v>
      </c>
      <c r="M125">
        <v>124</v>
      </c>
      <c r="N125" t="s">
        <v>594</v>
      </c>
      <c r="O125" s="3">
        <f>(Sala[[#This Row],[Hora de Salida]]-Sala[[#This Row],[Hora de llegada]])+IF(Sala[[#This Row],[Estado de la Mesa]]="Ocupada",(TEXT((15/(60*24)),"h:mm")),(TEXT(0,"h:mm")))</f>
        <v>7.1527777777777801E-2</v>
      </c>
      <c r="P125" s="43">
        <f>(SUMIF(Cocina[Número de Orden],Sala[[#This Row],[Número de Orden]],Cocina[Tiempo de Preparación]))</f>
        <v>138</v>
      </c>
      <c r="Q125" s="5" t="str">
        <f>TEXT(((SUMIF(Cocina[Número de Orden],Sala[[#This Row],[Número de Orden]],Cocina[Tiempo de Preparación]))/(60*24)),"h:mm")</f>
        <v>2:18</v>
      </c>
      <c r="R125" s="3">
        <f>MAX((Sala[[#This Row],[Tiempo de permanencia]]-Sala[[#This Row],[Tiempo de preparación (h)]]),0)</f>
        <v>0</v>
      </c>
      <c r="S125" s="8">
        <f>SUMIF(Cocina[Número de Orden],Sala[[#This Row],[Número de Orden]],Cocina[Ganancia bruta])</f>
        <v>222</v>
      </c>
      <c r="T125" s="8">
        <f>SUMIF(Cocina[Número de Orden],Sala[[#This Row],[Número de Orden]],Cocina[Costo Unitario])</f>
        <v>64</v>
      </c>
      <c r="U125" s="2">
        <f>Sala[[#This Row],[Fecha de Salida]]</f>
        <v>45018</v>
      </c>
      <c r="V125" s="7" t="str">
        <f>TEXT(Sala[[#This Row],[Fecha factura]],"dddd")</f>
        <v>domingo</v>
      </c>
      <c r="W125" t="str">
        <f>IF(Sala[[#This Row],[Tiempo de degustación]]&gt;0,"Sí","No")</f>
        <v>No</v>
      </c>
      <c r="X125" t="str">
        <f>IF(Sala[[#This Row],[Cobrada]]="Sí",Sala[[#This Row],[Método de Pago]],"Impago")</f>
        <v>Impago</v>
      </c>
      <c r="Y125">
        <f>IF(Sala[[#This Row],[Cobrada]]="Sí",Sala[[#This Row],[Propina]],0)</f>
        <v>0</v>
      </c>
      <c r="Z125">
        <f>(IF(Sala[[#This Row],[Cobrada]]="Sí",Sala[[#This Row],[Monto total]],0))+Sala[[#This Row],[Propina real]]</f>
        <v>0</v>
      </c>
    </row>
    <row r="126" spans="1:26" x14ac:dyDescent="0.25">
      <c r="A126">
        <v>14</v>
      </c>
      <c r="B126" t="s">
        <v>160</v>
      </c>
      <c r="C126">
        <v>2</v>
      </c>
      <c r="D126" s="2">
        <v>45018</v>
      </c>
      <c r="E126" s="3">
        <v>0.12222222222222222</v>
      </c>
      <c r="F126" s="2">
        <v>45018</v>
      </c>
      <c r="G126" s="3">
        <v>0.2590277777777778</v>
      </c>
      <c r="H126" s="1" t="s">
        <v>7</v>
      </c>
      <c r="I126" t="s">
        <v>8</v>
      </c>
      <c r="J126" t="s">
        <v>601</v>
      </c>
      <c r="K126" s="9">
        <v>24.66</v>
      </c>
      <c r="L126" t="s">
        <v>17</v>
      </c>
      <c r="M126">
        <v>125</v>
      </c>
      <c r="N126" t="s">
        <v>32</v>
      </c>
      <c r="O126" s="3">
        <f>(Sala[[#This Row],[Hora de Salida]]-Sala[[#This Row],[Hora de llegada]])+IF(Sala[[#This Row],[Estado de la Mesa]]="Ocupada",(TEXT((15/(60*24)),"h:mm")),(TEXT(0,"h:mm")))</f>
        <v>0.13680555555555557</v>
      </c>
      <c r="P126" s="43">
        <f>(SUMIF(Cocina[Número de Orden],Sala[[#This Row],[Número de Orden]],Cocina[Tiempo de Preparación]))</f>
        <v>84</v>
      </c>
      <c r="Q126" s="5" t="str">
        <f>TEXT(((SUMIF(Cocina[Número de Orden],Sala[[#This Row],[Número de Orden]],Cocina[Tiempo de Preparación]))/(60*24)),"h:mm")</f>
        <v>1:24</v>
      </c>
      <c r="R126" s="3">
        <f>MAX((Sala[[#This Row],[Tiempo de permanencia]]-Sala[[#This Row],[Tiempo de preparación (h)]]),0)</f>
        <v>7.8472222222222235E-2</v>
      </c>
      <c r="S126" s="8">
        <f>SUMIF(Cocina[Número de Orden],Sala[[#This Row],[Número de Orden]],Cocina[Ganancia bruta])</f>
        <v>184</v>
      </c>
      <c r="T126" s="8">
        <f>SUMIF(Cocina[Número de Orden],Sala[[#This Row],[Número de Orden]],Cocina[Costo Unitario])</f>
        <v>48</v>
      </c>
      <c r="U126" s="2">
        <f>Sala[[#This Row],[Fecha de Salida]]</f>
        <v>45018</v>
      </c>
      <c r="V126" s="7" t="str">
        <f>TEXT(Sala[[#This Row],[Fecha factura]],"dddd")</f>
        <v>domingo</v>
      </c>
      <c r="W126" t="str">
        <f>IF(Sala[[#This Row],[Tiempo de degustación]]&gt;0,"Sí","No")</f>
        <v>Sí</v>
      </c>
      <c r="X126" t="str">
        <f>IF(Sala[[#This Row],[Cobrada]]="Sí",Sala[[#This Row],[Método de Pago]],"Impago")</f>
        <v>Tarjeta de crédito</v>
      </c>
      <c r="Y126">
        <f>IF(Sala[[#This Row],[Cobrada]]="Sí",Sala[[#This Row],[Propina]],0)</f>
        <v>24.66</v>
      </c>
      <c r="Z126">
        <f>(IF(Sala[[#This Row],[Cobrada]]="Sí",Sala[[#This Row],[Monto total]],0))+Sala[[#This Row],[Propina real]]</f>
        <v>208.66</v>
      </c>
    </row>
    <row r="127" spans="1:26" x14ac:dyDescent="0.25">
      <c r="A127">
        <v>18</v>
      </c>
      <c r="B127" t="s">
        <v>161</v>
      </c>
      <c r="C127">
        <v>3</v>
      </c>
      <c r="D127" s="2">
        <v>45018</v>
      </c>
      <c r="E127" s="3">
        <v>0.11458333333333333</v>
      </c>
      <c r="F127" s="2">
        <v>45018</v>
      </c>
      <c r="G127" s="3">
        <v>0.21666666666666667</v>
      </c>
      <c r="H127" s="1" t="s">
        <v>11</v>
      </c>
      <c r="I127" t="s">
        <v>8</v>
      </c>
      <c r="J127" t="s">
        <v>601</v>
      </c>
      <c r="K127" s="9">
        <v>41.82</v>
      </c>
      <c r="L127" t="s">
        <v>17</v>
      </c>
      <c r="M127">
        <v>126</v>
      </c>
      <c r="N127" t="s">
        <v>593</v>
      </c>
      <c r="O127" s="3">
        <f>(Sala[[#This Row],[Hora de Salida]]-Sala[[#This Row],[Hora de llegada]])+IF(Sala[[#This Row],[Estado de la Mesa]]="Ocupada",(TEXT((15/(60*24)),"h:mm")),(TEXT(0,"h:mm")))</f>
        <v>0.10208333333333335</v>
      </c>
      <c r="P127" s="43">
        <f>(SUMIF(Cocina[Número de Orden],Sala[[#This Row],[Número de Orden]],Cocina[Tiempo de Preparación]))</f>
        <v>139</v>
      </c>
      <c r="Q127" s="5" t="str">
        <f>TEXT(((SUMIF(Cocina[Número de Orden],Sala[[#This Row],[Número de Orden]],Cocina[Tiempo de Preparación]))/(60*24)),"h:mm")</f>
        <v>2:19</v>
      </c>
      <c r="R127" s="3">
        <f>MAX((Sala[[#This Row],[Tiempo de permanencia]]-Sala[[#This Row],[Tiempo de preparación (h)]]),0)</f>
        <v>5.5555555555555636E-3</v>
      </c>
      <c r="S127" s="8">
        <f>SUMIF(Cocina[Número de Orden],Sala[[#This Row],[Número de Orden]],Cocina[Ganancia bruta])</f>
        <v>165</v>
      </c>
      <c r="T127" s="8">
        <f>SUMIF(Cocina[Número de Orden],Sala[[#This Row],[Número de Orden]],Cocina[Costo Unitario])</f>
        <v>69</v>
      </c>
      <c r="U127" s="2">
        <f>Sala[[#This Row],[Fecha de Salida]]</f>
        <v>45018</v>
      </c>
      <c r="V127" s="7" t="str">
        <f>TEXT(Sala[[#This Row],[Fecha factura]],"dddd")</f>
        <v>domingo</v>
      </c>
      <c r="W127" t="str">
        <f>IF(Sala[[#This Row],[Tiempo de degustación]]&gt;0,"Sí","No")</f>
        <v>Sí</v>
      </c>
      <c r="X127" t="str">
        <f>IF(Sala[[#This Row],[Cobrada]]="Sí",Sala[[#This Row],[Método de Pago]],"Impago")</f>
        <v>Tarjeta de crédito</v>
      </c>
      <c r="Y127">
        <f>IF(Sala[[#This Row],[Cobrada]]="Sí",Sala[[#This Row],[Propina]],0)</f>
        <v>41.82</v>
      </c>
      <c r="Z127">
        <f>(IF(Sala[[#This Row],[Cobrada]]="Sí",Sala[[#This Row],[Monto total]],0))+Sala[[#This Row],[Propina real]]</f>
        <v>206.82</v>
      </c>
    </row>
    <row r="128" spans="1:26" x14ac:dyDescent="0.25">
      <c r="A128">
        <v>6</v>
      </c>
      <c r="B128" t="s">
        <v>162</v>
      </c>
      <c r="C128">
        <v>4</v>
      </c>
      <c r="D128" s="2">
        <v>45018</v>
      </c>
      <c r="E128" s="3">
        <v>2.9166666666666667E-2</v>
      </c>
      <c r="F128" s="2">
        <v>45018</v>
      </c>
      <c r="G128" s="3">
        <v>0.10277777777777777</v>
      </c>
      <c r="H128" s="1" t="s">
        <v>23</v>
      </c>
      <c r="I128" t="s">
        <v>8</v>
      </c>
      <c r="J128" t="s">
        <v>601</v>
      </c>
      <c r="K128" s="9">
        <v>32.82</v>
      </c>
      <c r="L128" t="s">
        <v>17</v>
      </c>
      <c r="M128">
        <v>127</v>
      </c>
      <c r="N128" t="s">
        <v>59</v>
      </c>
      <c r="O128" s="3">
        <f>(Sala[[#This Row],[Hora de Salida]]-Sala[[#This Row],[Hora de llegada]])+IF(Sala[[#This Row],[Estado de la Mesa]]="Ocupada",(TEXT((15/(60*24)),"h:mm")),(TEXT(0,"h:mm")))</f>
        <v>7.3611111111111099E-2</v>
      </c>
      <c r="P128" s="43">
        <f>(SUMIF(Cocina[Número de Orden],Sala[[#This Row],[Número de Orden]],Cocina[Tiempo de Preparación]))</f>
        <v>30</v>
      </c>
      <c r="Q128" s="5" t="str">
        <f>TEXT(((SUMIF(Cocina[Número de Orden],Sala[[#This Row],[Número de Orden]],Cocina[Tiempo de Preparación]))/(60*24)),"h:mm")</f>
        <v>0:30</v>
      </c>
      <c r="R128" s="3">
        <f>MAX((Sala[[#This Row],[Tiempo de permanencia]]-Sala[[#This Row],[Tiempo de preparación (h)]]),0)</f>
        <v>5.2777777777777771E-2</v>
      </c>
      <c r="S128" s="8">
        <f>SUMIF(Cocina[Número de Orden],Sala[[#This Row],[Número de Orden]],Cocina[Ganancia bruta])</f>
        <v>72</v>
      </c>
      <c r="T128" s="8">
        <f>SUMIF(Cocina[Número de Orden],Sala[[#This Row],[Número de Orden]],Cocina[Costo Unitario])</f>
        <v>22</v>
      </c>
      <c r="U128" s="2">
        <f>Sala[[#This Row],[Fecha de Salida]]</f>
        <v>45018</v>
      </c>
      <c r="V128" s="7" t="str">
        <f>TEXT(Sala[[#This Row],[Fecha factura]],"dddd")</f>
        <v>domingo</v>
      </c>
      <c r="W128" t="str">
        <f>IF(Sala[[#This Row],[Tiempo de degustación]]&gt;0,"Sí","No")</f>
        <v>Sí</v>
      </c>
      <c r="X128" t="str">
        <f>IF(Sala[[#This Row],[Cobrada]]="Sí",Sala[[#This Row],[Método de Pago]],"Impago")</f>
        <v>Tarjeta de crédito</v>
      </c>
      <c r="Y128">
        <f>IF(Sala[[#This Row],[Cobrada]]="Sí",Sala[[#This Row],[Propina]],0)</f>
        <v>32.82</v>
      </c>
      <c r="Z128">
        <f>(IF(Sala[[#This Row],[Cobrada]]="Sí",Sala[[#This Row],[Monto total]],0))+Sala[[#This Row],[Propina real]]</f>
        <v>104.82</v>
      </c>
    </row>
    <row r="129" spans="1:26" x14ac:dyDescent="0.25">
      <c r="A129">
        <v>2</v>
      </c>
      <c r="B129" t="s">
        <v>163</v>
      </c>
      <c r="C129">
        <v>5</v>
      </c>
      <c r="D129" s="2">
        <v>45018</v>
      </c>
      <c r="E129" s="3">
        <v>6.3194444444444442E-2</v>
      </c>
      <c r="F129" s="2">
        <v>45018</v>
      </c>
      <c r="G129" s="3">
        <v>0.14444444444444443</v>
      </c>
      <c r="H129" s="1" t="s">
        <v>16</v>
      </c>
      <c r="I129" t="s">
        <v>8</v>
      </c>
      <c r="J129" t="s">
        <v>13</v>
      </c>
      <c r="K129" s="9">
        <v>49.36</v>
      </c>
      <c r="L129" t="s">
        <v>28</v>
      </c>
      <c r="M129">
        <v>128</v>
      </c>
      <c r="N129" t="s">
        <v>34</v>
      </c>
      <c r="O129" s="3">
        <f>(Sala[[#This Row],[Hora de Salida]]-Sala[[#This Row],[Hora de llegada]])+IF(Sala[[#This Row],[Estado de la Mesa]]="Ocupada",(TEXT((15/(60*24)),"h:mm")),(TEXT(0,"h:mm")))</f>
        <v>9.166666666666666E-2</v>
      </c>
      <c r="P129" s="43">
        <f>(SUMIF(Cocina[Número de Orden],Sala[[#This Row],[Número de Orden]],Cocina[Tiempo de Preparación]))</f>
        <v>172</v>
      </c>
      <c r="Q129" s="5" t="str">
        <f>TEXT(((SUMIF(Cocina[Número de Orden],Sala[[#This Row],[Número de Orden]],Cocina[Tiempo de Preparación]))/(60*24)),"h:mm")</f>
        <v>2:52</v>
      </c>
      <c r="R129" s="3">
        <f>MAX((Sala[[#This Row],[Tiempo de permanencia]]-Sala[[#This Row],[Tiempo de preparación (h)]]),0)</f>
        <v>0</v>
      </c>
      <c r="S129" s="8">
        <f>SUMIF(Cocina[Número de Orden],Sala[[#This Row],[Número de Orden]],Cocina[Ganancia bruta])</f>
        <v>239</v>
      </c>
      <c r="T129" s="8">
        <f>SUMIF(Cocina[Número de Orden],Sala[[#This Row],[Número de Orden]],Cocina[Costo Unitario])</f>
        <v>58</v>
      </c>
      <c r="U129" s="2">
        <f>Sala[[#This Row],[Fecha de Salida]]</f>
        <v>45018</v>
      </c>
      <c r="V129" s="7" t="str">
        <f>TEXT(Sala[[#This Row],[Fecha factura]],"dddd")</f>
        <v>domingo</v>
      </c>
      <c r="W129" t="str">
        <f>IF(Sala[[#This Row],[Tiempo de degustación]]&gt;0,"Sí","No")</f>
        <v>No</v>
      </c>
      <c r="X129" t="str">
        <f>IF(Sala[[#This Row],[Cobrada]]="Sí",Sala[[#This Row],[Método de Pago]],"Impago")</f>
        <v>Impago</v>
      </c>
      <c r="Y129">
        <f>IF(Sala[[#This Row],[Cobrada]]="Sí",Sala[[#This Row],[Propina]],0)</f>
        <v>0</v>
      </c>
      <c r="Z129">
        <f>(IF(Sala[[#This Row],[Cobrada]]="Sí",Sala[[#This Row],[Monto total]],0))+Sala[[#This Row],[Propina real]]</f>
        <v>0</v>
      </c>
    </row>
    <row r="130" spans="1:26" x14ac:dyDescent="0.25">
      <c r="A130">
        <v>16</v>
      </c>
      <c r="B130" t="s">
        <v>164</v>
      </c>
      <c r="C130">
        <v>5</v>
      </c>
      <c r="D130" s="2">
        <v>45018</v>
      </c>
      <c r="E130" s="3">
        <v>2.8472222222222222E-2</v>
      </c>
      <c r="F130" s="2">
        <v>45018</v>
      </c>
      <c r="G130" s="3">
        <v>0.11180555555555556</v>
      </c>
      <c r="H130" s="1" t="s">
        <v>16</v>
      </c>
      <c r="I130" t="s">
        <v>8</v>
      </c>
      <c r="J130" t="s">
        <v>601</v>
      </c>
      <c r="K130" s="9">
        <v>49.3</v>
      </c>
      <c r="L130" t="s">
        <v>9</v>
      </c>
      <c r="M130">
        <v>129</v>
      </c>
      <c r="N130" t="s">
        <v>593</v>
      </c>
      <c r="O130" s="3">
        <f>(Sala[[#This Row],[Hora de Salida]]-Sala[[#This Row],[Hora de llegada]])+IF(Sala[[#This Row],[Estado de la Mesa]]="Ocupada",(TEXT((15/(60*24)),"h:mm")),(TEXT(0,"h:mm")))</f>
        <v>8.3333333333333343E-2</v>
      </c>
      <c r="P130" s="43">
        <f>(SUMIF(Cocina[Número de Orden],Sala[[#This Row],[Número de Orden]],Cocina[Tiempo de Preparación]))</f>
        <v>80</v>
      </c>
      <c r="Q130" s="5" t="str">
        <f>TEXT(((SUMIF(Cocina[Número de Orden],Sala[[#This Row],[Número de Orden]],Cocina[Tiempo de Preparación]))/(60*24)),"h:mm")</f>
        <v>1:20</v>
      </c>
      <c r="R130" s="3">
        <f>MAX((Sala[[#This Row],[Tiempo de permanencia]]-Sala[[#This Row],[Tiempo de preparación (h)]]),0)</f>
        <v>2.777777777777779E-2</v>
      </c>
      <c r="S130" s="8">
        <f>SUMIF(Cocina[Número de Orden],Sala[[#This Row],[Número de Orden]],Cocina[Ganancia bruta])</f>
        <v>106</v>
      </c>
      <c r="T130" s="8">
        <f>SUMIF(Cocina[Número de Orden],Sala[[#This Row],[Número de Orden]],Cocina[Costo Unitario])</f>
        <v>40</v>
      </c>
      <c r="U130" s="2">
        <f>Sala[[#This Row],[Fecha de Salida]]</f>
        <v>45018</v>
      </c>
      <c r="V130" s="7" t="str">
        <f>TEXT(Sala[[#This Row],[Fecha factura]],"dddd")</f>
        <v>domingo</v>
      </c>
      <c r="W130" t="str">
        <f>IF(Sala[[#This Row],[Tiempo de degustación]]&gt;0,"Sí","No")</f>
        <v>Sí</v>
      </c>
      <c r="X130" t="str">
        <f>IF(Sala[[#This Row],[Cobrada]]="Sí",Sala[[#This Row],[Método de Pago]],"Impago")</f>
        <v>Tarjeta de crédito</v>
      </c>
      <c r="Y130">
        <f>IF(Sala[[#This Row],[Cobrada]]="Sí",Sala[[#This Row],[Propina]],0)</f>
        <v>49.3</v>
      </c>
      <c r="Z130">
        <f>(IF(Sala[[#This Row],[Cobrada]]="Sí",Sala[[#This Row],[Monto total]],0))+Sala[[#This Row],[Propina real]]</f>
        <v>155.30000000000001</v>
      </c>
    </row>
    <row r="131" spans="1:26" x14ac:dyDescent="0.25">
      <c r="A131">
        <v>10</v>
      </c>
      <c r="B131" t="s">
        <v>165</v>
      </c>
      <c r="C131">
        <v>4</v>
      </c>
      <c r="D131" s="2">
        <v>45018</v>
      </c>
      <c r="E131" s="3">
        <v>1.8055555555555554E-2</v>
      </c>
      <c r="F131" s="2">
        <v>45018</v>
      </c>
      <c r="G131" s="3">
        <v>6.3888888888888884E-2</v>
      </c>
      <c r="H131" s="1" t="s">
        <v>16</v>
      </c>
      <c r="I131" t="s">
        <v>8</v>
      </c>
      <c r="J131" t="s">
        <v>601</v>
      </c>
      <c r="K131" s="9">
        <v>38.130000000000003</v>
      </c>
      <c r="L131" t="s">
        <v>17</v>
      </c>
      <c r="M131">
        <v>130</v>
      </c>
      <c r="N131" t="s">
        <v>14</v>
      </c>
      <c r="O131" s="3">
        <f>(Sala[[#This Row],[Hora de Salida]]-Sala[[#This Row],[Hora de llegada]])+IF(Sala[[#This Row],[Estado de la Mesa]]="Ocupada",(TEXT((15/(60*24)),"h:mm")),(TEXT(0,"h:mm")))</f>
        <v>4.583333333333333E-2</v>
      </c>
      <c r="P131" s="43">
        <f>(SUMIF(Cocina[Número de Orden],Sala[[#This Row],[Número de Orden]],Cocina[Tiempo de Preparación]))</f>
        <v>25</v>
      </c>
      <c r="Q131" s="5" t="str">
        <f>TEXT(((SUMIF(Cocina[Número de Orden],Sala[[#This Row],[Número de Orden]],Cocina[Tiempo de Preparación]))/(60*24)),"h:mm")</f>
        <v>0:25</v>
      </c>
      <c r="R131" s="3">
        <f>MAX((Sala[[#This Row],[Tiempo de permanencia]]-Sala[[#This Row],[Tiempo de preparación (h)]]),0)</f>
        <v>2.8472222222222218E-2</v>
      </c>
      <c r="S131" s="8">
        <f>SUMIF(Cocina[Número de Orden],Sala[[#This Row],[Número de Orden]],Cocina[Ganancia bruta])</f>
        <v>35</v>
      </c>
      <c r="T131" s="8">
        <f>SUMIF(Cocina[Número de Orden],Sala[[#This Row],[Número de Orden]],Cocina[Costo Unitario])</f>
        <v>21</v>
      </c>
      <c r="U131" s="2">
        <f>Sala[[#This Row],[Fecha de Salida]]</f>
        <v>45018</v>
      </c>
      <c r="V131" s="7" t="str">
        <f>TEXT(Sala[[#This Row],[Fecha factura]],"dddd")</f>
        <v>domingo</v>
      </c>
      <c r="W131" t="str">
        <f>IF(Sala[[#This Row],[Tiempo de degustación]]&gt;0,"Sí","No")</f>
        <v>Sí</v>
      </c>
      <c r="X131" t="str">
        <f>IF(Sala[[#This Row],[Cobrada]]="Sí",Sala[[#This Row],[Método de Pago]],"Impago")</f>
        <v>Tarjeta de crédito</v>
      </c>
      <c r="Y131">
        <f>IF(Sala[[#This Row],[Cobrada]]="Sí",Sala[[#This Row],[Propina]],0)</f>
        <v>38.130000000000003</v>
      </c>
      <c r="Z131">
        <f>(IF(Sala[[#This Row],[Cobrada]]="Sí",Sala[[#This Row],[Monto total]],0))+Sala[[#This Row],[Propina real]]</f>
        <v>73.13</v>
      </c>
    </row>
    <row r="132" spans="1:26" x14ac:dyDescent="0.25">
      <c r="A132">
        <v>7</v>
      </c>
      <c r="B132" t="s">
        <v>40</v>
      </c>
      <c r="C132">
        <v>5</v>
      </c>
      <c r="D132" s="2">
        <v>45018</v>
      </c>
      <c r="E132" s="3">
        <v>2.9861111111111113E-2</v>
      </c>
      <c r="F132" s="2">
        <v>45018</v>
      </c>
      <c r="G132" s="3">
        <v>0.17916666666666667</v>
      </c>
      <c r="H132" s="1" t="s">
        <v>23</v>
      </c>
      <c r="I132" t="s">
        <v>8</v>
      </c>
      <c r="J132" t="s">
        <v>601</v>
      </c>
      <c r="K132" s="9">
        <v>42.41</v>
      </c>
      <c r="L132" t="s">
        <v>28</v>
      </c>
      <c r="M132">
        <v>131</v>
      </c>
      <c r="N132" t="s">
        <v>44</v>
      </c>
      <c r="O132" s="3">
        <f>(Sala[[#This Row],[Hora de Salida]]-Sala[[#This Row],[Hora de llegada]])+IF(Sala[[#This Row],[Estado de la Mesa]]="Ocupada",(TEXT((15/(60*24)),"h:mm")),(TEXT(0,"h:mm")))</f>
        <v>0.15972222222222221</v>
      </c>
      <c r="P132" s="43">
        <f>(SUMIF(Cocina[Número de Orden],Sala[[#This Row],[Número de Orden]],Cocina[Tiempo de Preparación]))</f>
        <v>120</v>
      </c>
      <c r="Q132" s="5" t="str">
        <f>TEXT(((SUMIF(Cocina[Número de Orden],Sala[[#This Row],[Número de Orden]],Cocina[Tiempo de Preparación]))/(60*24)),"h:mm")</f>
        <v>2:00</v>
      </c>
      <c r="R132" s="3">
        <f>MAX((Sala[[#This Row],[Tiempo de permanencia]]-Sala[[#This Row],[Tiempo de preparación (h)]]),0)</f>
        <v>7.6388888888888881E-2</v>
      </c>
      <c r="S132" s="8">
        <f>SUMIF(Cocina[Número de Orden],Sala[[#This Row],[Número de Orden]],Cocina[Ganancia bruta])</f>
        <v>157</v>
      </c>
      <c r="T132" s="8">
        <f>SUMIF(Cocina[Número de Orden],Sala[[#This Row],[Número de Orden]],Cocina[Costo Unitario])</f>
        <v>48</v>
      </c>
      <c r="U132" s="2">
        <f>Sala[[#This Row],[Fecha de Salida]]</f>
        <v>45018</v>
      </c>
      <c r="V132" s="7" t="str">
        <f>TEXT(Sala[[#This Row],[Fecha factura]],"dddd")</f>
        <v>domingo</v>
      </c>
      <c r="W132" t="str">
        <f>IF(Sala[[#This Row],[Tiempo de degustación]]&gt;0,"Sí","No")</f>
        <v>Sí</v>
      </c>
      <c r="X132" t="str">
        <f>IF(Sala[[#This Row],[Cobrada]]="Sí",Sala[[#This Row],[Método de Pago]],"Impago")</f>
        <v>Tarjeta de crédito</v>
      </c>
      <c r="Y132">
        <f>IF(Sala[[#This Row],[Cobrada]]="Sí",Sala[[#This Row],[Propina]],0)</f>
        <v>42.41</v>
      </c>
      <c r="Z132">
        <f>(IF(Sala[[#This Row],[Cobrada]]="Sí",Sala[[#This Row],[Monto total]],0))+Sala[[#This Row],[Propina real]]</f>
        <v>199.41</v>
      </c>
    </row>
    <row r="133" spans="1:26" x14ac:dyDescent="0.25">
      <c r="A133">
        <v>9</v>
      </c>
      <c r="B133" t="s">
        <v>166</v>
      </c>
      <c r="C133">
        <v>2</v>
      </c>
      <c r="D133" s="2">
        <v>45018</v>
      </c>
      <c r="E133" s="3">
        <v>5.9722222222222225E-2</v>
      </c>
      <c r="F133" s="2">
        <v>45018</v>
      </c>
      <c r="G133" s="3">
        <v>0.11319444444444444</v>
      </c>
      <c r="H133" s="1" t="s">
        <v>7</v>
      </c>
      <c r="I133" t="s">
        <v>25</v>
      </c>
      <c r="J133" t="s">
        <v>600</v>
      </c>
      <c r="K133" s="9">
        <v>30.96</v>
      </c>
      <c r="L133" t="s">
        <v>9</v>
      </c>
      <c r="M133">
        <v>132</v>
      </c>
      <c r="N133" t="s">
        <v>32</v>
      </c>
      <c r="O133" s="3">
        <f>(Sala[[#This Row],[Hora de Salida]]-Sala[[#This Row],[Hora de llegada]])+IF(Sala[[#This Row],[Estado de la Mesa]]="Ocupada",(TEXT((15/(60*24)),"h:mm")),(TEXT(0,"h:mm")))</f>
        <v>5.347222222222222E-2</v>
      </c>
      <c r="P133" s="43">
        <f>(SUMIF(Cocina[Número de Orden],Sala[[#This Row],[Número de Orden]],Cocina[Tiempo de Preparación]))</f>
        <v>102</v>
      </c>
      <c r="Q133" s="5" t="str">
        <f>TEXT(((SUMIF(Cocina[Número de Orden],Sala[[#This Row],[Número de Orden]],Cocina[Tiempo de Preparación]))/(60*24)),"h:mm")</f>
        <v>1:42</v>
      </c>
      <c r="R133" s="3">
        <f>MAX((Sala[[#This Row],[Tiempo de permanencia]]-Sala[[#This Row],[Tiempo de preparación (h)]]),0)</f>
        <v>0</v>
      </c>
      <c r="S133" s="8">
        <f>SUMIF(Cocina[Número de Orden],Sala[[#This Row],[Número de Orden]],Cocina[Ganancia bruta])</f>
        <v>206</v>
      </c>
      <c r="T133" s="8">
        <f>SUMIF(Cocina[Número de Orden],Sala[[#This Row],[Número de Orden]],Cocina[Costo Unitario])</f>
        <v>70</v>
      </c>
      <c r="U133" s="2">
        <f>Sala[[#This Row],[Fecha de Salida]]</f>
        <v>45018</v>
      </c>
      <c r="V133" s="7" t="str">
        <f>TEXT(Sala[[#This Row],[Fecha factura]],"dddd")</f>
        <v>domingo</v>
      </c>
      <c r="W133" t="str">
        <f>IF(Sala[[#This Row],[Tiempo de degustación]]&gt;0,"Sí","No")</f>
        <v>No</v>
      </c>
      <c r="X133" t="str">
        <f>IF(Sala[[#This Row],[Cobrada]]="Sí",Sala[[#This Row],[Método de Pago]],"Impago")</f>
        <v>Impago</v>
      </c>
      <c r="Y133">
        <f>IF(Sala[[#This Row],[Cobrada]]="Sí",Sala[[#This Row],[Propina]],0)</f>
        <v>0</v>
      </c>
      <c r="Z133">
        <f>(IF(Sala[[#This Row],[Cobrada]]="Sí",Sala[[#This Row],[Monto total]],0))+Sala[[#This Row],[Propina real]]</f>
        <v>0</v>
      </c>
    </row>
    <row r="134" spans="1:26" x14ac:dyDescent="0.25">
      <c r="A134">
        <v>20</v>
      </c>
      <c r="B134" t="s">
        <v>167</v>
      </c>
      <c r="C134">
        <v>6</v>
      </c>
      <c r="D134" s="2">
        <v>45018</v>
      </c>
      <c r="E134" s="3">
        <v>3.7499999999999999E-2</v>
      </c>
      <c r="F134" s="2">
        <v>45018</v>
      </c>
      <c r="G134" s="3">
        <v>0.16111111111111112</v>
      </c>
      <c r="H134" s="1" t="s">
        <v>16</v>
      </c>
      <c r="I134" t="s">
        <v>8</v>
      </c>
      <c r="J134" t="s">
        <v>601</v>
      </c>
      <c r="K134" s="9">
        <v>39.74</v>
      </c>
      <c r="L134" t="s">
        <v>28</v>
      </c>
      <c r="M134">
        <v>133</v>
      </c>
      <c r="N134" t="s">
        <v>47</v>
      </c>
      <c r="O134" s="3">
        <f>(Sala[[#This Row],[Hora de Salida]]-Sala[[#This Row],[Hora de llegada]])+IF(Sala[[#This Row],[Estado de la Mesa]]="Ocupada",(TEXT((15/(60*24)),"h:mm")),(TEXT(0,"h:mm")))</f>
        <v>0.13402777777777777</v>
      </c>
      <c r="P134" s="43">
        <f>(SUMIF(Cocina[Número de Orden],Sala[[#This Row],[Número de Orden]],Cocina[Tiempo de Preparación]))</f>
        <v>107</v>
      </c>
      <c r="Q134" s="5" t="str">
        <f>TEXT(((SUMIF(Cocina[Número de Orden],Sala[[#This Row],[Número de Orden]],Cocina[Tiempo de Preparación]))/(60*24)),"h:mm")</f>
        <v>1:47</v>
      </c>
      <c r="R134" s="3">
        <f>MAX((Sala[[#This Row],[Tiempo de permanencia]]-Sala[[#This Row],[Tiempo de preparación (h)]]),0)</f>
        <v>5.9722222222222218E-2</v>
      </c>
      <c r="S134" s="8">
        <f>SUMIF(Cocina[Número de Orden],Sala[[#This Row],[Número de Orden]],Cocina[Ganancia bruta])</f>
        <v>182</v>
      </c>
      <c r="T134" s="8">
        <f>SUMIF(Cocina[Número de Orden],Sala[[#This Row],[Número de Orden]],Cocina[Costo Unitario])</f>
        <v>68</v>
      </c>
      <c r="U134" s="2">
        <f>Sala[[#This Row],[Fecha de Salida]]</f>
        <v>45018</v>
      </c>
      <c r="V134" s="7" t="str">
        <f>TEXT(Sala[[#This Row],[Fecha factura]],"dddd")</f>
        <v>domingo</v>
      </c>
      <c r="W134" t="str">
        <f>IF(Sala[[#This Row],[Tiempo de degustación]]&gt;0,"Sí","No")</f>
        <v>Sí</v>
      </c>
      <c r="X134" t="str">
        <f>IF(Sala[[#This Row],[Cobrada]]="Sí",Sala[[#This Row],[Método de Pago]],"Impago")</f>
        <v>Tarjeta de crédito</v>
      </c>
      <c r="Y134">
        <f>IF(Sala[[#This Row],[Cobrada]]="Sí",Sala[[#This Row],[Propina]],0)</f>
        <v>39.74</v>
      </c>
      <c r="Z134">
        <f>(IF(Sala[[#This Row],[Cobrada]]="Sí",Sala[[#This Row],[Monto total]],0))+Sala[[#This Row],[Propina real]]</f>
        <v>221.74</v>
      </c>
    </row>
    <row r="135" spans="1:26" x14ac:dyDescent="0.25">
      <c r="A135">
        <v>3</v>
      </c>
      <c r="B135" t="s">
        <v>168</v>
      </c>
      <c r="C135">
        <v>6</v>
      </c>
      <c r="D135" s="2">
        <v>45018</v>
      </c>
      <c r="E135" s="3">
        <v>4.8611111111111112E-3</v>
      </c>
      <c r="F135" s="2">
        <v>45018</v>
      </c>
      <c r="G135" s="3">
        <v>0.16111111111111112</v>
      </c>
      <c r="H135" s="1" t="s">
        <v>11</v>
      </c>
      <c r="I135" t="s">
        <v>25</v>
      </c>
      <c r="J135" t="s">
        <v>601</v>
      </c>
      <c r="K135" s="9">
        <v>30.1</v>
      </c>
      <c r="L135" t="s">
        <v>17</v>
      </c>
      <c r="M135">
        <v>134</v>
      </c>
      <c r="N135" t="s">
        <v>34</v>
      </c>
      <c r="O135" s="3">
        <f>(Sala[[#This Row],[Hora de Salida]]-Sala[[#This Row],[Hora de llegada]])+IF(Sala[[#This Row],[Estado de la Mesa]]="Ocupada",(TEXT((15/(60*24)),"h:mm")),(TEXT(0,"h:mm")))</f>
        <v>0.15625</v>
      </c>
      <c r="P135" s="43">
        <f>(SUMIF(Cocina[Número de Orden],Sala[[#This Row],[Número de Orden]],Cocina[Tiempo de Preparación]))</f>
        <v>48</v>
      </c>
      <c r="Q135" s="5" t="str">
        <f>TEXT(((SUMIF(Cocina[Número de Orden],Sala[[#This Row],[Número de Orden]],Cocina[Tiempo de Preparación]))/(60*24)),"h:mm")</f>
        <v>0:48</v>
      </c>
      <c r="R135" s="3">
        <f>MAX((Sala[[#This Row],[Tiempo de permanencia]]-Sala[[#This Row],[Tiempo de preparación (h)]]),0)</f>
        <v>0.12291666666666667</v>
      </c>
      <c r="S135" s="8">
        <f>SUMIF(Cocina[Número de Orden],Sala[[#This Row],[Número de Orden]],Cocina[Ganancia bruta])</f>
        <v>120</v>
      </c>
      <c r="T135" s="8">
        <f>SUMIF(Cocina[Número de Orden],Sala[[#This Row],[Número de Orden]],Cocina[Costo Unitario])</f>
        <v>33</v>
      </c>
      <c r="U135" s="2">
        <f>Sala[[#This Row],[Fecha de Salida]]</f>
        <v>45018</v>
      </c>
      <c r="V135" s="7" t="str">
        <f>TEXT(Sala[[#This Row],[Fecha factura]],"dddd")</f>
        <v>domingo</v>
      </c>
      <c r="W135" t="str">
        <f>IF(Sala[[#This Row],[Tiempo de degustación]]&gt;0,"Sí","No")</f>
        <v>Sí</v>
      </c>
      <c r="X135" t="str">
        <f>IF(Sala[[#This Row],[Cobrada]]="Sí",Sala[[#This Row],[Método de Pago]],"Impago")</f>
        <v>Tarjeta de crédito</v>
      </c>
      <c r="Y135">
        <f>IF(Sala[[#This Row],[Cobrada]]="Sí",Sala[[#This Row],[Propina]],0)</f>
        <v>30.1</v>
      </c>
      <c r="Z135">
        <f>(IF(Sala[[#This Row],[Cobrada]]="Sí",Sala[[#This Row],[Monto total]],0))+Sala[[#This Row],[Propina real]]</f>
        <v>150.1</v>
      </c>
    </row>
    <row r="136" spans="1:26" x14ac:dyDescent="0.25">
      <c r="A136">
        <v>11</v>
      </c>
      <c r="B136" t="s">
        <v>169</v>
      </c>
      <c r="C136">
        <v>1</v>
      </c>
      <c r="D136" s="2">
        <v>45018</v>
      </c>
      <c r="E136" s="3">
        <v>4.1666666666666664E-2</v>
      </c>
      <c r="F136" s="2">
        <v>45018</v>
      </c>
      <c r="G136" s="3">
        <v>0.12569444444444444</v>
      </c>
      <c r="H136" s="1" t="s">
        <v>20</v>
      </c>
      <c r="I136" t="s">
        <v>25</v>
      </c>
      <c r="J136" t="s">
        <v>601</v>
      </c>
      <c r="K136" s="9">
        <v>34.700000000000003</v>
      </c>
      <c r="L136" t="s">
        <v>28</v>
      </c>
      <c r="M136">
        <v>135</v>
      </c>
      <c r="N136" t="s">
        <v>18</v>
      </c>
      <c r="O136" s="3">
        <f>(Sala[[#This Row],[Hora de Salida]]-Sala[[#This Row],[Hora de llegada]])+IF(Sala[[#This Row],[Estado de la Mesa]]="Ocupada",(TEXT((15/(60*24)),"h:mm")),(TEXT(0,"h:mm")))</f>
        <v>9.4444444444444456E-2</v>
      </c>
      <c r="P136" s="43">
        <f>(SUMIF(Cocina[Número de Orden],Sala[[#This Row],[Número de Orden]],Cocina[Tiempo de Preparación]))</f>
        <v>88</v>
      </c>
      <c r="Q136" s="5" t="str">
        <f>TEXT(((SUMIF(Cocina[Número de Orden],Sala[[#This Row],[Número de Orden]],Cocina[Tiempo de Preparación]))/(60*24)),"h:mm")</f>
        <v>1:28</v>
      </c>
      <c r="R136" s="3">
        <f>MAX((Sala[[#This Row],[Tiempo de permanencia]]-Sala[[#This Row],[Tiempo de preparación (h)]]),0)</f>
        <v>3.3333333333333347E-2</v>
      </c>
      <c r="S136" s="8">
        <f>SUMIF(Cocina[Número de Orden],Sala[[#This Row],[Número de Orden]],Cocina[Ganancia bruta])</f>
        <v>260</v>
      </c>
      <c r="T136" s="8">
        <f>SUMIF(Cocina[Número de Orden],Sala[[#This Row],[Número de Orden]],Cocina[Costo Unitario])</f>
        <v>61</v>
      </c>
      <c r="U136" s="2">
        <f>Sala[[#This Row],[Fecha de Salida]]</f>
        <v>45018</v>
      </c>
      <c r="V136" s="7" t="str">
        <f>TEXT(Sala[[#This Row],[Fecha factura]],"dddd")</f>
        <v>domingo</v>
      </c>
      <c r="W136" t="str">
        <f>IF(Sala[[#This Row],[Tiempo de degustación]]&gt;0,"Sí","No")</f>
        <v>Sí</v>
      </c>
      <c r="X136" t="str">
        <f>IF(Sala[[#This Row],[Cobrada]]="Sí",Sala[[#This Row],[Método de Pago]],"Impago")</f>
        <v>Tarjeta de crédito</v>
      </c>
      <c r="Y136">
        <f>IF(Sala[[#This Row],[Cobrada]]="Sí",Sala[[#This Row],[Propina]],0)</f>
        <v>34.700000000000003</v>
      </c>
      <c r="Z136">
        <f>(IF(Sala[[#This Row],[Cobrada]]="Sí",Sala[[#This Row],[Monto total]],0))+Sala[[#This Row],[Propina real]]</f>
        <v>294.7</v>
      </c>
    </row>
    <row r="137" spans="1:26" x14ac:dyDescent="0.25">
      <c r="A137">
        <v>6</v>
      </c>
      <c r="B137" t="s">
        <v>170</v>
      </c>
      <c r="C137">
        <v>1</v>
      </c>
      <c r="D137" s="2">
        <v>45018</v>
      </c>
      <c r="E137" s="3">
        <v>7.6388888888888895E-2</v>
      </c>
      <c r="F137" s="2">
        <v>45018</v>
      </c>
      <c r="G137" s="3">
        <v>0.20902777777777778</v>
      </c>
      <c r="H137" s="1" t="s">
        <v>11</v>
      </c>
      <c r="I137" t="s">
        <v>8</v>
      </c>
      <c r="J137" t="s">
        <v>601</v>
      </c>
      <c r="K137" s="9">
        <v>30.25</v>
      </c>
      <c r="L137" t="s">
        <v>28</v>
      </c>
      <c r="M137">
        <v>136</v>
      </c>
      <c r="N137" t="s">
        <v>32</v>
      </c>
      <c r="O137" s="3">
        <f>(Sala[[#This Row],[Hora de Salida]]-Sala[[#This Row],[Hora de llegada]])+IF(Sala[[#This Row],[Estado de la Mesa]]="Ocupada",(TEXT((15/(60*24)),"h:mm")),(TEXT(0,"h:mm")))</f>
        <v>0.14305555555555555</v>
      </c>
      <c r="P137" s="43">
        <f>(SUMIF(Cocina[Número de Orden],Sala[[#This Row],[Número de Orden]],Cocina[Tiempo de Preparación]))</f>
        <v>13</v>
      </c>
      <c r="Q137" s="5" t="str">
        <f>TEXT(((SUMIF(Cocina[Número de Orden],Sala[[#This Row],[Número de Orden]],Cocina[Tiempo de Preparación]))/(60*24)),"h:mm")</f>
        <v>0:13</v>
      </c>
      <c r="R137" s="3">
        <f>MAX((Sala[[#This Row],[Tiempo de permanencia]]-Sala[[#This Row],[Tiempo de preparación (h)]]),0)</f>
        <v>0.13402777777777777</v>
      </c>
      <c r="S137" s="8">
        <f>SUMIF(Cocina[Número de Orden],Sala[[#This Row],[Número de Orden]],Cocina[Ganancia bruta])</f>
        <v>80</v>
      </c>
      <c r="T137" s="8">
        <f>SUMIF(Cocina[Número de Orden],Sala[[#This Row],[Número de Orden]],Cocina[Costo Unitario])</f>
        <v>25</v>
      </c>
      <c r="U137" s="2">
        <f>Sala[[#This Row],[Fecha de Salida]]</f>
        <v>45018</v>
      </c>
      <c r="V137" s="7" t="str">
        <f>TEXT(Sala[[#This Row],[Fecha factura]],"dddd")</f>
        <v>domingo</v>
      </c>
      <c r="W137" t="str">
        <f>IF(Sala[[#This Row],[Tiempo de degustación]]&gt;0,"Sí","No")</f>
        <v>Sí</v>
      </c>
      <c r="X137" t="str">
        <f>IF(Sala[[#This Row],[Cobrada]]="Sí",Sala[[#This Row],[Método de Pago]],"Impago")</f>
        <v>Tarjeta de crédito</v>
      </c>
      <c r="Y137">
        <f>IF(Sala[[#This Row],[Cobrada]]="Sí",Sala[[#This Row],[Propina]],0)</f>
        <v>30.25</v>
      </c>
      <c r="Z137">
        <f>(IF(Sala[[#This Row],[Cobrada]]="Sí",Sala[[#This Row],[Monto total]],0))+Sala[[#This Row],[Propina real]]</f>
        <v>110.25</v>
      </c>
    </row>
    <row r="138" spans="1:26" x14ac:dyDescent="0.25">
      <c r="A138">
        <v>13</v>
      </c>
      <c r="B138" t="s">
        <v>171</v>
      </c>
      <c r="C138">
        <v>3</v>
      </c>
      <c r="D138" s="2">
        <v>45018</v>
      </c>
      <c r="E138" s="3">
        <v>5.6250000000000001E-2</v>
      </c>
      <c r="F138" s="2">
        <v>45018</v>
      </c>
      <c r="G138" s="3">
        <v>0.17430555555555555</v>
      </c>
      <c r="H138" s="1" t="s">
        <v>23</v>
      </c>
      <c r="I138" t="s">
        <v>12</v>
      </c>
      <c r="J138" t="s">
        <v>601</v>
      </c>
      <c r="K138" s="9">
        <v>12.4</v>
      </c>
      <c r="L138" t="s">
        <v>28</v>
      </c>
      <c r="M138">
        <v>137</v>
      </c>
      <c r="N138" t="s">
        <v>14</v>
      </c>
      <c r="O138" s="3">
        <f>(Sala[[#This Row],[Hora de Salida]]-Sala[[#This Row],[Hora de llegada]])+IF(Sala[[#This Row],[Estado de la Mesa]]="Ocupada",(TEXT((15/(60*24)),"h:mm")),(TEXT(0,"h:mm")))</f>
        <v>0.12847222222222221</v>
      </c>
      <c r="P138" s="43">
        <f>(SUMIF(Cocina[Número de Orden],Sala[[#This Row],[Número de Orden]],Cocina[Tiempo de Preparación]))</f>
        <v>41</v>
      </c>
      <c r="Q138" s="5" t="str">
        <f>TEXT(((SUMIF(Cocina[Número de Orden],Sala[[#This Row],[Número de Orden]],Cocina[Tiempo de Preparación]))/(60*24)),"h:mm")</f>
        <v>0:41</v>
      </c>
      <c r="R138" s="3">
        <f>MAX((Sala[[#This Row],[Tiempo de permanencia]]-Sala[[#This Row],[Tiempo de preparación (h)]]),0)</f>
        <v>9.9999999999999992E-2</v>
      </c>
      <c r="S138" s="8">
        <f>SUMIF(Cocina[Número de Orden],Sala[[#This Row],[Número de Orden]],Cocina[Ganancia bruta])</f>
        <v>63</v>
      </c>
      <c r="T138" s="8">
        <f>SUMIF(Cocina[Número de Orden],Sala[[#This Row],[Número de Orden]],Cocina[Costo Unitario])</f>
        <v>13</v>
      </c>
      <c r="U138" s="2">
        <f>Sala[[#This Row],[Fecha de Salida]]</f>
        <v>45018</v>
      </c>
      <c r="V138" s="7" t="str">
        <f>TEXT(Sala[[#This Row],[Fecha factura]],"dddd")</f>
        <v>domingo</v>
      </c>
      <c r="W138" t="str">
        <f>IF(Sala[[#This Row],[Tiempo de degustación]]&gt;0,"Sí","No")</f>
        <v>Sí</v>
      </c>
      <c r="X138" t="str">
        <f>IF(Sala[[#This Row],[Cobrada]]="Sí",Sala[[#This Row],[Método de Pago]],"Impago")</f>
        <v>Tarjeta de crédito</v>
      </c>
      <c r="Y138">
        <f>IF(Sala[[#This Row],[Cobrada]]="Sí",Sala[[#This Row],[Propina]],0)</f>
        <v>12.4</v>
      </c>
      <c r="Z138">
        <f>(IF(Sala[[#This Row],[Cobrada]]="Sí",Sala[[#This Row],[Monto total]],0))+Sala[[#This Row],[Propina real]]</f>
        <v>75.400000000000006</v>
      </c>
    </row>
    <row r="139" spans="1:26" x14ac:dyDescent="0.25">
      <c r="A139">
        <v>6</v>
      </c>
      <c r="B139" t="s">
        <v>172</v>
      </c>
      <c r="C139">
        <v>2</v>
      </c>
      <c r="D139" s="2">
        <v>45018</v>
      </c>
      <c r="E139" s="3">
        <v>0.15833333333333333</v>
      </c>
      <c r="F139" s="2">
        <v>45018</v>
      </c>
      <c r="G139" s="3">
        <v>0.21458333333333332</v>
      </c>
      <c r="H139" s="1" t="s">
        <v>16</v>
      </c>
      <c r="I139" t="s">
        <v>12</v>
      </c>
      <c r="J139" t="s">
        <v>600</v>
      </c>
      <c r="K139" s="9">
        <v>32.79</v>
      </c>
      <c r="L139" t="s">
        <v>28</v>
      </c>
      <c r="M139">
        <v>138</v>
      </c>
      <c r="N139" t="s">
        <v>29</v>
      </c>
      <c r="O139" s="3">
        <f>(Sala[[#This Row],[Hora de Salida]]-Sala[[#This Row],[Hora de llegada]])+IF(Sala[[#This Row],[Estado de la Mesa]]="Ocupada",(TEXT((15/(60*24)),"h:mm")),(TEXT(0,"h:mm")))</f>
        <v>6.6666666666666666E-2</v>
      </c>
      <c r="P139" s="43">
        <f>(SUMIF(Cocina[Número de Orden],Sala[[#This Row],[Número de Orden]],Cocina[Tiempo de Preparación]))</f>
        <v>97</v>
      </c>
      <c r="Q139" s="5" t="str">
        <f>TEXT(((SUMIF(Cocina[Número de Orden],Sala[[#This Row],[Número de Orden]],Cocina[Tiempo de Preparación]))/(60*24)),"h:mm")</f>
        <v>1:37</v>
      </c>
      <c r="R139" s="3">
        <f>MAX((Sala[[#This Row],[Tiempo de permanencia]]-Sala[[#This Row],[Tiempo de preparación (h)]]),0)</f>
        <v>0</v>
      </c>
      <c r="S139" s="8">
        <f>SUMIF(Cocina[Número de Orden],Sala[[#This Row],[Número de Orden]],Cocina[Ganancia bruta])</f>
        <v>238</v>
      </c>
      <c r="T139" s="8">
        <f>SUMIF(Cocina[Número de Orden],Sala[[#This Row],[Número de Orden]],Cocina[Costo Unitario])</f>
        <v>63</v>
      </c>
      <c r="U139" s="2">
        <f>Sala[[#This Row],[Fecha de Salida]]</f>
        <v>45018</v>
      </c>
      <c r="V139" s="7" t="str">
        <f>TEXT(Sala[[#This Row],[Fecha factura]],"dddd")</f>
        <v>domingo</v>
      </c>
      <c r="W139" t="str">
        <f>IF(Sala[[#This Row],[Tiempo de degustación]]&gt;0,"Sí","No")</f>
        <v>No</v>
      </c>
      <c r="X139" t="str">
        <f>IF(Sala[[#This Row],[Cobrada]]="Sí",Sala[[#This Row],[Método de Pago]],"Impago")</f>
        <v>Impago</v>
      </c>
      <c r="Y139">
        <f>IF(Sala[[#This Row],[Cobrada]]="Sí",Sala[[#This Row],[Propina]],0)</f>
        <v>0</v>
      </c>
      <c r="Z139">
        <f>(IF(Sala[[#This Row],[Cobrada]]="Sí",Sala[[#This Row],[Monto total]],0))+Sala[[#This Row],[Propina real]]</f>
        <v>0</v>
      </c>
    </row>
    <row r="140" spans="1:26" x14ac:dyDescent="0.25">
      <c r="A140">
        <v>16</v>
      </c>
      <c r="B140" t="s">
        <v>173</v>
      </c>
      <c r="C140">
        <v>3</v>
      </c>
      <c r="D140" s="2">
        <v>45018</v>
      </c>
      <c r="E140" s="3">
        <v>2.7777777777777776E-2</v>
      </c>
      <c r="F140" s="2">
        <v>45018</v>
      </c>
      <c r="G140" s="3">
        <v>0.19375000000000001</v>
      </c>
      <c r="H140" s="1" t="s">
        <v>16</v>
      </c>
      <c r="I140" t="s">
        <v>8</v>
      </c>
      <c r="J140" t="s">
        <v>601</v>
      </c>
      <c r="K140" s="9">
        <v>47.2</v>
      </c>
      <c r="L140" t="s">
        <v>17</v>
      </c>
      <c r="M140">
        <v>139</v>
      </c>
      <c r="N140" t="s">
        <v>47</v>
      </c>
      <c r="O140" s="3">
        <f>(Sala[[#This Row],[Hora de Salida]]-Sala[[#This Row],[Hora de llegada]])+IF(Sala[[#This Row],[Estado de la Mesa]]="Ocupada",(TEXT((15/(60*24)),"h:mm")),(TEXT(0,"h:mm")))</f>
        <v>0.16597222222222224</v>
      </c>
      <c r="P140" s="43">
        <f>(SUMIF(Cocina[Número de Orden],Sala[[#This Row],[Número de Orden]],Cocina[Tiempo de Preparación]))</f>
        <v>26</v>
      </c>
      <c r="Q140" s="5" t="str">
        <f>TEXT(((SUMIF(Cocina[Número de Orden],Sala[[#This Row],[Número de Orden]],Cocina[Tiempo de Preparación]))/(60*24)),"h:mm")</f>
        <v>0:26</v>
      </c>
      <c r="R140" s="3">
        <f>MAX((Sala[[#This Row],[Tiempo de permanencia]]-Sala[[#This Row],[Tiempo de preparación (h)]]),0)</f>
        <v>0.1479166666666667</v>
      </c>
      <c r="S140" s="8">
        <f>SUMIF(Cocina[Número de Orden],Sala[[#This Row],[Número de Orden]],Cocina[Ganancia bruta])</f>
        <v>35</v>
      </c>
      <c r="T140" s="8">
        <f>SUMIF(Cocina[Número de Orden],Sala[[#This Row],[Número de Orden]],Cocina[Costo Unitario])</f>
        <v>21</v>
      </c>
      <c r="U140" s="2">
        <f>Sala[[#This Row],[Fecha de Salida]]</f>
        <v>45018</v>
      </c>
      <c r="V140" s="7" t="str">
        <f>TEXT(Sala[[#This Row],[Fecha factura]],"dddd")</f>
        <v>domingo</v>
      </c>
      <c r="W140" t="str">
        <f>IF(Sala[[#This Row],[Tiempo de degustación]]&gt;0,"Sí","No")</f>
        <v>Sí</v>
      </c>
      <c r="X140" t="str">
        <f>IF(Sala[[#This Row],[Cobrada]]="Sí",Sala[[#This Row],[Método de Pago]],"Impago")</f>
        <v>Tarjeta de crédito</v>
      </c>
      <c r="Y140">
        <f>IF(Sala[[#This Row],[Cobrada]]="Sí",Sala[[#This Row],[Propina]],0)</f>
        <v>47.2</v>
      </c>
      <c r="Z140">
        <f>(IF(Sala[[#This Row],[Cobrada]]="Sí",Sala[[#This Row],[Monto total]],0))+Sala[[#This Row],[Propina real]]</f>
        <v>82.2</v>
      </c>
    </row>
    <row r="141" spans="1:26" x14ac:dyDescent="0.25">
      <c r="A141">
        <v>11</v>
      </c>
      <c r="B141" t="s">
        <v>174</v>
      </c>
      <c r="C141">
        <v>4</v>
      </c>
      <c r="D141" s="2">
        <v>45018</v>
      </c>
      <c r="E141" s="3">
        <v>0.15902777777777777</v>
      </c>
      <c r="F141" s="2">
        <v>45018</v>
      </c>
      <c r="G141" s="3">
        <v>0.27013888888888887</v>
      </c>
      <c r="H141" s="1" t="s">
        <v>16</v>
      </c>
      <c r="I141" t="s">
        <v>8</v>
      </c>
      <c r="J141" t="s">
        <v>13</v>
      </c>
      <c r="K141" s="9">
        <v>32.130000000000003</v>
      </c>
      <c r="L141" t="s">
        <v>17</v>
      </c>
      <c r="M141">
        <v>140</v>
      </c>
      <c r="N141" t="s">
        <v>21</v>
      </c>
      <c r="O141" s="3">
        <f>(Sala[[#This Row],[Hora de Salida]]-Sala[[#This Row],[Hora de llegada]])+IF(Sala[[#This Row],[Estado de la Mesa]]="Ocupada",(TEXT((15/(60*24)),"h:mm")),(TEXT(0,"h:mm")))</f>
        <v>0.1111111111111111</v>
      </c>
      <c r="P141" s="43">
        <f>(SUMIF(Cocina[Número de Orden],Sala[[#This Row],[Número de Orden]],Cocina[Tiempo de Preparación]))</f>
        <v>118</v>
      </c>
      <c r="Q141" s="5" t="str">
        <f>TEXT(((SUMIF(Cocina[Número de Orden],Sala[[#This Row],[Número de Orden]],Cocina[Tiempo de Preparación]))/(60*24)),"h:mm")</f>
        <v>1:58</v>
      </c>
      <c r="R141" s="3">
        <f>MAX((Sala[[#This Row],[Tiempo de permanencia]]-Sala[[#This Row],[Tiempo de preparación (h)]]),0)</f>
        <v>2.916666666666666E-2</v>
      </c>
      <c r="S141" s="8">
        <f>SUMIF(Cocina[Número de Orden],Sala[[#This Row],[Número de Orden]],Cocina[Ganancia bruta])</f>
        <v>191</v>
      </c>
      <c r="T141" s="8">
        <f>SUMIF(Cocina[Número de Orden],Sala[[#This Row],[Número de Orden]],Cocina[Costo Unitario])</f>
        <v>46</v>
      </c>
      <c r="U141" s="2">
        <f>Sala[[#This Row],[Fecha de Salida]]</f>
        <v>45018</v>
      </c>
      <c r="V141" s="7" t="str">
        <f>TEXT(Sala[[#This Row],[Fecha factura]],"dddd")</f>
        <v>domingo</v>
      </c>
      <c r="W141" t="str">
        <f>IF(Sala[[#This Row],[Tiempo de degustación]]&gt;0,"Sí","No")</f>
        <v>Sí</v>
      </c>
      <c r="X141" t="str">
        <f>IF(Sala[[#This Row],[Cobrada]]="Sí",Sala[[#This Row],[Método de Pago]],"Impago")</f>
        <v>Efectivo</v>
      </c>
      <c r="Y141">
        <f>IF(Sala[[#This Row],[Cobrada]]="Sí",Sala[[#This Row],[Propina]],0)</f>
        <v>32.130000000000003</v>
      </c>
      <c r="Z141">
        <f>(IF(Sala[[#This Row],[Cobrada]]="Sí",Sala[[#This Row],[Monto total]],0))+Sala[[#This Row],[Propina real]]</f>
        <v>223.13</v>
      </c>
    </row>
    <row r="142" spans="1:26" x14ac:dyDescent="0.25">
      <c r="A142">
        <v>4</v>
      </c>
      <c r="B142" t="s">
        <v>175</v>
      </c>
      <c r="C142">
        <v>4</v>
      </c>
      <c r="D142" s="2">
        <v>45018</v>
      </c>
      <c r="E142" s="3">
        <v>8.1944444444444445E-2</v>
      </c>
      <c r="F142" s="2">
        <v>45018</v>
      </c>
      <c r="G142" s="3">
        <v>0.23958333333333334</v>
      </c>
      <c r="H142" s="1" t="s">
        <v>7</v>
      </c>
      <c r="I142" t="s">
        <v>12</v>
      </c>
      <c r="J142" t="s">
        <v>601</v>
      </c>
      <c r="K142" s="9">
        <v>41.56</v>
      </c>
      <c r="L142" t="s">
        <v>9</v>
      </c>
      <c r="M142">
        <v>141</v>
      </c>
      <c r="N142" t="s">
        <v>44</v>
      </c>
      <c r="O142" s="3">
        <f>(Sala[[#This Row],[Hora de Salida]]-Sala[[#This Row],[Hora de llegada]])+IF(Sala[[#This Row],[Estado de la Mesa]]="Ocupada",(TEXT((15/(60*24)),"h:mm")),(TEXT(0,"h:mm")))</f>
        <v>0.15763888888888888</v>
      </c>
      <c r="P142" s="43">
        <f>(SUMIF(Cocina[Número de Orden],Sala[[#This Row],[Número de Orden]],Cocina[Tiempo de Preparación]))</f>
        <v>28</v>
      </c>
      <c r="Q142" s="5" t="str">
        <f>TEXT(((SUMIF(Cocina[Número de Orden],Sala[[#This Row],[Número de Orden]],Cocina[Tiempo de Preparación]))/(60*24)),"h:mm")</f>
        <v>0:28</v>
      </c>
      <c r="R142" s="3">
        <f>MAX((Sala[[#This Row],[Tiempo de permanencia]]-Sala[[#This Row],[Tiempo de preparación (h)]]),0)</f>
        <v>0.13819444444444445</v>
      </c>
      <c r="S142" s="8">
        <f>SUMIF(Cocina[Número de Orden],Sala[[#This Row],[Número de Orden]],Cocina[Ganancia bruta])</f>
        <v>21</v>
      </c>
      <c r="T142" s="8">
        <f>SUMIF(Cocina[Número de Orden],Sala[[#This Row],[Número de Orden]],Cocina[Costo Unitario])</f>
        <v>13</v>
      </c>
      <c r="U142" s="2">
        <f>Sala[[#This Row],[Fecha de Salida]]</f>
        <v>45018</v>
      </c>
      <c r="V142" s="7" t="str">
        <f>TEXT(Sala[[#This Row],[Fecha factura]],"dddd")</f>
        <v>domingo</v>
      </c>
      <c r="W142" t="str">
        <f>IF(Sala[[#This Row],[Tiempo de degustación]]&gt;0,"Sí","No")</f>
        <v>Sí</v>
      </c>
      <c r="X142" t="str">
        <f>IF(Sala[[#This Row],[Cobrada]]="Sí",Sala[[#This Row],[Método de Pago]],"Impago")</f>
        <v>Tarjeta de crédito</v>
      </c>
      <c r="Y142">
        <f>IF(Sala[[#This Row],[Cobrada]]="Sí",Sala[[#This Row],[Propina]],0)</f>
        <v>41.56</v>
      </c>
      <c r="Z142">
        <f>(IF(Sala[[#This Row],[Cobrada]]="Sí",Sala[[#This Row],[Monto total]],0))+Sala[[#This Row],[Propina real]]</f>
        <v>62.56</v>
      </c>
    </row>
    <row r="143" spans="1:26" x14ac:dyDescent="0.25">
      <c r="A143">
        <v>14</v>
      </c>
      <c r="B143" t="s">
        <v>176</v>
      </c>
      <c r="C143">
        <v>3</v>
      </c>
      <c r="D143" s="2">
        <v>45018</v>
      </c>
      <c r="E143" s="3">
        <v>8.6805555555555552E-2</v>
      </c>
      <c r="F143" s="2">
        <v>45018</v>
      </c>
      <c r="G143" s="3">
        <v>0.1701388888888889</v>
      </c>
      <c r="H143" s="1" t="s">
        <v>23</v>
      </c>
      <c r="I143" t="s">
        <v>8</v>
      </c>
      <c r="J143" t="s">
        <v>601</v>
      </c>
      <c r="K143" s="9">
        <v>16.29</v>
      </c>
      <c r="L143" t="s">
        <v>28</v>
      </c>
      <c r="M143">
        <v>142</v>
      </c>
      <c r="N143" t="s">
        <v>59</v>
      </c>
      <c r="O143" s="3">
        <f>(Sala[[#This Row],[Hora de Salida]]-Sala[[#This Row],[Hora de llegada]])+IF(Sala[[#This Row],[Estado de la Mesa]]="Ocupada",(TEXT((15/(60*24)),"h:mm")),(TEXT(0,"h:mm")))</f>
        <v>9.3750000000000014E-2</v>
      </c>
      <c r="P143" s="43">
        <f>(SUMIF(Cocina[Número de Orden],Sala[[#This Row],[Número de Orden]],Cocina[Tiempo de Preparación]))</f>
        <v>70</v>
      </c>
      <c r="Q143" s="5" t="str">
        <f>TEXT(((SUMIF(Cocina[Número de Orden],Sala[[#This Row],[Número de Orden]],Cocina[Tiempo de Preparación]))/(60*24)),"h:mm")</f>
        <v>1:10</v>
      </c>
      <c r="R143" s="3">
        <f>MAX((Sala[[#This Row],[Tiempo de permanencia]]-Sala[[#This Row],[Tiempo de preparación (h)]]),0)</f>
        <v>4.5138888888888902E-2</v>
      </c>
      <c r="S143" s="8">
        <f>SUMIF(Cocina[Número de Orden],Sala[[#This Row],[Número de Orden]],Cocina[Ganancia bruta])</f>
        <v>181</v>
      </c>
      <c r="T143" s="8">
        <f>SUMIF(Cocina[Número de Orden],Sala[[#This Row],[Número de Orden]],Cocina[Costo Unitario])</f>
        <v>53</v>
      </c>
      <c r="U143" s="2">
        <f>Sala[[#This Row],[Fecha de Salida]]</f>
        <v>45018</v>
      </c>
      <c r="V143" s="7" t="str">
        <f>TEXT(Sala[[#This Row],[Fecha factura]],"dddd")</f>
        <v>domingo</v>
      </c>
      <c r="W143" t="str">
        <f>IF(Sala[[#This Row],[Tiempo de degustación]]&gt;0,"Sí","No")</f>
        <v>Sí</v>
      </c>
      <c r="X143" t="str">
        <f>IF(Sala[[#This Row],[Cobrada]]="Sí",Sala[[#This Row],[Método de Pago]],"Impago")</f>
        <v>Tarjeta de crédito</v>
      </c>
      <c r="Y143">
        <f>IF(Sala[[#This Row],[Cobrada]]="Sí",Sala[[#This Row],[Propina]],0)</f>
        <v>16.29</v>
      </c>
      <c r="Z143">
        <f>(IF(Sala[[#This Row],[Cobrada]]="Sí",Sala[[#This Row],[Monto total]],0))+Sala[[#This Row],[Propina real]]</f>
        <v>197.29</v>
      </c>
    </row>
    <row r="144" spans="1:26" x14ac:dyDescent="0.25">
      <c r="A144">
        <v>9</v>
      </c>
      <c r="B144" t="s">
        <v>177</v>
      </c>
      <c r="C144">
        <v>4</v>
      </c>
      <c r="D144" s="2">
        <v>45018</v>
      </c>
      <c r="E144" s="3">
        <v>2.2222222222222223E-2</v>
      </c>
      <c r="F144" s="2">
        <v>45018</v>
      </c>
      <c r="G144" s="3">
        <v>0.1875</v>
      </c>
      <c r="H144" s="1" t="s">
        <v>23</v>
      </c>
      <c r="I144" t="s">
        <v>8</v>
      </c>
      <c r="J144" t="s">
        <v>13</v>
      </c>
      <c r="K144" s="9">
        <v>48.26</v>
      </c>
      <c r="L144" t="s">
        <v>17</v>
      </c>
      <c r="M144">
        <v>143</v>
      </c>
      <c r="N144" t="s">
        <v>593</v>
      </c>
      <c r="O144" s="3">
        <f>(Sala[[#This Row],[Hora de Salida]]-Sala[[#This Row],[Hora de llegada]])+IF(Sala[[#This Row],[Estado de la Mesa]]="Ocupada",(TEXT((15/(60*24)),"h:mm")),(TEXT(0,"h:mm")))</f>
        <v>0.16527777777777777</v>
      </c>
      <c r="P144" s="43">
        <f>(SUMIF(Cocina[Número de Orden],Sala[[#This Row],[Número de Orden]],Cocina[Tiempo de Preparación]))</f>
        <v>16</v>
      </c>
      <c r="Q144" s="5" t="str">
        <f>TEXT(((SUMIF(Cocina[Número de Orden],Sala[[#This Row],[Número de Orden]],Cocina[Tiempo de Preparación]))/(60*24)),"h:mm")</f>
        <v>0:16</v>
      </c>
      <c r="R144" s="3">
        <f>MAX((Sala[[#This Row],[Tiempo de permanencia]]-Sala[[#This Row],[Tiempo de preparación (h)]]),0)</f>
        <v>0.15416666666666667</v>
      </c>
      <c r="S144" s="8">
        <f>SUMIF(Cocina[Número de Orden],Sala[[#This Row],[Número de Orden]],Cocina[Ganancia bruta])</f>
        <v>50</v>
      </c>
      <c r="T144" s="8">
        <f>SUMIF(Cocina[Número de Orden],Sala[[#This Row],[Número de Orden]],Cocina[Costo Unitario])</f>
        <v>15</v>
      </c>
      <c r="U144" s="2">
        <f>Sala[[#This Row],[Fecha de Salida]]</f>
        <v>45018</v>
      </c>
      <c r="V144" s="7" t="str">
        <f>TEXT(Sala[[#This Row],[Fecha factura]],"dddd")</f>
        <v>domingo</v>
      </c>
      <c r="W144" t="str">
        <f>IF(Sala[[#This Row],[Tiempo de degustación]]&gt;0,"Sí","No")</f>
        <v>Sí</v>
      </c>
      <c r="X144" t="str">
        <f>IF(Sala[[#This Row],[Cobrada]]="Sí",Sala[[#This Row],[Método de Pago]],"Impago")</f>
        <v>Efectivo</v>
      </c>
      <c r="Y144">
        <f>IF(Sala[[#This Row],[Cobrada]]="Sí",Sala[[#This Row],[Propina]],0)</f>
        <v>48.26</v>
      </c>
      <c r="Z144">
        <f>(IF(Sala[[#This Row],[Cobrada]]="Sí",Sala[[#This Row],[Monto total]],0))+Sala[[#This Row],[Propina real]]</f>
        <v>98.259999999999991</v>
      </c>
    </row>
    <row r="145" spans="1:26" x14ac:dyDescent="0.25">
      <c r="A145">
        <v>18</v>
      </c>
      <c r="B145" t="s">
        <v>178</v>
      </c>
      <c r="C145">
        <v>1</v>
      </c>
      <c r="D145" s="2">
        <v>45018</v>
      </c>
      <c r="E145" s="3">
        <v>0.12361111111111112</v>
      </c>
      <c r="F145" s="2">
        <v>45018</v>
      </c>
      <c r="G145" s="3">
        <v>0.23055555555555557</v>
      </c>
      <c r="H145" s="1" t="s">
        <v>23</v>
      </c>
      <c r="I145" t="s">
        <v>25</v>
      </c>
      <c r="J145" t="s">
        <v>601</v>
      </c>
      <c r="K145" s="9">
        <v>11.22</v>
      </c>
      <c r="L145" t="s">
        <v>28</v>
      </c>
      <c r="M145">
        <v>144</v>
      </c>
      <c r="N145" t="s">
        <v>593</v>
      </c>
      <c r="O145" s="3">
        <f>(Sala[[#This Row],[Hora de Salida]]-Sala[[#This Row],[Hora de llegada]])+IF(Sala[[#This Row],[Estado de la Mesa]]="Ocupada",(TEXT((15/(60*24)),"h:mm")),(TEXT(0,"h:mm")))</f>
        <v>0.11736111111111112</v>
      </c>
      <c r="P145" s="43">
        <f>(SUMIF(Cocina[Número de Orden],Sala[[#This Row],[Número de Orden]],Cocina[Tiempo de Preparación]))</f>
        <v>150</v>
      </c>
      <c r="Q145" s="5" t="str">
        <f>TEXT(((SUMIF(Cocina[Número de Orden],Sala[[#This Row],[Número de Orden]],Cocina[Tiempo de Preparación]))/(60*24)),"h:mm")</f>
        <v>2:30</v>
      </c>
      <c r="R145" s="3">
        <f>MAX((Sala[[#This Row],[Tiempo de permanencia]]-Sala[[#This Row],[Tiempo de preparación (h)]]),0)</f>
        <v>1.3194444444444453E-2</v>
      </c>
      <c r="S145" s="8">
        <f>SUMIF(Cocina[Número de Orden],Sala[[#This Row],[Número de Orden]],Cocina[Ganancia bruta])</f>
        <v>185</v>
      </c>
      <c r="T145" s="8">
        <f>SUMIF(Cocina[Número de Orden],Sala[[#This Row],[Número de Orden]],Cocina[Costo Unitario])</f>
        <v>70</v>
      </c>
      <c r="U145" s="2">
        <f>Sala[[#This Row],[Fecha de Salida]]</f>
        <v>45018</v>
      </c>
      <c r="V145" s="7" t="str">
        <f>TEXT(Sala[[#This Row],[Fecha factura]],"dddd")</f>
        <v>domingo</v>
      </c>
      <c r="W145" t="str">
        <f>IF(Sala[[#This Row],[Tiempo de degustación]]&gt;0,"Sí","No")</f>
        <v>Sí</v>
      </c>
      <c r="X145" t="str">
        <f>IF(Sala[[#This Row],[Cobrada]]="Sí",Sala[[#This Row],[Método de Pago]],"Impago")</f>
        <v>Tarjeta de crédito</v>
      </c>
      <c r="Y145">
        <f>IF(Sala[[#This Row],[Cobrada]]="Sí",Sala[[#This Row],[Propina]],0)</f>
        <v>11.22</v>
      </c>
      <c r="Z145">
        <f>(IF(Sala[[#This Row],[Cobrada]]="Sí",Sala[[#This Row],[Monto total]],0))+Sala[[#This Row],[Propina real]]</f>
        <v>196.22</v>
      </c>
    </row>
    <row r="146" spans="1:26" x14ac:dyDescent="0.25">
      <c r="A146">
        <v>2</v>
      </c>
      <c r="B146" t="s">
        <v>179</v>
      </c>
      <c r="C146">
        <v>5</v>
      </c>
      <c r="D146" s="2">
        <v>45018</v>
      </c>
      <c r="E146" s="3">
        <v>2.5694444444444443E-2</v>
      </c>
      <c r="F146" s="2">
        <v>45018</v>
      </c>
      <c r="G146" s="3">
        <v>7.0833333333333331E-2</v>
      </c>
      <c r="H146" s="1" t="s">
        <v>16</v>
      </c>
      <c r="I146" t="s">
        <v>25</v>
      </c>
      <c r="J146" t="s">
        <v>601</v>
      </c>
      <c r="K146" s="9">
        <v>11.32</v>
      </c>
      <c r="L146" t="s">
        <v>28</v>
      </c>
      <c r="M146">
        <v>145</v>
      </c>
      <c r="N146" t="s">
        <v>29</v>
      </c>
      <c r="O146" s="3">
        <f>(Sala[[#This Row],[Hora de Salida]]-Sala[[#This Row],[Hora de llegada]])+IF(Sala[[#This Row],[Estado de la Mesa]]="Ocupada",(TEXT((15/(60*24)),"h:mm")),(TEXT(0,"h:mm")))</f>
        <v>5.5555555555555552E-2</v>
      </c>
      <c r="P146" s="43">
        <f>(SUMIF(Cocina[Número de Orden],Sala[[#This Row],[Número de Orden]],Cocina[Tiempo de Preparación]))</f>
        <v>106</v>
      </c>
      <c r="Q146" s="5" t="str">
        <f>TEXT(((SUMIF(Cocina[Número de Orden],Sala[[#This Row],[Número de Orden]],Cocina[Tiempo de Preparación]))/(60*24)),"h:mm")</f>
        <v>1:46</v>
      </c>
      <c r="R146" s="3">
        <f>MAX((Sala[[#This Row],[Tiempo de permanencia]]-Sala[[#This Row],[Tiempo de preparación (h)]]),0)</f>
        <v>0</v>
      </c>
      <c r="S146" s="8">
        <f>SUMIF(Cocina[Número de Orden],Sala[[#This Row],[Número de Orden]],Cocina[Ganancia bruta])</f>
        <v>126</v>
      </c>
      <c r="T146" s="8">
        <f>SUMIF(Cocina[Número de Orden],Sala[[#This Row],[Número de Orden]],Cocina[Costo Unitario])</f>
        <v>31</v>
      </c>
      <c r="U146" s="2">
        <f>Sala[[#This Row],[Fecha de Salida]]</f>
        <v>45018</v>
      </c>
      <c r="V146" s="7" t="str">
        <f>TEXT(Sala[[#This Row],[Fecha factura]],"dddd")</f>
        <v>domingo</v>
      </c>
      <c r="W146" t="str">
        <f>IF(Sala[[#This Row],[Tiempo de degustación]]&gt;0,"Sí","No")</f>
        <v>No</v>
      </c>
      <c r="X146" t="str">
        <f>IF(Sala[[#This Row],[Cobrada]]="Sí",Sala[[#This Row],[Método de Pago]],"Impago")</f>
        <v>Impago</v>
      </c>
      <c r="Y146">
        <f>IF(Sala[[#This Row],[Cobrada]]="Sí",Sala[[#This Row],[Propina]],0)</f>
        <v>0</v>
      </c>
      <c r="Z146">
        <f>(IF(Sala[[#This Row],[Cobrada]]="Sí",Sala[[#This Row],[Monto total]],0))+Sala[[#This Row],[Propina real]]</f>
        <v>0</v>
      </c>
    </row>
    <row r="147" spans="1:26" x14ac:dyDescent="0.25">
      <c r="A147">
        <v>8</v>
      </c>
      <c r="B147" t="s">
        <v>180</v>
      </c>
      <c r="C147">
        <v>6</v>
      </c>
      <c r="D147" s="2">
        <v>45018</v>
      </c>
      <c r="E147" s="3">
        <v>6.9444444444444448E-2</v>
      </c>
      <c r="F147" s="2">
        <v>45018</v>
      </c>
      <c r="G147" s="3">
        <v>0.12083333333333333</v>
      </c>
      <c r="H147" s="1" t="s">
        <v>7</v>
      </c>
      <c r="I147" t="s">
        <v>8</v>
      </c>
      <c r="J147" t="s">
        <v>601</v>
      </c>
      <c r="K147" s="9">
        <v>38.4</v>
      </c>
      <c r="L147" t="s">
        <v>9</v>
      </c>
      <c r="M147">
        <v>146</v>
      </c>
      <c r="N147" t="s">
        <v>21</v>
      </c>
      <c r="O147" s="3">
        <f>(Sala[[#This Row],[Hora de Salida]]-Sala[[#This Row],[Hora de llegada]])+IF(Sala[[#This Row],[Estado de la Mesa]]="Ocupada",(TEXT((15/(60*24)),"h:mm")),(TEXT(0,"h:mm")))</f>
        <v>5.1388888888888887E-2</v>
      </c>
      <c r="P147" s="43">
        <f>(SUMIF(Cocina[Número de Orden],Sala[[#This Row],[Número de Orden]],Cocina[Tiempo de Preparación]))</f>
        <v>47</v>
      </c>
      <c r="Q147" s="5" t="str">
        <f>TEXT(((SUMIF(Cocina[Número de Orden],Sala[[#This Row],[Número de Orden]],Cocina[Tiempo de Preparación]))/(60*24)),"h:mm")</f>
        <v>0:47</v>
      </c>
      <c r="R147" s="3">
        <f>MAX((Sala[[#This Row],[Tiempo de permanencia]]-Sala[[#This Row],[Tiempo de preparación (h)]]),0)</f>
        <v>1.8749999999999996E-2</v>
      </c>
      <c r="S147" s="8">
        <f>SUMIF(Cocina[Número de Orden],Sala[[#This Row],[Número de Orden]],Cocina[Ganancia bruta])</f>
        <v>62</v>
      </c>
      <c r="T147" s="8">
        <f>SUMIF(Cocina[Número de Orden],Sala[[#This Row],[Número de Orden]],Cocina[Costo Unitario])</f>
        <v>19</v>
      </c>
      <c r="U147" s="2">
        <f>Sala[[#This Row],[Fecha de Salida]]</f>
        <v>45018</v>
      </c>
      <c r="V147" s="7" t="str">
        <f>TEXT(Sala[[#This Row],[Fecha factura]],"dddd")</f>
        <v>domingo</v>
      </c>
      <c r="W147" t="str">
        <f>IF(Sala[[#This Row],[Tiempo de degustación]]&gt;0,"Sí","No")</f>
        <v>Sí</v>
      </c>
      <c r="X147" t="str">
        <f>IF(Sala[[#This Row],[Cobrada]]="Sí",Sala[[#This Row],[Método de Pago]],"Impago")</f>
        <v>Tarjeta de crédito</v>
      </c>
      <c r="Y147">
        <f>IF(Sala[[#This Row],[Cobrada]]="Sí",Sala[[#This Row],[Propina]],0)</f>
        <v>38.4</v>
      </c>
      <c r="Z147">
        <f>(IF(Sala[[#This Row],[Cobrada]]="Sí",Sala[[#This Row],[Monto total]],0))+Sala[[#This Row],[Propina real]]</f>
        <v>100.4</v>
      </c>
    </row>
    <row r="148" spans="1:26" x14ac:dyDescent="0.25">
      <c r="A148">
        <v>5</v>
      </c>
      <c r="B148" t="s">
        <v>181</v>
      </c>
      <c r="C148">
        <v>4</v>
      </c>
      <c r="D148" s="2">
        <v>45018</v>
      </c>
      <c r="E148" s="3">
        <v>0.13750000000000001</v>
      </c>
      <c r="F148" s="2">
        <v>45018</v>
      </c>
      <c r="G148" s="3">
        <v>0.20694444444444443</v>
      </c>
      <c r="H148" s="1" t="s">
        <v>7</v>
      </c>
      <c r="I148" t="s">
        <v>12</v>
      </c>
      <c r="J148" t="s">
        <v>601</v>
      </c>
      <c r="K148" s="9">
        <v>27.14</v>
      </c>
      <c r="L148" t="s">
        <v>9</v>
      </c>
      <c r="M148">
        <v>147</v>
      </c>
      <c r="N148" t="s">
        <v>14</v>
      </c>
      <c r="O148" s="3">
        <f>(Sala[[#This Row],[Hora de Salida]]-Sala[[#This Row],[Hora de llegada]])+IF(Sala[[#This Row],[Estado de la Mesa]]="Ocupada",(TEXT((15/(60*24)),"h:mm")),(TEXT(0,"h:mm")))</f>
        <v>6.944444444444442E-2</v>
      </c>
      <c r="P148" s="43">
        <f>(SUMIF(Cocina[Número de Orden],Sala[[#This Row],[Número de Orden]],Cocina[Tiempo de Preparación]))</f>
        <v>33</v>
      </c>
      <c r="Q148" s="5" t="str">
        <f>TEXT(((SUMIF(Cocina[Número de Orden],Sala[[#This Row],[Número de Orden]],Cocina[Tiempo de Preparación]))/(60*24)),"h:mm")</f>
        <v>0:33</v>
      </c>
      <c r="R148" s="3">
        <f>MAX((Sala[[#This Row],[Tiempo de permanencia]]-Sala[[#This Row],[Tiempo de preparación (h)]]),0)</f>
        <v>4.6527777777777751E-2</v>
      </c>
      <c r="S148" s="8">
        <f>SUMIF(Cocina[Número de Orden],Sala[[#This Row],[Número de Orden]],Cocina[Ganancia bruta])</f>
        <v>84</v>
      </c>
      <c r="T148" s="8">
        <f>SUMIF(Cocina[Número de Orden],Sala[[#This Row],[Número de Orden]],Cocina[Costo Unitario])</f>
        <v>38</v>
      </c>
      <c r="U148" s="2">
        <f>Sala[[#This Row],[Fecha de Salida]]</f>
        <v>45018</v>
      </c>
      <c r="V148" s="7" t="str">
        <f>TEXT(Sala[[#This Row],[Fecha factura]],"dddd")</f>
        <v>domingo</v>
      </c>
      <c r="W148" t="str">
        <f>IF(Sala[[#This Row],[Tiempo de degustación]]&gt;0,"Sí","No")</f>
        <v>Sí</v>
      </c>
      <c r="X148" t="str">
        <f>IF(Sala[[#This Row],[Cobrada]]="Sí",Sala[[#This Row],[Método de Pago]],"Impago")</f>
        <v>Tarjeta de crédito</v>
      </c>
      <c r="Y148">
        <f>IF(Sala[[#This Row],[Cobrada]]="Sí",Sala[[#This Row],[Propina]],0)</f>
        <v>27.14</v>
      </c>
      <c r="Z148">
        <f>(IF(Sala[[#This Row],[Cobrada]]="Sí",Sala[[#This Row],[Monto total]],0))+Sala[[#This Row],[Propina real]]</f>
        <v>111.14</v>
      </c>
    </row>
    <row r="149" spans="1:26" x14ac:dyDescent="0.25">
      <c r="A149">
        <v>10</v>
      </c>
      <c r="B149" t="s">
        <v>182</v>
      </c>
      <c r="C149">
        <v>6</v>
      </c>
      <c r="D149" s="2">
        <v>45018</v>
      </c>
      <c r="E149" s="3">
        <v>0.16111111111111112</v>
      </c>
      <c r="F149" s="2">
        <v>45018</v>
      </c>
      <c r="G149" s="3">
        <v>0.24930555555555556</v>
      </c>
      <c r="H149" s="1" t="s">
        <v>7</v>
      </c>
      <c r="I149" t="s">
        <v>8</v>
      </c>
      <c r="J149" t="s">
        <v>600</v>
      </c>
      <c r="K149" s="9">
        <v>46.26</v>
      </c>
      <c r="L149" t="s">
        <v>28</v>
      </c>
      <c r="M149">
        <v>148</v>
      </c>
      <c r="N149" t="s">
        <v>14</v>
      </c>
      <c r="O149" s="3">
        <f>(Sala[[#This Row],[Hora de Salida]]-Sala[[#This Row],[Hora de llegada]])+IF(Sala[[#This Row],[Estado de la Mesa]]="Ocupada",(TEXT((15/(60*24)),"h:mm")),(TEXT(0,"h:mm")))</f>
        <v>9.8611111111111108E-2</v>
      </c>
      <c r="P149" s="43">
        <f>(SUMIF(Cocina[Número de Orden],Sala[[#This Row],[Número de Orden]],Cocina[Tiempo de Preparación]))</f>
        <v>159</v>
      </c>
      <c r="Q149" s="5" t="str">
        <f>TEXT(((SUMIF(Cocina[Número de Orden],Sala[[#This Row],[Número de Orden]],Cocina[Tiempo de Preparación]))/(60*24)),"h:mm")</f>
        <v>2:39</v>
      </c>
      <c r="R149" s="3">
        <f>MAX((Sala[[#This Row],[Tiempo de permanencia]]-Sala[[#This Row],[Tiempo de preparación (h)]]),0)</f>
        <v>0</v>
      </c>
      <c r="S149" s="8">
        <f>SUMIF(Cocina[Número de Orden],Sala[[#This Row],[Número de Orden]],Cocina[Ganancia bruta])</f>
        <v>212</v>
      </c>
      <c r="T149" s="8">
        <f>SUMIF(Cocina[Número de Orden],Sala[[#This Row],[Número de Orden]],Cocina[Costo Unitario])</f>
        <v>64</v>
      </c>
      <c r="U149" s="2">
        <f>Sala[[#This Row],[Fecha de Salida]]</f>
        <v>45018</v>
      </c>
      <c r="V149" s="7" t="str">
        <f>TEXT(Sala[[#This Row],[Fecha factura]],"dddd")</f>
        <v>domingo</v>
      </c>
      <c r="W149" t="str">
        <f>IF(Sala[[#This Row],[Tiempo de degustación]]&gt;0,"Sí","No")</f>
        <v>No</v>
      </c>
      <c r="X149" t="str">
        <f>IF(Sala[[#This Row],[Cobrada]]="Sí",Sala[[#This Row],[Método de Pago]],"Impago")</f>
        <v>Impago</v>
      </c>
      <c r="Y149">
        <f>IF(Sala[[#This Row],[Cobrada]]="Sí",Sala[[#This Row],[Propina]],0)</f>
        <v>0</v>
      </c>
      <c r="Z149">
        <f>(IF(Sala[[#This Row],[Cobrada]]="Sí",Sala[[#This Row],[Monto total]],0))+Sala[[#This Row],[Propina real]]</f>
        <v>0</v>
      </c>
    </row>
    <row r="150" spans="1:26" x14ac:dyDescent="0.25">
      <c r="A150">
        <v>18</v>
      </c>
      <c r="B150" t="s">
        <v>183</v>
      </c>
      <c r="C150">
        <v>4</v>
      </c>
      <c r="D150" s="2">
        <v>45018</v>
      </c>
      <c r="E150" s="3">
        <v>6.5972222222222224E-2</v>
      </c>
      <c r="F150" s="2">
        <v>45018</v>
      </c>
      <c r="G150" s="3">
        <v>0.2013888888888889</v>
      </c>
      <c r="H150" s="1" t="s">
        <v>20</v>
      </c>
      <c r="I150" t="s">
        <v>12</v>
      </c>
      <c r="J150" t="s">
        <v>601</v>
      </c>
      <c r="K150" s="9">
        <v>15.92</v>
      </c>
      <c r="L150" t="s">
        <v>28</v>
      </c>
      <c r="M150">
        <v>149</v>
      </c>
      <c r="N150" t="s">
        <v>18</v>
      </c>
      <c r="O150" s="3">
        <f>(Sala[[#This Row],[Hora de Salida]]-Sala[[#This Row],[Hora de llegada]])+IF(Sala[[#This Row],[Estado de la Mesa]]="Ocupada",(TEXT((15/(60*24)),"h:mm")),(TEXT(0,"h:mm")))</f>
        <v>0.14583333333333334</v>
      </c>
      <c r="P150" s="43">
        <f>(SUMIF(Cocina[Número de Orden],Sala[[#This Row],[Número de Orden]],Cocina[Tiempo de Preparación]))</f>
        <v>139</v>
      </c>
      <c r="Q150" s="5" t="str">
        <f>TEXT(((SUMIF(Cocina[Número de Orden],Sala[[#This Row],[Número de Orden]],Cocina[Tiempo de Preparación]))/(60*24)),"h:mm")</f>
        <v>2:19</v>
      </c>
      <c r="R150" s="3">
        <f>MAX((Sala[[#This Row],[Tiempo de permanencia]]-Sala[[#This Row],[Tiempo de preparación (h)]]),0)</f>
        <v>4.9305555555555561E-2</v>
      </c>
      <c r="S150" s="8">
        <f>SUMIF(Cocina[Número de Orden],Sala[[#This Row],[Número de Orden]],Cocina[Ganancia bruta])</f>
        <v>226</v>
      </c>
      <c r="T150" s="8">
        <f>SUMIF(Cocina[Número de Orden],Sala[[#This Row],[Número de Orden]],Cocina[Costo Unitario])</f>
        <v>65</v>
      </c>
      <c r="U150" s="2">
        <f>Sala[[#This Row],[Fecha de Salida]]</f>
        <v>45018</v>
      </c>
      <c r="V150" s="7" t="str">
        <f>TEXT(Sala[[#This Row],[Fecha factura]],"dddd")</f>
        <v>domingo</v>
      </c>
      <c r="W150" t="str">
        <f>IF(Sala[[#This Row],[Tiempo de degustación]]&gt;0,"Sí","No")</f>
        <v>Sí</v>
      </c>
      <c r="X150" t="str">
        <f>IF(Sala[[#This Row],[Cobrada]]="Sí",Sala[[#This Row],[Método de Pago]],"Impago")</f>
        <v>Tarjeta de crédito</v>
      </c>
      <c r="Y150">
        <f>IF(Sala[[#This Row],[Cobrada]]="Sí",Sala[[#This Row],[Propina]],0)</f>
        <v>15.92</v>
      </c>
      <c r="Z150">
        <f>(IF(Sala[[#This Row],[Cobrada]]="Sí",Sala[[#This Row],[Monto total]],0))+Sala[[#This Row],[Propina real]]</f>
        <v>241.92</v>
      </c>
    </row>
    <row r="151" spans="1:26" x14ac:dyDescent="0.25">
      <c r="A151">
        <v>18</v>
      </c>
      <c r="B151" t="s">
        <v>184</v>
      </c>
      <c r="C151">
        <v>6</v>
      </c>
      <c r="D151" s="2">
        <v>45018</v>
      </c>
      <c r="E151" s="3">
        <v>2.5694444444444443E-2</v>
      </c>
      <c r="F151" s="2">
        <v>45018</v>
      </c>
      <c r="G151" s="3">
        <v>0.13194444444444445</v>
      </c>
      <c r="H151" s="1" t="s">
        <v>11</v>
      </c>
      <c r="I151" t="s">
        <v>8</v>
      </c>
      <c r="J151" t="s">
        <v>600</v>
      </c>
      <c r="K151" s="9">
        <v>48.43</v>
      </c>
      <c r="L151" t="s">
        <v>17</v>
      </c>
      <c r="M151">
        <v>150</v>
      </c>
      <c r="N151" t="s">
        <v>59</v>
      </c>
      <c r="O151" s="3">
        <f>(Sala[[#This Row],[Hora de Salida]]-Sala[[#This Row],[Hora de llegada]])+IF(Sala[[#This Row],[Estado de la Mesa]]="Ocupada",(TEXT((15/(60*24)),"h:mm")),(TEXT(0,"h:mm")))</f>
        <v>0.10625000000000001</v>
      </c>
      <c r="P151" s="43">
        <f>(SUMIF(Cocina[Número de Orden],Sala[[#This Row],[Número de Orden]],Cocina[Tiempo de Preparación]))</f>
        <v>106</v>
      </c>
      <c r="Q151" s="5" t="str">
        <f>TEXT(((SUMIF(Cocina[Número de Orden],Sala[[#This Row],[Número de Orden]],Cocina[Tiempo de Preparación]))/(60*24)),"h:mm")</f>
        <v>1:46</v>
      </c>
      <c r="R151" s="3">
        <f>MAX((Sala[[#This Row],[Tiempo de permanencia]]-Sala[[#This Row],[Tiempo de preparación (h)]]),0)</f>
        <v>3.2638888888888898E-2</v>
      </c>
      <c r="S151" s="8">
        <f>SUMIF(Cocina[Número de Orden],Sala[[#This Row],[Número de Orden]],Cocina[Ganancia bruta])</f>
        <v>150</v>
      </c>
      <c r="T151" s="8">
        <f>SUMIF(Cocina[Número de Orden],Sala[[#This Row],[Número de Orden]],Cocina[Costo Unitario])</f>
        <v>45</v>
      </c>
      <c r="U151" s="2">
        <f>Sala[[#This Row],[Fecha de Salida]]</f>
        <v>45018</v>
      </c>
      <c r="V151" s="7" t="str">
        <f>TEXT(Sala[[#This Row],[Fecha factura]],"dddd")</f>
        <v>domingo</v>
      </c>
      <c r="W151" t="str">
        <f>IF(Sala[[#This Row],[Tiempo de degustación]]&gt;0,"Sí","No")</f>
        <v>Sí</v>
      </c>
      <c r="X151" t="str">
        <f>IF(Sala[[#This Row],[Cobrada]]="Sí",Sala[[#This Row],[Método de Pago]],"Impago")</f>
        <v>Tarjeta de débito</v>
      </c>
      <c r="Y151">
        <f>IF(Sala[[#This Row],[Cobrada]]="Sí",Sala[[#This Row],[Propina]],0)</f>
        <v>48.43</v>
      </c>
      <c r="Z151">
        <f>(IF(Sala[[#This Row],[Cobrada]]="Sí",Sala[[#This Row],[Monto total]],0))+Sala[[#This Row],[Propina real]]</f>
        <v>198.43</v>
      </c>
    </row>
    <row r="152" spans="1:26" x14ac:dyDescent="0.25">
      <c r="A152">
        <v>6</v>
      </c>
      <c r="B152" t="s">
        <v>185</v>
      </c>
      <c r="C152">
        <v>2</v>
      </c>
      <c r="D152" s="2">
        <v>45018</v>
      </c>
      <c r="E152" s="3">
        <v>0.13541666666666666</v>
      </c>
      <c r="F152" s="2">
        <v>45018</v>
      </c>
      <c r="G152" s="3">
        <v>0.28680555555555554</v>
      </c>
      <c r="H152" s="1" t="s">
        <v>23</v>
      </c>
      <c r="I152" t="s">
        <v>25</v>
      </c>
      <c r="J152" t="s">
        <v>601</v>
      </c>
      <c r="K152" s="9">
        <v>41.51</v>
      </c>
      <c r="L152" t="s">
        <v>28</v>
      </c>
      <c r="M152">
        <v>151</v>
      </c>
      <c r="N152" t="s">
        <v>44</v>
      </c>
      <c r="O152" s="3">
        <f>(Sala[[#This Row],[Hora de Salida]]-Sala[[#This Row],[Hora de llegada]])+IF(Sala[[#This Row],[Estado de la Mesa]]="Ocupada",(TEXT((15/(60*24)),"h:mm")),(TEXT(0,"h:mm")))</f>
        <v>0.16180555555555554</v>
      </c>
      <c r="P152" s="43">
        <f>(SUMIF(Cocina[Número de Orden],Sala[[#This Row],[Número de Orden]],Cocina[Tiempo de Preparación]))</f>
        <v>19</v>
      </c>
      <c r="Q152" s="5" t="str">
        <f>TEXT(((SUMIF(Cocina[Número de Orden],Sala[[#This Row],[Número de Orden]],Cocina[Tiempo de Preparación]))/(60*24)),"h:mm")</f>
        <v>0:19</v>
      </c>
      <c r="R152" s="3">
        <f>MAX((Sala[[#This Row],[Tiempo de permanencia]]-Sala[[#This Row],[Tiempo de preparación (h)]]),0)</f>
        <v>0.14861111111111108</v>
      </c>
      <c r="S152" s="8">
        <f>SUMIF(Cocina[Número de Orden],Sala[[#This Row],[Número de Orden]],Cocina[Ganancia bruta])</f>
        <v>132</v>
      </c>
      <c r="T152" s="8">
        <f>SUMIF(Cocina[Número de Orden],Sala[[#This Row],[Número de Orden]],Cocina[Costo Unitario])</f>
        <v>27</v>
      </c>
      <c r="U152" s="2">
        <f>Sala[[#This Row],[Fecha de Salida]]</f>
        <v>45018</v>
      </c>
      <c r="V152" s="7" t="str">
        <f>TEXT(Sala[[#This Row],[Fecha factura]],"dddd")</f>
        <v>domingo</v>
      </c>
      <c r="W152" t="str">
        <f>IF(Sala[[#This Row],[Tiempo de degustación]]&gt;0,"Sí","No")</f>
        <v>Sí</v>
      </c>
      <c r="X152" t="str">
        <f>IF(Sala[[#This Row],[Cobrada]]="Sí",Sala[[#This Row],[Método de Pago]],"Impago")</f>
        <v>Tarjeta de crédito</v>
      </c>
      <c r="Y152">
        <f>IF(Sala[[#This Row],[Cobrada]]="Sí",Sala[[#This Row],[Propina]],0)</f>
        <v>41.51</v>
      </c>
      <c r="Z152">
        <f>(IF(Sala[[#This Row],[Cobrada]]="Sí",Sala[[#This Row],[Monto total]],0))+Sala[[#This Row],[Propina real]]</f>
        <v>173.51</v>
      </c>
    </row>
    <row r="153" spans="1:26" x14ac:dyDescent="0.25">
      <c r="A153">
        <v>5</v>
      </c>
      <c r="B153" t="s">
        <v>186</v>
      </c>
      <c r="C153">
        <v>6</v>
      </c>
      <c r="D153" s="2">
        <v>45018</v>
      </c>
      <c r="E153" s="3">
        <v>5.1388888888888887E-2</v>
      </c>
      <c r="F153" s="2">
        <v>45018</v>
      </c>
      <c r="G153" s="3">
        <v>0.11944444444444445</v>
      </c>
      <c r="H153" s="1" t="s">
        <v>23</v>
      </c>
      <c r="I153" t="s">
        <v>8</v>
      </c>
      <c r="J153" t="s">
        <v>600</v>
      </c>
      <c r="K153" s="9">
        <v>25.57</v>
      </c>
      <c r="L153" t="s">
        <v>9</v>
      </c>
      <c r="M153">
        <v>152</v>
      </c>
      <c r="N153" t="s">
        <v>44</v>
      </c>
      <c r="O153" s="3">
        <f>(Sala[[#This Row],[Hora de Salida]]-Sala[[#This Row],[Hora de llegada]])+IF(Sala[[#This Row],[Estado de la Mesa]]="Ocupada",(TEXT((15/(60*24)),"h:mm")),(TEXT(0,"h:mm")))</f>
        <v>6.8055555555555564E-2</v>
      </c>
      <c r="P153" s="43">
        <f>(SUMIF(Cocina[Número de Orden],Sala[[#This Row],[Número de Orden]],Cocina[Tiempo de Preparación]))</f>
        <v>12</v>
      </c>
      <c r="Q153" s="5" t="str">
        <f>TEXT(((SUMIF(Cocina[Número de Orden],Sala[[#This Row],[Número de Orden]],Cocina[Tiempo de Preparación]))/(60*24)),"h:mm")</f>
        <v>0:12</v>
      </c>
      <c r="R153" s="3">
        <f>MAX((Sala[[#This Row],[Tiempo de permanencia]]-Sala[[#This Row],[Tiempo de preparación (h)]]),0)</f>
        <v>5.9722222222222232E-2</v>
      </c>
      <c r="S153" s="8">
        <f>SUMIF(Cocina[Número de Orden],Sala[[#This Row],[Número de Orden]],Cocina[Ganancia bruta])</f>
        <v>56</v>
      </c>
      <c r="T153" s="8">
        <f>SUMIF(Cocina[Número de Orden],Sala[[#This Row],[Número de Orden]],Cocina[Costo Unitario])</f>
        <v>16</v>
      </c>
      <c r="U153" s="2">
        <f>Sala[[#This Row],[Fecha de Salida]]</f>
        <v>45018</v>
      </c>
      <c r="V153" s="7" t="str">
        <f>TEXT(Sala[[#This Row],[Fecha factura]],"dddd")</f>
        <v>domingo</v>
      </c>
      <c r="W153" t="str">
        <f>IF(Sala[[#This Row],[Tiempo de degustación]]&gt;0,"Sí","No")</f>
        <v>Sí</v>
      </c>
      <c r="X153" t="str">
        <f>IF(Sala[[#This Row],[Cobrada]]="Sí",Sala[[#This Row],[Método de Pago]],"Impago")</f>
        <v>Tarjeta de débito</v>
      </c>
      <c r="Y153">
        <f>IF(Sala[[#This Row],[Cobrada]]="Sí",Sala[[#This Row],[Propina]],0)</f>
        <v>25.57</v>
      </c>
      <c r="Z153">
        <f>(IF(Sala[[#This Row],[Cobrada]]="Sí",Sala[[#This Row],[Monto total]],0))+Sala[[#This Row],[Propina real]]</f>
        <v>81.569999999999993</v>
      </c>
    </row>
    <row r="154" spans="1:26" x14ac:dyDescent="0.25">
      <c r="A154">
        <v>10</v>
      </c>
      <c r="B154" t="s">
        <v>75</v>
      </c>
      <c r="C154">
        <v>1</v>
      </c>
      <c r="D154" s="2">
        <v>45018</v>
      </c>
      <c r="E154" s="3">
        <v>0.12916666666666668</v>
      </c>
      <c r="F154" s="2">
        <v>45018</v>
      </c>
      <c r="G154" s="3">
        <v>0.22638888888888889</v>
      </c>
      <c r="H154" s="1" t="s">
        <v>16</v>
      </c>
      <c r="I154" t="s">
        <v>12</v>
      </c>
      <c r="J154" t="s">
        <v>600</v>
      </c>
      <c r="K154" s="9">
        <v>42.84</v>
      </c>
      <c r="L154" t="s">
        <v>28</v>
      </c>
      <c r="M154">
        <v>153</v>
      </c>
      <c r="N154" t="s">
        <v>21</v>
      </c>
      <c r="O154" s="3">
        <f>(Sala[[#This Row],[Hora de Salida]]-Sala[[#This Row],[Hora de llegada]])+IF(Sala[[#This Row],[Estado de la Mesa]]="Ocupada",(TEXT((15/(60*24)),"h:mm")),(TEXT(0,"h:mm")))</f>
        <v>0.10763888888888888</v>
      </c>
      <c r="P154" s="43">
        <f>(SUMIF(Cocina[Número de Orden],Sala[[#This Row],[Número de Orden]],Cocina[Tiempo de Preparación]))</f>
        <v>89</v>
      </c>
      <c r="Q154" s="5" t="str">
        <f>TEXT(((SUMIF(Cocina[Número de Orden],Sala[[#This Row],[Número de Orden]],Cocina[Tiempo de Preparación]))/(60*24)),"h:mm")</f>
        <v>1:29</v>
      </c>
      <c r="R154" s="3">
        <f>MAX((Sala[[#This Row],[Tiempo de permanencia]]-Sala[[#This Row],[Tiempo de preparación (h)]]),0)</f>
        <v>4.5833333333333323E-2</v>
      </c>
      <c r="S154" s="8">
        <f>SUMIF(Cocina[Número de Orden],Sala[[#This Row],[Número de Orden]],Cocina[Ganancia bruta])</f>
        <v>203</v>
      </c>
      <c r="T154" s="8">
        <f>SUMIF(Cocina[Número de Orden],Sala[[#This Row],[Número de Orden]],Cocina[Costo Unitario])</f>
        <v>59</v>
      </c>
      <c r="U154" s="2">
        <f>Sala[[#This Row],[Fecha de Salida]]</f>
        <v>45018</v>
      </c>
      <c r="V154" s="7" t="str">
        <f>TEXT(Sala[[#This Row],[Fecha factura]],"dddd")</f>
        <v>domingo</v>
      </c>
      <c r="W154" t="str">
        <f>IF(Sala[[#This Row],[Tiempo de degustación]]&gt;0,"Sí","No")</f>
        <v>Sí</v>
      </c>
      <c r="X154" t="str">
        <f>IF(Sala[[#This Row],[Cobrada]]="Sí",Sala[[#This Row],[Método de Pago]],"Impago")</f>
        <v>Tarjeta de débito</v>
      </c>
      <c r="Y154">
        <f>IF(Sala[[#This Row],[Cobrada]]="Sí",Sala[[#This Row],[Propina]],0)</f>
        <v>42.84</v>
      </c>
      <c r="Z154">
        <f>(IF(Sala[[#This Row],[Cobrada]]="Sí",Sala[[#This Row],[Monto total]],0))+Sala[[#This Row],[Propina real]]</f>
        <v>245.84</v>
      </c>
    </row>
    <row r="155" spans="1:26" x14ac:dyDescent="0.25">
      <c r="A155">
        <v>11</v>
      </c>
      <c r="B155" t="s">
        <v>187</v>
      </c>
      <c r="C155">
        <v>6</v>
      </c>
      <c r="D155" s="2">
        <v>45018</v>
      </c>
      <c r="E155" s="3">
        <v>8.9583333333333334E-2</v>
      </c>
      <c r="F155" s="2">
        <v>45018</v>
      </c>
      <c r="G155" s="3">
        <v>0.15</v>
      </c>
      <c r="H155" s="1" t="s">
        <v>11</v>
      </c>
      <c r="I155" t="s">
        <v>12</v>
      </c>
      <c r="J155" t="s">
        <v>601</v>
      </c>
      <c r="K155" s="9">
        <v>17.2</v>
      </c>
      <c r="L155" t="s">
        <v>17</v>
      </c>
      <c r="M155">
        <v>154</v>
      </c>
      <c r="N155" t="s">
        <v>44</v>
      </c>
      <c r="O155" s="3">
        <f>(Sala[[#This Row],[Hora de Salida]]-Sala[[#This Row],[Hora de llegada]])+IF(Sala[[#This Row],[Estado de la Mesa]]="Ocupada",(TEXT((15/(60*24)),"h:mm")),(TEXT(0,"h:mm")))</f>
        <v>6.041666666666666E-2</v>
      </c>
      <c r="P155" s="43">
        <f>(SUMIF(Cocina[Número de Orden],Sala[[#This Row],[Número de Orden]],Cocina[Tiempo de Preparación]))</f>
        <v>82</v>
      </c>
      <c r="Q155" s="5" t="str">
        <f>TEXT(((SUMIF(Cocina[Número de Orden],Sala[[#This Row],[Número de Orden]],Cocina[Tiempo de Preparación]))/(60*24)),"h:mm")</f>
        <v>1:22</v>
      </c>
      <c r="R155" s="3">
        <f>MAX((Sala[[#This Row],[Tiempo de permanencia]]-Sala[[#This Row],[Tiempo de preparación (h)]]),0)</f>
        <v>3.4722222222222168E-3</v>
      </c>
      <c r="S155" s="8">
        <f>SUMIF(Cocina[Número de Orden],Sala[[#This Row],[Número de Orden]],Cocina[Ganancia bruta])</f>
        <v>144</v>
      </c>
      <c r="T155" s="8">
        <f>SUMIF(Cocina[Número de Orden],Sala[[#This Row],[Número de Orden]],Cocina[Costo Unitario])</f>
        <v>32</v>
      </c>
      <c r="U155" s="2">
        <f>Sala[[#This Row],[Fecha de Salida]]</f>
        <v>45018</v>
      </c>
      <c r="V155" s="7" t="str">
        <f>TEXT(Sala[[#This Row],[Fecha factura]],"dddd")</f>
        <v>domingo</v>
      </c>
      <c r="W155" t="str">
        <f>IF(Sala[[#This Row],[Tiempo de degustación]]&gt;0,"Sí","No")</f>
        <v>Sí</v>
      </c>
      <c r="X155" t="str">
        <f>IF(Sala[[#This Row],[Cobrada]]="Sí",Sala[[#This Row],[Método de Pago]],"Impago")</f>
        <v>Tarjeta de crédito</v>
      </c>
      <c r="Y155">
        <f>IF(Sala[[#This Row],[Cobrada]]="Sí",Sala[[#This Row],[Propina]],0)</f>
        <v>17.2</v>
      </c>
      <c r="Z155">
        <f>(IF(Sala[[#This Row],[Cobrada]]="Sí",Sala[[#This Row],[Monto total]],0))+Sala[[#This Row],[Propina real]]</f>
        <v>161.19999999999999</v>
      </c>
    </row>
    <row r="156" spans="1:26" x14ac:dyDescent="0.25">
      <c r="A156">
        <v>7</v>
      </c>
      <c r="B156" t="s">
        <v>188</v>
      </c>
      <c r="C156">
        <v>2</v>
      </c>
      <c r="D156" s="2">
        <v>45018</v>
      </c>
      <c r="E156" s="3">
        <v>7.8472222222222221E-2</v>
      </c>
      <c r="F156" s="2">
        <v>45018</v>
      </c>
      <c r="G156" s="3">
        <v>0.19722222222222222</v>
      </c>
      <c r="H156" s="1" t="s">
        <v>20</v>
      </c>
      <c r="I156" t="s">
        <v>8</v>
      </c>
      <c r="J156" t="s">
        <v>601</v>
      </c>
      <c r="K156" s="9">
        <v>25.72</v>
      </c>
      <c r="L156" t="s">
        <v>9</v>
      </c>
      <c r="M156">
        <v>155</v>
      </c>
      <c r="N156" t="s">
        <v>29</v>
      </c>
      <c r="O156" s="3">
        <f>(Sala[[#This Row],[Hora de Salida]]-Sala[[#This Row],[Hora de llegada]])+IF(Sala[[#This Row],[Estado de la Mesa]]="Ocupada",(TEXT((15/(60*24)),"h:mm")),(TEXT(0,"h:mm")))</f>
        <v>0.11874999999999999</v>
      </c>
      <c r="P156" s="43">
        <f>(SUMIF(Cocina[Número de Orden],Sala[[#This Row],[Número de Orden]],Cocina[Tiempo de Preparación]))</f>
        <v>100</v>
      </c>
      <c r="Q156" s="5" t="str">
        <f>TEXT(((SUMIF(Cocina[Número de Orden],Sala[[#This Row],[Número de Orden]],Cocina[Tiempo de Preparación]))/(60*24)),"h:mm")</f>
        <v>1:40</v>
      </c>
      <c r="R156" s="3">
        <f>MAX((Sala[[#This Row],[Tiempo de permanencia]]-Sala[[#This Row],[Tiempo de preparación (h)]]),0)</f>
        <v>4.9305555555555547E-2</v>
      </c>
      <c r="S156" s="8">
        <f>SUMIF(Cocina[Número de Orden],Sala[[#This Row],[Número de Orden]],Cocina[Ganancia bruta])</f>
        <v>136</v>
      </c>
      <c r="T156" s="8">
        <f>SUMIF(Cocina[Número de Orden],Sala[[#This Row],[Número de Orden]],Cocina[Costo Unitario])</f>
        <v>47</v>
      </c>
      <c r="U156" s="2">
        <f>Sala[[#This Row],[Fecha de Salida]]</f>
        <v>45018</v>
      </c>
      <c r="V156" s="7" t="str">
        <f>TEXT(Sala[[#This Row],[Fecha factura]],"dddd")</f>
        <v>domingo</v>
      </c>
      <c r="W156" t="str">
        <f>IF(Sala[[#This Row],[Tiempo de degustación]]&gt;0,"Sí","No")</f>
        <v>Sí</v>
      </c>
      <c r="X156" t="str">
        <f>IF(Sala[[#This Row],[Cobrada]]="Sí",Sala[[#This Row],[Método de Pago]],"Impago")</f>
        <v>Tarjeta de crédito</v>
      </c>
      <c r="Y156">
        <f>IF(Sala[[#This Row],[Cobrada]]="Sí",Sala[[#This Row],[Propina]],0)</f>
        <v>25.72</v>
      </c>
      <c r="Z156">
        <f>(IF(Sala[[#This Row],[Cobrada]]="Sí",Sala[[#This Row],[Monto total]],0))+Sala[[#This Row],[Propina real]]</f>
        <v>161.72</v>
      </c>
    </row>
    <row r="157" spans="1:26" x14ac:dyDescent="0.25">
      <c r="A157">
        <v>6</v>
      </c>
      <c r="B157" t="s">
        <v>189</v>
      </c>
      <c r="C157">
        <v>4</v>
      </c>
      <c r="D157" s="2">
        <v>45018</v>
      </c>
      <c r="E157" s="3">
        <v>2.7777777777777776E-2</v>
      </c>
      <c r="F157" s="2">
        <v>45018</v>
      </c>
      <c r="G157" s="3">
        <v>0.17847222222222223</v>
      </c>
      <c r="H157" s="1" t="s">
        <v>7</v>
      </c>
      <c r="I157" t="s">
        <v>25</v>
      </c>
      <c r="J157" t="s">
        <v>601</v>
      </c>
      <c r="K157" s="9">
        <v>19.03</v>
      </c>
      <c r="L157" t="s">
        <v>17</v>
      </c>
      <c r="M157">
        <v>156</v>
      </c>
      <c r="N157" t="s">
        <v>594</v>
      </c>
      <c r="O157" s="3">
        <f>(Sala[[#This Row],[Hora de Salida]]-Sala[[#This Row],[Hora de llegada]])+IF(Sala[[#This Row],[Estado de la Mesa]]="Ocupada",(TEXT((15/(60*24)),"h:mm")),(TEXT(0,"h:mm")))</f>
        <v>0.15069444444444446</v>
      </c>
      <c r="P157" s="43">
        <f>(SUMIF(Cocina[Número de Orden],Sala[[#This Row],[Número de Orden]],Cocina[Tiempo de Preparación]))</f>
        <v>6</v>
      </c>
      <c r="Q157" s="5" t="str">
        <f>TEXT(((SUMIF(Cocina[Número de Orden],Sala[[#This Row],[Número de Orden]],Cocina[Tiempo de Preparación]))/(60*24)),"h:mm")</f>
        <v>0:06</v>
      </c>
      <c r="R157" s="3">
        <f>MAX((Sala[[#This Row],[Tiempo de permanencia]]-Sala[[#This Row],[Tiempo de preparación (h)]]),0)</f>
        <v>0.14652777777777778</v>
      </c>
      <c r="S157" s="8">
        <f>SUMIF(Cocina[Número de Orden],Sala[[#This Row],[Número de Orden]],Cocina[Ganancia bruta])</f>
        <v>56</v>
      </c>
      <c r="T157" s="8">
        <f>SUMIF(Cocina[Número de Orden],Sala[[#This Row],[Número de Orden]],Cocina[Costo Unitario])</f>
        <v>16</v>
      </c>
      <c r="U157" s="2">
        <f>Sala[[#This Row],[Fecha de Salida]]</f>
        <v>45018</v>
      </c>
      <c r="V157" s="7" t="str">
        <f>TEXT(Sala[[#This Row],[Fecha factura]],"dddd")</f>
        <v>domingo</v>
      </c>
      <c r="W157" t="str">
        <f>IF(Sala[[#This Row],[Tiempo de degustación]]&gt;0,"Sí","No")</f>
        <v>Sí</v>
      </c>
      <c r="X157" t="str">
        <f>IF(Sala[[#This Row],[Cobrada]]="Sí",Sala[[#This Row],[Método de Pago]],"Impago")</f>
        <v>Tarjeta de crédito</v>
      </c>
      <c r="Y157">
        <f>IF(Sala[[#This Row],[Cobrada]]="Sí",Sala[[#This Row],[Propina]],0)</f>
        <v>19.03</v>
      </c>
      <c r="Z157">
        <f>(IF(Sala[[#This Row],[Cobrada]]="Sí",Sala[[#This Row],[Monto total]],0))+Sala[[#This Row],[Propina real]]</f>
        <v>75.03</v>
      </c>
    </row>
    <row r="158" spans="1:26" x14ac:dyDescent="0.25">
      <c r="A158">
        <v>13</v>
      </c>
      <c r="B158" t="s">
        <v>190</v>
      </c>
      <c r="C158">
        <v>5</v>
      </c>
      <c r="D158" s="2">
        <v>45018</v>
      </c>
      <c r="E158" s="3">
        <v>0.14027777777777778</v>
      </c>
      <c r="F158" s="2">
        <v>45018</v>
      </c>
      <c r="G158" s="3">
        <v>0.26041666666666669</v>
      </c>
      <c r="H158" s="1" t="s">
        <v>7</v>
      </c>
      <c r="I158" t="s">
        <v>12</v>
      </c>
      <c r="J158" t="s">
        <v>601</v>
      </c>
      <c r="K158" s="9">
        <v>28.48</v>
      </c>
      <c r="L158" t="s">
        <v>28</v>
      </c>
      <c r="M158">
        <v>157</v>
      </c>
      <c r="N158" t="s">
        <v>593</v>
      </c>
      <c r="O158" s="3">
        <f>(Sala[[#This Row],[Hora de Salida]]-Sala[[#This Row],[Hora de llegada]])+IF(Sala[[#This Row],[Estado de la Mesa]]="Ocupada",(TEXT((15/(60*24)),"h:mm")),(TEXT(0,"h:mm")))</f>
        <v>0.13055555555555556</v>
      </c>
      <c r="P158" s="43">
        <f>(SUMIF(Cocina[Número de Orden],Sala[[#This Row],[Número de Orden]],Cocina[Tiempo de Preparación]))</f>
        <v>150</v>
      </c>
      <c r="Q158" s="5" t="str">
        <f>TEXT(((SUMIF(Cocina[Número de Orden],Sala[[#This Row],[Número de Orden]],Cocina[Tiempo de Preparación]))/(60*24)),"h:mm")</f>
        <v>2:30</v>
      </c>
      <c r="R158" s="3">
        <f>MAX((Sala[[#This Row],[Tiempo de permanencia]]-Sala[[#This Row],[Tiempo de preparación (h)]]),0)</f>
        <v>2.6388888888888892E-2</v>
      </c>
      <c r="S158" s="8">
        <f>SUMIF(Cocina[Número de Orden],Sala[[#This Row],[Número de Orden]],Cocina[Ganancia bruta])</f>
        <v>271</v>
      </c>
      <c r="T158" s="8">
        <f>SUMIF(Cocina[Número de Orden],Sala[[#This Row],[Número de Orden]],Cocina[Costo Unitario])</f>
        <v>71</v>
      </c>
      <c r="U158" s="2">
        <f>Sala[[#This Row],[Fecha de Salida]]</f>
        <v>45018</v>
      </c>
      <c r="V158" s="7" t="str">
        <f>TEXT(Sala[[#This Row],[Fecha factura]],"dddd")</f>
        <v>domingo</v>
      </c>
      <c r="W158" t="str">
        <f>IF(Sala[[#This Row],[Tiempo de degustación]]&gt;0,"Sí","No")</f>
        <v>Sí</v>
      </c>
      <c r="X158" t="str">
        <f>IF(Sala[[#This Row],[Cobrada]]="Sí",Sala[[#This Row],[Método de Pago]],"Impago")</f>
        <v>Tarjeta de crédito</v>
      </c>
      <c r="Y158">
        <f>IF(Sala[[#This Row],[Cobrada]]="Sí",Sala[[#This Row],[Propina]],0)</f>
        <v>28.48</v>
      </c>
      <c r="Z158">
        <f>(IF(Sala[[#This Row],[Cobrada]]="Sí",Sala[[#This Row],[Monto total]],0))+Sala[[#This Row],[Propina real]]</f>
        <v>299.48</v>
      </c>
    </row>
    <row r="159" spans="1:26" x14ac:dyDescent="0.25">
      <c r="A159">
        <v>5</v>
      </c>
      <c r="B159" t="s">
        <v>191</v>
      </c>
      <c r="C159">
        <v>5</v>
      </c>
      <c r="D159" s="2">
        <v>45018</v>
      </c>
      <c r="E159" s="3">
        <v>0.11458333333333333</v>
      </c>
      <c r="F159" s="2">
        <v>45018</v>
      </c>
      <c r="G159" s="3">
        <v>0.16597222222222222</v>
      </c>
      <c r="H159" s="1" t="s">
        <v>7</v>
      </c>
      <c r="I159" t="s">
        <v>8</v>
      </c>
      <c r="J159" t="s">
        <v>601</v>
      </c>
      <c r="K159" s="9">
        <v>48.75</v>
      </c>
      <c r="L159" t="s">
        <v>17</v>
      </c>
      <c r="M159">
        <v>158</v>
      </c>
      <c r="N159" t="s">
        <v>47</v>
      </c>
      <c r="O159" s="3">
        <f>(Sala[[#This Row],[Hora de Salida]]-Sala[[#This Row],[Hora de llegada]])+IF(Sala[[#This Row],[Estado de la Mesa]]="Ocupada",(TEXT((15/(60*24)),"h:mm")),(TEXT(0,"h:mm")))</f>
        <v>5.1388888888888887E-2</v>
      </c>
      <c r="P159" s="43">
        <f>(SUMIF(Cocina[Número de Orden],Sala[[#This Row],[Número de Orden]],Cocina[Tiempo de Preparación]))</f>
        <v>135</v>
      </c>
      <c r="Q159" s="5" t="str">
        <f>TEXT(((SUMIF(Cocina[Número de Orden],Sala[[#This Row],[Número de Orden]],Cocina[Tiempo de Preparación]))/(60*24)),"h:mm")</f>
        <v>2:15</v>
      </c>
      <c r="R159" s="3">
        <f>MAX((Sala[[#This Row],[Tiempo de permanencia]]-Sala[[#This Row],[Tiempo de preparación (h)]]),0)</f>
        <v>0</v>
      </c>
      <c r="S159" s="8">
        <f>SUMIF(Cocina[Número de Orden],Sala[[#This Row],[Número de Orden]],Cocina[Ganancia bruta])</f>
        <v>310</v>
      </c>
      <c r="T159" s="8">
        <f>SUMIF(Cocina[Número de Orden],Sala[[#This Row],[Número de Orden]],Cocina[Costo Unitario])</f>
        <v>69</v>
      </c>
      <c r="U159" s="2">
        <f>Sala[[#This Row],[Fecha de Salida]]</f>
        <v>45018</v>
      </c>
      <c r="V159" s="7" t="str">
        <f>TEXT(Sala[[#This Row],[Fecha factura]],"dddd")</f>
        <v>domingo</v>
      </c>
      <c r="W159" t="str">
        <f>IF(Sala[[#This Row],[Tiempo de degustación]]&gt;0,"Sí","No")</f>
        <v>No</v>
      </c>
      <c r="X159" t="str">
        <f>IF(Sala[[#This Row],[Cobrada]]="Sí",Sala[[#This Row],[Método de Pago]],"Impago")</f>
        <v>Impago</v>
      </c>
      <c r="Y159">
        <f>IF(Sala[[#This Row],[Cobrada]]="Sí",Sala[[#This Row],[Propina]],0)</f>
        <v>0</v>
      </c>
      <c r="Z159">
        <f>(IF(Sala[[#This Row],[Cobrada]]="Sí",Sala[[#This Row],[Monto total]],0))+Sala[[#This Row],[Propina real]]</f>
        <v>0</v>
      </c>
    </row>
    <row r="160" spans="1:26" x14ac:dyDescent="0.25">
      <c r="A160">
        <v>16</v>
      </c>
      <c r="B160" t="s">
        <v>192</v>
      </c>
      <c r="C160">
        <v>1</v>
      </c>
      <c r="D160" s="2">
        <v>45018</v>
      </c>
      <c r="E160" s="3">
        <v>6.9444444444444441E-3</v>
      </c>
      <c r="F160" s="2">
        <v>45018</v>
      </c>
      <c r="G160" s="3">
        <v>5.2083333333333336E-2</v>
      </c>
      <c r="H160" s="1" t="s">
        <v>7</v>
      </c>
      <c r="I160" t="s">
        <v>12</v>
      </c>
      <c r="J160" t="s">
        <v>601</v>
      </c>
      <c r="K160" s="9">
        <v>47.81</v>
      </c>
      <c r="L160" t="s">
        <v>28</v>
      </c>
      <c r="M160">
        <v>159</v>
      </c>
      <c r="N160" t="s">
        <v>18</v>
      </c>
      <c r="O160" s="3">
        <f>(Sala[[#This Row],[Hora de Salida]]-Sala[[#This Row],[Hora de llegada]])+IF(Sala[[#This Row],[Estado de la Mesa]]="Ocupada",(TEXT((15/(60*24)),"h:mm")),(TEXT(0,"h:mm")))</f>
        <v>5.5555555555555559E-2</v>
      </c>
      <c r="P160" s="43">
        <f>(SUMIF(Cocina[Número de Orden],Sala[[#This Row],[Número de Orden]],Cocina[Tiempo de Preparación]))</f>
        <v>74</v>
      </c>
      <c r="Q160" s="5" t="str">
        <f>TEXT(((SUMIF(Cocina[Número de Orden],Sala[[#This Row],[Número de Orden]],Cocina[Tiempo de Preparación]))/(60*24)),"h:mm")</f>
        <v>1:14</v>
      </c>
      <c r="R160" s="3">
        <f>MAX((Sala[[#This Row],[Tiempo de permanencia]]-Sala[[#This Row],[Tiempo de preparación (h)]]),0)</f>
        <v>4.1666666666666727E-3</v>
      </c>
      <c r="S160" s="8">
        <f>SUMIF(Cocina[Número de Orden],Sala[[#This Row],[Número de Orden]],Cocina[Ganancia bruta])</f>
        <v>253</v>
      </c>
      <c r="T160" s="8">
        <f>SUMIF(Cocina[Número de Orden],Sala[[#This Row],[Número de Orden]],Cocina[Costo Unitario])</f>
        <v>66</v>
      </c>
      <c r="U160" s="2">
        <f>Sala[[#This Row],[Fecha de Salida]]</f>
        <v>45018</v>
      </c>
      <c r="V160" s="7" t="str">
        <f>TEXT(Sala[[#This Row],[Fecha factura]],"dddd")</f>
        <v>domingo</v>
      </c>
      <c r="W160" t="str">
        <f>IF(Sala[[#This Row],[Tiempo de degustación]]&gt;0,"Sí","No")</f>
        <v>Sí</v>
      </c>
      <c r="X160" t="str">
        <f>IF(Sala[[#This Row],[Cobrada]]="Sí",Sala[[#This Row],[Método de Pago]],"Impago")</f>
        <v>Tarjeta de crédito</v>
      </c>
      <c r="Y160">
        <f>IF(Sala[[#This Row],[Cobrada]]="Sí",Sala[[#This Row],[Propina]],0)</f>
        <v>47.81</v>
      </c>
      <c r="Z160">
        <f>(IF(Sala[[#This Row],[Cobrada]]="Sí",Sala[[#This Row],[Monto total]],0))+Sala[[#This Row],[Propina real]]</f>
        <v>300.81</v>
      </c>
    </row>
    <row r="161" spans="1:26" x14ac:dyDescent="0.25">
      <c r="A161">
        <v>19</v>
      </c>
      <c r="B161" t="s">
        <v>193</v>
      </c>
      <c r="C161">
        <v>6</v>
      </c>
      <c r="D161" s="2">
        <v>45018</v>
      </c>
      <c r="E161" s="3">
        <v>4.583333333333333E-2</v>
      </c>
      <c r="F161" s="2">
        <v>45018</v>
      </c>
      <c r="G161" s="3">
        <v>0.18958333333333333</v>
      </c>
      <c r="H161" s="1" t="s">
        <v>16</v>
      </c>
      <c r="I161" t="s">
        <v>8</v>
      </c>
      <c r="J161" t="s">
        <v>601</v>
      </c>
      <c r="K161" s="9">
        <v>26.02</v>
      </c>
      <c r="L161" t="s">
        <v>9</v>
      </c>
      <c r="M161">
        <v>160</v>
      </c>
      <c r="N161" t="s">
        <v>14</v>
      </c>
      <c r="O161" s="3">
        <f>(Sala[[#This Row],[Hora de Salida]]-Sala[[#This Row],[Hora de llegada]])+IF(Sala[[#This Row],[Estado de la Mesa]]="Ocupada",(TEXT((15/(60*24)),"h:mm")),(TEXT(0,"h:mm")))</f>
        <v>0.14374999999999999</v>
      </c>
      <c r="P161" s="43">
        <f>(SUMIF(Cocina[Número de Orden],Sala[[#This Row],[Número de Orden]],Cocina[Tiempo de Preparación]))</f>
        <v>67</v>
      </c>
      <c r="Q161" s="5" t="str">
        <f>TEXT(((SUMIF(Cocina[Número de Orden],Sala[[#This Row],[Número de Orden]],Cocina[Tiempo de Preparación]))/(60*24)),"h:mm")</f>
        <v>1:07</v>
      </c>
      <c r="R161" s="3">
        <f>MAX((Sala[[#This Row],[Tiempo de permanencia]]-Sala[[#This Row],[Tiempo de preparación (h)]]),0)</f>
        <v>9.722222222222221E-2</v>
      </c>
      <c r="S161" s="8">
        <f>SUMIF(Cocina[Número de Orden],Sala[[#This Row],[Número de Orden]],Cocina[Ganancia bruta])</f>
        <v>156</v>
      </c>
      <c r="T161" s="8">
        <f>SUMIF(Cocina[Número de Orden],Sala[[#This Row],[Número de Orden]],Cocina[Costo Unitario])</f>
        <v>36</v>
      </c>
      <c r="U161" s="2">
        <f>Sala[[#This Row],[Fecha de Salida]]</f>
        <v>45018</v>
      </c>
      <c r="V161" s="7" t="str">
        <f>TEXT(Sala[[#This Row],[Fecha factura]],"dddd")</f>
        <v>domingo</v>
      </c>
      <c r="W161" t="str">
        <f>IF(Sala[[#This Row],[Tiempo de degustación]]&gt;0,"Sí","No")</f>
        <v>Sí</v>
      </c>
      <c r="X161" t="str">
        <f>IF(Sala[[#This Row],[Cobrada]]="Sí",Sala[[#This Row],[Método de Pago]],"Impago")</f>
        <v>Tarjeta de crédito</v>
      </c>
      <c r="Y161">
        <f>IF(Sala[[#This Row],[Cobrada]]="Sí",Sala[[#This Row],[Propina]],0)</f>
        <v>26.02</v>
      </c>
      <c r="Z161">
        <f>(IF(Sala[[#This Row],[Cobrada]]="Sí",Sala[[#This Row],[Monto total]],0))+Sala[[#This Row],[Propina real]]</f>
        <v>182.02</v>
      </c>
    </row>
    <row r="162" spans="1:26" x14ac:dyDescent="0.25">
      <c r="A162">
        <v>13</v>
      </c>
      <c r="B162" t="s">
        <v>194</v>
      </c>
      <c r="C162">
        <v>6</v>
      </c>
      <c r="D162" s="2">
        <v>45018</v>
      </c>
      <c r="E162" s="3">
        <v>3.125E-2</v>
      </c>
      <c r="F162" s="2">
        <v>45018</v>
      </c>
      <c r="G162" s="3">
        <v>0.18263888888888888</v>
      </c>
      <c r="H162" s="1" t="s">
        <v>16</v>
      </c>
      <c r="I162" t="s">
        <v>8</v>
      </c>
      <c r="J162" t="s">
        <v>601</v>
      </c>
      <c r="K162" s="9">
        <v>18.86</v>
      </c>
      <c r="L162" t="s">
        <v>9</v>
      </c>
      <c r="M162">
        <v>161</v>
      </c>
      <c r="N162" t="s">
        <v>21</v>
      </c>
      <c r="O162" s="3">
        <f>(Sala[[#This Row],[Hora de Salida]]-Sala[[#This Row],[Hora de llegada]])+IF(Sala[[#This Row],[Estado de la Mesa]]="Ocupada",(TEXT((15/(60*24)),"h:mm")),(TEXT(0,"h:mm")))</f>
        <v>0.15138888888888888</v>
      </c>
      <c r="P162" s="43">
        <f>(SUMIF(Cocina[Número de Orden],Sala[[#This Row],[Número de Orden]],Cocina[Tiempo de Preparación]))</f>
        <v>57</v>
      </c>
      <c r="Q162" s="5" t="str">
        <f>TEXT(((SUMIF(Cocina[Número de Orden],Sala[[#This Row],[Número de Orden]],Cocina[Tiempo de Preparación]))/(60*24)),"h:mm")</f>
        <v>0:57</v>
      </c>
      <c r="R162" s="3">
        <f>MAX((Sala[[#This Row],[Tiempo de permanencia]]-Sala[[#This Row],[Tiempo de preparación (h)]]),0)</f>
        <v>0.11180555555555555</v>
      </c>
      <c r="S162" s="8">
        <f>SUMIF(Cocina[Número de Orden],Sala[[#This Row],[Número de Orden]],Cocina[Ganancia bruta])</f>
        <v>84</v>
      </c>
      <c r="T162" s="8">
        <f>SUMIF(Cocina[Número de Orden],Sala[[#This Row],[Número de Orden]],Cocina[Costo Unitario])</f>
        <v>16</v>
      </c>
      <c r="U162" s="2">
        <f>Sala[[#This Row],[Fecha de Salida]]</f>
        <v>45018</v>
      </c>
      <c r="V162" s="7" t="str">
        <f>TEXT(Sala[[#This Row],[Fecha factura]],"dddd")</f>
        <v>domingo</v>
      </c>
      <c r="W162" t="str">
        <f>IF(Sala[[#This Row],[Tiempo de degustación]]&gt;0,"Sí","No")</f>
        <v>Sí</v>
      </c>
      <c r="X162" t="str">
        <f>IF(Sala[[#This Row],[Cobrada]]="Sí",Sala[[#This Row],[Método de Pago]],"Impago")</f>
        <v>Tarjeta de crédito</v>
      </c>
      <c r="Y162">
        <f>IF(Sala[[#This Row],[Cobrada]]="Sí",Sala[[#This Row],[Propina]],0)</f>
        <v>18.86</v>
      </c>
      <c r="Z162">
        <f>(IF(Sala[[#This Row],[Cobrada]]="Sí",Sala[[#This Row],[Monto total]],0))+Sala[[#This Row],[Propina real]]</f>
        <v>102.86</v>
      </c>
    </row>
    <row r="163" spans="1:26" x14ac:dyDescent="0.25">
      <c r="A163">
        <v>14</v>
      </c>
      <c r="B163" t="s">
        <v>195</v>
      </c>
      <c r="C163">
        <v>4</v>
      </c>
      <c r="D163" s="2">
        <v>45018</v>
      </c>
      <c r="E163" s="3">
        <v>3.9583333333333331E-2</v>
      </c>
      <c r="F163" s="2">
        <v>45018</v>
      </c>
      <c r="G163" s="3">
        <v>0.10694444444444444</v>
      </c>
      <c r="H163" s="1" t="s">
        <v>11</v>
      </c>
      <c r="I163" t="s">
        <v>8</v>
      </c>
      <c r="J163" t="s">
        <v>601</v>
      </c>
      <c r="K163" s="9">
        <v>17.55</v>
      </c>
      <c r="L163" t="s">
        <v>9</v>
      </c>
      <c r="M163">
        <v>162</v>
      </c>
      <c r="N163" t="s">
        <v>21</v>
      </c>
      <c r="O163" s="3">
        <f>(Sala[[#This Row],[Hora de Salida]]-Sala[[#This Row],[Hora de llegada]])+IF(Sala[[#This Row],[Estado de la Mesa]]="Ocupada",(TEXT((15/(60*24)),"h:mm")),(TEXT(0,"h:mm")))</f>
        <v>6.7361111111111108E-2</v>
      </c>
      <c r="P163" s="43">
        <f>(SUMIF(Cocina[Número de Orden],Sala[[#This Row],[Número de Orden]],Cocina[Tiempo de Preparación]))</f>
        <v>25</v>
      </c>
      <c r="Q163" s="5" t="str">
        <f>TEXT(((SUMIF(Cocina[Número de Orden],Sala[[#This Row],[Número de Orden]],Cocina[Tiempo de Preparación]))/(60*24)),"h:mm")</f>
        <v>0:25</v>
      </c>
      <c r="R163" s="3">
        <f>MAX((Sala[[#This Row],[Tiempo de permanencia]]-Sala[[#This Row],[Tiempo de preparación (h)]]),0)</f>
        <v>4.9999999999999996E-2</v>
      </c>
      <c r="S163" s="8">
        <f>SUMIF(Cocina[Número de Orden],Sala[[#This Row],[Número de Orden]],Cocina[Ganancia bruta])</f>
        <v>72</v>
      </c>
      <c r="T163" s="8">
        <f>SUMIF(Cocina[Número de Orden],Sala[[#This Row],[Número de Orden]],Cocina[Costo Unitario])</f>
        <v>14</v>
      </c>
      <c r="U163" s="2">
        <f>Sala[[#This Row],[Fecha de Salida]]</f>
        <v>45018</v>
      </c>
      <c r="V163" s="7" t="str">
        <f>TEXT(Sala[[#This Row],[Fecha factura]],"dddd")</f>
        <v>domingo</v>
      </c>
      <c r="W163" t="str">
        <f>IF(Sala[[#This Row],[Tiempo de degustación]]&gt;0,"Sí","No")</f>
        <v>Sí</v>
      </c>
      <c r="X163" t="str">
        <f>IF(Sala[[#This Row],[Cobrada]]="Sí",Sala[[#This Row],[Método de Pago]],"Impago")</f>
        <v>Tarjeta de crédito</v>
      </c>
      <c r="Y163">
        <f>IF(Sala[[#This Row],[Cobrada]]="Sí",Sala[[#This Row],[Propina]],0)</f>
        <v>17.55</v>
      </c>
      <c r="Z163">
        <f>(IF(Sala[[#This Row],[Cobrada]]="Sí",Sala[[#This Row],[Monto total]],0))+Sala[[#This Row],[Propina real]]</f>
        <v>89.55</v>
      </c>
    </row>
    <row r="164" spans="1:26" x14ac:dyDescent="0.25">
      <c r="A164">
        <v>6</v>
      </c>
      <c r="B164" t="s">
        <v>196</v>
      </c>
      <c r="C164">
        <v>1</v>
      </c>
      <c r="D164" s="2">
        <v>45018</v>
      </c>
      <c r="E164" s="3">
        <v>6.5972222222222224E-2</v>
      </c>
      <c r="F164" s="2">
        <v>45018</v>
      </c>
      <c r="G164" s="3">
        <v>0.17291666666666666</v>
      </c>
      <c r="H164" s="1" t="s">
        <v>20</v>
      </c>
      <c r="I164" t="s">
        <v>8</v>
      </c>
      <c r="J164" t="s">
        <v>601</v>
      </c>
      <c r="K164" s="9">
        <v>14.94</v>
      </c>
      <c r="L164" t="s">
        <v>28</v>
      </c>
      <c r="M164">
        <v>163</v>
      </c>
      <c r="N164" t="s">
        <v>47</v>
      </c>
      <c r="O164" s="3">
        <f>(Sala[[#This Row],[Hora de Salida]]-Sala[[#This Row],[Hora de llegada]])+IF(Sala[[#This Row],[Estado de la Mesa]]="Ocupada",(TEXT((15/(60*24)),"h:mm")),(TEXT(0,"h:mm")))</f>
        <v>0.11736111111111111</v>
      </c>
      <c r="P164" s="43">
        <f>(SUMIF(Cocina[Número de Orden],Sala[[#This Row],[Número de Orden]],Cocina[Tiempo de Preparación]))</f>
        <v>71</v>
      </c>
      <c r="Q164" s="5" t="str">
        <f>TEXT(((SUMIF(Cocina[Número de Orden],Sala[[#This Row],[Número de Orden]],Cocina[Tiempo de Preparación]))/(60*24)),"h:mm")</f>
        <v>1:11</v>
      </c>
      <c r="R164" s="3">
        <f>MAX((Sala[[#This Row],[Tiempo de permanencia]]-Sala[[#This Row],[Tiempo de preparación (h)]]),0)</f>
        <v>6.8055555555555564E-2</v>
      </c>
      <c r="S164" s="8">
        <f>SUMIF(Cocina[Número de Orden],Sala[[#This Row],[Número de Orden]],Cocina[Ganancia bruta])</f>
        <v>271</v>
      </c>
      <c r="T164" s="8">
        <f>SUMIF(Cocina[Número de Orden],Sala[[#This Row],[Número de Orden]],Cocina[Costo Unitario])</f>
        <v>70</v>
      </c>
      <c r="U164" s="2">
        <f>Sala[[#This Row],[Fecha de Salida]]</f>
        <v>45018</v>
      </c>
      <c r="V164" s="7" t="str">
        <f>TEXT(Sala[[#This Row],[Fecha factura]],"dddd")</f>
        <v>domingo</v>
      </c>
      <c r="W164" t="str">
        <f>IF(Sala[[#This Row],[Tiempo de degustación]]&gt;0,"Sí","No")</f>
        <v>Sí</v>
      </c>
      <c r="X164" t="str">
        <f>IF(Sala[[#This Row],[Cobrada]]="Sí",Sala[[#This Row],[Método de Pago]],"Impago")</f>
        <v>Tarjeta de crédito</v>
      </c>
      <c r="Y164">
        <f>IF(Sala[[#This Row],[Cobrada]]="Sí",Sala[[#This Row],[Propina]],0)</f>
        <v>14.94</v>
      </c>
      <c r="Z164">
        <f>(IF(Sala[[#This Row],[Cobrada]]="Sí",Sala[[#This Row],[Monto total]],0))+Sala[[#This Row],[Propina real]]</f>
        <v>285.94</v>
      </c>
    </row>
    <row r="165" spans="1:26" x14ac:dyDescent="0.25">
      <c r="A165">
        <v>8</v>
      </c>
      <c r="B165" t="s">
        <v>197</v>
      </c>
      <c r="C165">
        <v>2</v>
      </c>
      <c r="D165" s="2">
        <v>45018</v>
      </c>
      <c r="E165" s="3">
        <v>0.10694444444444444</v>
      </c>
      <c r="F165" s="2">
        <v>45018</v>
      </c>
      <c r="G165" s="3">
        <v>0.25138888888888888</v>
      </c>
      <c r="H165" s="1" t="s">
        <v>23</v>
      </c>
      <c r="I165" t="s">
        <v>25</v>
      </c>
      <c r="J165" t="s">
        <v>601</v>
      </c>
      <c r="K165" s="9">
        <v>47.53</v>
      </c>
      <c r="L165" t="s">
        <v>9</v>
      </c>
      <c r="M165">
        <v>164</v>
      </c>
      <c r="N165" t="s">
        <v>14</v>
      </c>
      <c r="O165" s="3">
        <f>(Sala[[#This Row],[Hora de Salida]]-Sala[[#This Row],[Hora de llegada]])+IF(Sala[[#This Row],[Estado de la Mesa]]="Ocupada",(TEXT((15/(60*24)),"h:mm")),(TEXT(0,"h:mm")))</f>
        <v>0.14444444444444443</v>
      </c>
      <c r="P165" s="43">
        <f>(SUMIF(Cocina[Número de Orden],Sala[[#This Row],[Número de Orden]],Cocina[Tiempo de Preparación]))</f>
        <v>105</v>
      </c>
      <c r="Q165" s="5" t="str">
        <f>TEXT(((SUMIF(Cocina[Número de Orden],Sala[[#This Row],[Número de Orden]],Cocina[Tiempo de Preparación]))/(60*24)),"h:mm")</f>
        <v>1:45</v>
      </c>
      <c r="R165" s="3">
        <f>MAX((Sala[[#This Row],[Tiempo de permanencia]]-Sala[[#This Row],[Tiempo de preparación (h)]]),0)</f>
        <v>7.152777777777776E-2</v>
      </c>
      <c r="S165" s="8">
        <f>SUMIF(Cocina[Número de Orden],Sala[[#This Row],[Número de Orden]],Cocina[Ganancia bruta])</f>
        <v>170</v>
      </c>
      <c r="T165" s="8">
        <f>SUMIF(Cocina[Número de Orden],Sala[[#This Row],[Número de Orden]],Cocina[Costo Unitario])</f>
        <v>68</v>
      </c>
      <c r="U165" s="2">
        <f>Sala[[#This Row],[Fecha de Salida]]</f>
        <v>45018</v>
      </c>
      <c r="V165" s="7" t="str">
        <f>TEXT(Sala[[#This Row],[Fecha factura]],"dddd")</f>
        <v>domingo</v>
      </c>
      <c r="W165" t="str">
        <f>IF(Sala[[#This Row],[Tiempo de degustación]]&gt;0,"Sí","No")</f>
        <v>Sí</v>
      </c>
      <c r="X165" t="str">
        <f>IF(Sala[[#This Row],[Cobrada]]="Sí",Sala[[#This Row],[Método de Pago]],"Impago")</f>
        <v>Tarjeta de crédito</v>
      </c>
      <c r="Y165">
        <f>IF(Sala[[#This Row],[Cobrada]]="Sí",Sala[[#This Row],[Propina]],0)</f>
        <v>47.53</v>
      </c>
      <c r="Z165">
        <f>(IF(Sala[[#This Row],[Cobrada]]="Sí",Sala[[#This Row],[Monto total]],0))+Sala[[#This Row],[Propina real]]</f>
        <v>217.53</v>
      </c>
    </row>
    <row r="166" spans="1:26" x14ac:dyDescent="0.25">
      <c r="A166">
        <v>10</v>
      </c>
      <c r="B166" t="s">
        <v>198</v>
      </c>
      <c r="C166">
        <v>3</v>
      </c>
      <c r="D166" s="2">
        <v>45018</v>
      </c>
      <c r="E166" s="3">
        <v>9.7916666666666666E-2</v>
      </c>
      <c r="F166" s="2">
        <v>45018</v>
      </c>
      <c r="G166" s="3">
        <v>0.21666666666666667</v>
      </c>
      <c r="H166" s="1" t="s">
        <v>7</v>
      </c>
      <c r="I166" t="s">
        <v>25</v>
      </c>
      <c r="J166" t="s">
        <v>601</v>
      </c>
      <c r="K166" s="9">
        <v>41.9</v>
      </c>
      <c r="L166" t="s">
        <v>28</v>
      </c>
      <c r="M166">
        <v>165</v>
      </c>
      <c r="N166" t="s">
        <v>593</v>
      </c>
      <c r="O166" s="3">
        <f>(Sala[[#This Row],[Hora de Salida]]-Sala[[#This Row],[Hora de llegada]])+IF(Sala[[#This Row],[Estado de la Mesa]]="Ocupada",(TEXT((15/(60*24)),"h:mm")),(TEXT(0,"h:mm")))</f>
        <v>0.12916666666666668</v>
      </c>
      <c r="P166" s="43">
        <f>(SUMIF(Cocina[Número de Orden],Sala[[#This Row],[Número de Orden]],Cocina[Tiempo de Preparación]))</f>
        <v>56</v>
      </c>
      <c r="Q166" s="5" t="str">
        <f>TEXT(((SUMIF(Cocina[Número de Orden],Sala[[#This Row],[Número de Orden]],Cocina[Tiempo de Preparación]))/(60*24)),"h:mm")</f>
        <v>0:56</v>
      </c>
      <c r="R166" s="3">
        <f>MAX((Sala[[#This Row],[Tiempo de permanencia]]-Sala[[#This Row],[Tiempo de preparación (h)]]),0)</f>
        <v>9.027777777777779E-2</v>
      </c>
      <c r="S166" s="8">
        <f>SUMIF(Cocina[Número de Orden],Sala[[#This Row],[Número de Orden]],Cocina[Ganancia bruta])</f>
        <v>90</v>
      </c>
      <c r="T166" s="8">
        <f>SUMIF(Cocina[Número de Orden],Sala[[#This Row],[Número de Orden]],Cocina[Costo Unitario])</f>
        <v>27</v>
      </c>
      <c r="U166" s="2">
        <f>Sala[[#This Row],[Fecha de Salida]]</f>
        <v>45018</v>
      </c>
      <c r="V166" s="7" t="str">
        <f>TEXT(Sala[[#This Row],[Fecha factura]],"dddd")</f>
        <v>domingo</v>
      </c>
      <c r="W166" t="str">
        <f>IF(Sala[[#This Row],[Tiempo de degustación]]&gt;0,"Sí","No")</f>
        <v>Sí</v>
      </c>
      <c r="X166" t="str">
        <f>IF(Sala[[#This Row],[Cobrada]]="Sí",Sala[[#This Row],[Método de Pago]],"Impago")</f>
        <v>Tarjeta de crédito</v>
      </c>
      <c r="Y166">
        <f>IF(Sala[[#This Row],[Cobrada]]="Sí",Sala[[#This Row],[Propina]],0)</f>
        <v>41.9</v>
      </c>
      <c r="Z166">
        <f>(IF(Sala[[#This Row],[Cobrada]]="Sí",Sala[[#This Row],[Monto total]],0))+Sala[[#This Row],[Propina real]]</f>
        <v>131.9</v>
      </c>
    </row>
    <row r="167" spans="1:26" x14ac:dyDescent="0.25">
      <c r="A167">
        <v>12</v>
      </c>
      <c r="B167" t="s">
        <v>199</v>
      </c>
      <c r="C167">
        <v>1</v>
      </c>
      <c r="D167" s="2">
        <v>45018</v>
      </c>
      <c r="E167" s="3">
        <v>5.4166666666666669E-2</v>
      </c>
      <c r="F167" s="2">
        <v>45018</v>
      </c>
      <c r="G167" s="3">
        <v>0.11388888888888889</v>
      </c>
      <c r="H167" s="1" t="s">
        <v>23</v>
      </c>
      <c r="I167" t="s">
        <v>8</v>
      </c>
      <c r="J167" t="s">
        <v>13</v>
      </c>
      <c r="K167" s="9">
        <v>43.95</v>
      </c>
      <c r="L167" t="s">
        <v>28</v>
      </c>
      <c r="M167">
        <v>166</v>
      </c>
      <c r="N167" t="s">
        <v>593</v>
      </c>
      <c r="O167" s="3">
        <f>(Sala[[#This Row],[Hora de Salida]]-Sala[[#This Row],[Hora de llegada]])+IF(Sala[[#This Row],[Estado de la Mesa]]="Ocupada",(TEXT((15/(60*24)),"h:mm")),(TEXT(0,"h:mm")))</f>
        <v>7.013888888888889E-2</v>
      </c>
      <c r="P167" s="43">
        <f>(SUMIF(Cocina[Número de Orden],Sala[[#This Row],[Número de Orden]],Cocina[Tiempo de Preparación]))</f>
        <v>22</v>
      </c>
      <c r="Q167" s="5" t="str">
        <f>TEXT(((SUMIF(Cocina[Número de Orden],Sala[[#This Row],[Número de Orden]],Cocina[Tiempo de Preparación]))/(60*24)),"h:mm")</f>
        <v>0:22</v>
      </c>
      <c r="R167" s="3">
        <f>MAX((Sala[[#This Row],[Tiempo de permanencia]]-Sala[[#This Row],[Tiempo de preparación (h)]]),0)</f>
        <v>5.486111111111111E-2</v>
      </c>
      <c r="S167" s="8">
        <f>SUMIF(Cocina[Número de Orden],Sala[[#This Row],[Número de Orden]],Cocina[Ganancia bruta])</f>
        <v>46</v>
      </c>
      <c r="T167" s="8">
        <f>SUMIF(Cocina[Número de Orden],Sala[[#This Row],[Número de Orden]],Cocina[Costo Unitario])</f>
        <v>14</v>
      </c>
      <c r="U167" s="2">
        <f>Sala[[#This Row],[Fecha de Salida]]</f>
        <v>45018</v>
      </c>
      <c r="V167" s="7" t="str">
        <f>TEXT(Sala[[#This Row],[Fecha factura]],"dddd")</f>
        <v>domingo</v>
      </c>
      <c r="W167" t="str">
        <f>IF(Sala[[#This Row],[Tiempo de degustación]]&gt;0,"Sí","No")</f>
        <v>Sí</v>
      </c>
      <c r="X167" t="str">
        <f>IF(Sala[[#This Row],[Cobrada]]="Sí",Sala[[#This Row],[Método de Pago]],"Impago")</f>
        <v>Efectivo</v>
      </c>
      <c r="Y167">
        <f>IF(Sala[[#This Row],[Cobrada]]="Sí",Sala[[#This Row],[Propina]],0)</f>
        <v>43.95</v>
      </c>
      <c r="Z167">
        <f>(IF(Sala[[#This Row],[Cobrada]]="Sí",Sala[[#This Row],[Monto total]],0))+Sala[[#This Row],[Propina real]]</f>
        <v>89.95</v>
      </c>
    </row>
    <row r="168" spans="1:26" x14ac:dyDescent="0.25">
      <c r="A168">
        <v>5</v>
      </c>
      <c r="B168" t="s">
        <v>201</v>
      </c>
      <c r="C168">
        <v>6</v>
      </c>
      <c r="D168" s="2">
        <v>45018</v>
      </c>
      <c r="E168" s="3">
        <v>5.486111111111111E-2</v>
      </c>
      <c r="F168" s="2">
        <v>45018</v>
      </c>
      <c r="G168" s="3">
        <v>0.11527777777777778</v>
      </c>
      <c r="H168" s="1" t="s">
        <v>16</v>
      </c>
      <c r="I168" t="s">
        <v>8</v>
      </c>
      <c r="J168" t="s">
        <v>600</v>
      </c>
      <c r="K168" s="9">
        <v>42.74</v>
      </c>
      <c r="L168" t="s">
        <v>9</v>
      </c>
      <c r="M168">
        <v>167</v>
      </c>
      <c r="N168" t="s">
        <v>59</v>
      </c>
      <c r="O168" s="3">
        <f>(Sala[[#This Row],[Hora de Salida]]-Sala[[#This Row],[Hora de llegada]])+IF(Sala[[#This Row],[Estado de la Mesa]]="Ocupada",(TEXT((15/(60*24)),"h:mm")),(TEXT(0,"h:mm")))</f>
        <v>6.0416666666666674E-2</v>
      </c>
      <c r="P168" s="43">
        <f>(SUMIF(Cocina[Número de Orden],Sala[[#This Row],[Número de Orden]],Cocina[Tiempo de Preparación]))</f>
        <v>76</v>
      </c>
      <c r="Q168" s="5" t="str">
        <f>TEXT(((SUMIF(Cocina[Número de Orden],Sala[[#This Row],[Número de Orden]],Cocina[Tiempo de Preparación]))/(60*24)),"h:mm")</f>
        <v>1:16</v>
      </c>
      <c r="R168" s="3">
        <f>MAX((Sala[[#This Row],[Tiempo de permanencia]]-Sala[[#This Row],[Tiempo de preparación (h)]]),0)</f>
        <v>7.6388888888888964E-3</v>
      </c>
      <c r="S168" s="8">
        <f>SUMIF(Cocina[Número de Orden],Sala[[#This Row],[Número de Orden]],Cocina[Ganancia bruta])</f>
        <v>152</v>
      </c>
      <c r="T168" s="8">
        <f>SUMIF(Cocina[Número de Orden],Sala[[#This Row],[Número de Orden]],Cocina[Costo Unitario])</f>
        <v>50</v>
      </c>
      <c r="U168" s="2">
        <f>Sala[[#This Row],[Fecha de Salida]]</f>
        <v>45018</v>
      </c>
      <c r="V168" s="7" t="str">
        <f>TEXT(Sala[[#This Row],[Fecha factura]],"dddd")</f>
        <v>domingo</v>
      </c>
      <c r="W168" t="str">
        <f>IF(Sala[[#This Row],[Tiempo de degustación]]&gt;0,"Sí","No")</f>
        <v>Sí</v>
      </c>
      <c r="X168" t="str">
        <f>IF(Sala[[#This Row],[Cobrada]]="Sí",Sala[[#This Row],[Método de Pago]],"Impago")</f>
        <v>Tarjeta de débito</v>
      </c>
      <c r="Y168">
        <f>IF(Sala[[#This Row],[Cobrada]]="Sí",Sala[[#This Row],[Propina]],0)</f>
        <v>42.74</v>
      </c>
      <c r="Z168">
        <f>(IF(Sala[[#This Row],[Cobrada]]="Sí",Sala[[#This Row],[Monto total]],0))+Sala[[#This Row],[Propina real]]</f>
        <v>194.74</v>
      </c>
    </row>
    <row r="169" spans="1:26" x14ac:dyDescent="0.25">
      <c r="A169">
        <v>17</v>
      </c>
      <c r="B169" t="s">
        <v>202</v>
      </c>
      <c r="C169">
        <v>4</v>
      </c>
      <c r="D169" s="2">
        <v>45018</v>
      </c>
      <c r="E169" s="3">
        <v>8.6805555555555552E-2</v>
      </c>
      <c r="F169" s="2">
        <v>45018</v>
      </c>
      <c r="G169" s="3">
        <v>0.14097222222222222</v>
      </c>
      <c r="H169" s="1" t="s">
        <v>11</v>
      </c>
      <c r="I169" t="s">
        <v>8</v>
      </c>
      <c r="J169" t="s">
        <v>601</v>
      </c>
      <c r="K169" s="9">
        <v>17.09</v>
      </c>
      <c r="L169" t="s">
        <v>9</v>
      </c>
      <c r="M169">
        <v>168</v>
      </c>
      <c r="N169" t="s">
        <v>29</v>
      </c>
      <c r="O169" s="3">
        <f>(Sala[[#This Row],[Hora de Salida]]-Sala[[#This Row],[Hora de llegada]])+IF(Sala[[#This Row],[Estado de la Mesa]]="Ocupada",(TEXT((15/(60*24)),"h:mm")),(TEXT(0,"h:mm")))</f>
        <v>5.4166666666666669E-2</v>
      </c>
      <c r="P169" s="43">
        <f>(SUMIF(Cocina[Número de Orden],Sala[[#This Row],[Número de Orden]],Cocina[Tiempo de Preparación]))</f>
        <v>7</v>
      </c>
      <c r="Q169" s="5" t="str">
        <f>TEXT(((SUMIF(Cocina[Número de Orden],Sala[[#This Row],[Número de Orden]],Cocina[Tiempo de Preparación]))/(60*24)),"h:mm")</f>
        <v>0:07</v>
      </c>
      <c r="R169" s="3">
        <f>MAX((Sala[[#This Row],[Tiempo de permanencia]]-Sala[[#This Row],[Tiempo de preparación (h)]]),0)</f>
        <v>4.9305555555555561E-2</v>
      </c>
      <c r="S169" s="8">
        <f>SUMIF(Cocina[Número de Orden],Sala[[#This Row],[Número de Orden]],Cocina[Ganancia bruta])</f>
        <v>44</v>
      </c>
      <c r="T169" s="8">
        <f>SUMIF(Cocina[Número de Orden],Sala[[#This Row],[Número de Orden]],Cocina[Costo Unitario])</f>
        <v>13</v>
      </c>
      <c r="U169" s="2">
        <f>Sala[[#This Row],[Fecha de Salida]]</f>
        <v>45018</v>
      </c>
      <c r="V169" s="7" t="str">
        <f>TEXT(Sala[[#This Row],[Fecha factura]],"dddd")</f>
        <v>domingo</v>
      </c>
      <c r="W169" t="str">
        <f>IF(Sala[[#This Row],[Tiempo de degustación]]&gt;0,"Sí","No")</f>
        <v>Sí</v>
      </c>
      <c r="X169" t="str">
        <f>IF(Sala[[#This Row],[Cobrada]]="Sí",Sala[[#This Row],[Método de Pago]],"Impago")</f>
        <v>Tarjeta de crédito</v>
      </c>
      <c r="Y169">
        <f>IF(Sala[[#This Row],[Cobrada]]="Sí",Sala[[#This Row],[Propina]],0)</f>
        <v>17.09</v>
      </c>
      <c r="Z169">
        <f>(IF(Sala[[#This Row],[Cobrada]]="Sí",Sala[[#This Row],[Monto total]],0))+Sala[[#This Row],[Propina real]]</f>
        <v>61.09</v>
      </c>
    </row>
    <row r="170" spans="1:26" x14ac:dyDescent="0.25">
      <c r="A170">
        <v>19</v>
      </c>
      <c r="B170" t="s">
        <v>204</v>
      </c>
      <c r="C170">
        <v>1</v>
      </c>
      <c r="D170" s="2">
        <v>45018</v>
      </c>
      <c r="E170" s="3">
        <v>8.0555555555555561E-2</v>
      </c>
      <c r="F170" s="2">
        <v>45018</v>
      </c>
      <c r="G170" s="3">
        <v>0.21805555555555556</v>
      </c>
      <c r="H170" s="1" t="s">
        <v>7</v>
      </c>
      <c r="I170" t="s">
        <v>8</v>
      </c>
      <c r="J170" t="s">
        <v>600</v>
      </c>
      <c r="K170" s="9">
        <v>16.62</v>
      </c>
      <c r="L170" t="s">
        <v>17</v>
      </c>
      <c r="M170">
        <v>169</v>
      </c>
      <c r="N170" t="s">
        <v>21</v>
      </c>
      <c r="O170" s="3">
        <f>(Sala[[#This Row],[Hora de Salida]]-Sala[[#This Row],[Hora de llegada]])+IF(Sala[[#This Row],[Estado de la Mesa]]="Ocupada",(TEXT((15/(60*24)),"h:mm")),(TEXT(0,"h:mm")))</f>
        <v>0.13750000000000001</v>
      </c>
      <c r="P170" s="43">
        <f>(SUMIF(Cocina[Número de Orden],Sala[[#This Row],[Número de Orden]],Cocina[Tiempo de Preparación]))</f>
        <v>110</v>
      </c>
      <c r="Q170" s="5" t="str">
        <f>TEXT(((SUMIF(Cocina[Número de Orden],Sala[[#This Row],[Número de Orden]],Cocina[Tiempo de Preparación]))/(60*24)),"h:mm")</f>
        <v>1:50</v>
      </c>
      <c r="R170" s="3">
        <f>MAX((Sala[[#This Row],[Tiempo de permanencia]]-Sala[[#This Row],[Tiempo de preparación (h)]]),0)</f>
        <v>6.1111111111111116E-2</v>
      </c>
      <c r="S170" s="8">
        <f>SUMIF(Cocina[Número de Orden],Sala[[#This Row],[Número de Orden]],Cocina[Ganancia bruta])</f>
        <v>154</v>
      </c>
      <c r="T170" s="8">
        <f>SUMIF(Cocina[Número de Orden],Sala[[#This Row],[Número de Orden]],Cocina[Costo Unitario])</f>
        <v>46</v>
      </c>
      <c r="U170" s="2">
        <f>Sala[[#This Row],[Fecha de Salida]]</f>
        <v>45018</v>
      </c>
      <c r="V170" s="7" t="str">
        <f>TEXT(Sala[[#This Row],[Fecha factura]],"dddd")</f>
        <v>domingo</v>
      </c>
      <c r="W170" t="str">
        <f>IF(Sala[[#This Row],[Tiempo de degustación]]&gt;0,"Sí","No")</f>
        <v>Sí</v>
      </c>
      <c r="X170" t="str">
        <f>IF(Sala[[#This Row],[Cobrada]]="Sí",Sala[[#This Row],[Método de Pago]],"Impago")</f>
        <v>Tarjeta de débito</v>
      </c>
      <c r="Y170">
        <f>IF(Sala[[#This Row],[Cobrada]]="Sí",Sala[[#This Row],[Propina]],0)</f>
        <v>16.62</v>
      </c>
      <c r="Z170">
        <f>(IF(Sala[[#This Row],[Cobrada]]="Sí",Sala[[#This Row],[Monto total]],0))+Sala[[#This Row],[Propina real]]</f>
        <v>170.62</v>
      </c>
    </row>
    <row r="171" spans="1:26" x14ac:dyDescent="0.25">
      <c r="A171">
        <v>12</v>
      </c>
      <c r="B171" t="s">
        <v>205</v>
      </c>
      <c r="C171">
        <v>2</v>
      </c>
      <c r="D171" s="2">
        <v>45018</v>
      </c>
      <c r="E171" s="3">
        <v>0.10902777777777778</v>
      </c>
      <c r="F171" s="2">
        <v>45018</v>
      </c>
      <c r="G171" s="3">
        <v>0.22638888888888889</v>
      </c>
      <c r="H171" s="1" t="s">
        <v>16</v>
      </c>
      <c r="I171" t="s">
        <v>25</v>
      </c>
      <c r="J171" t="s">
        <v>601</v>
      </c>
      <c r="K171" s="9">
        <v>25.98</v>
      </c>
      <c r="L171" t="s">
        <v>17</v>
      </c>
      <c r="M171">
        <v>170</v>
      </c>
      <c r="N171" t="s">
        <v>14</v>
      </c>
      <c r="O171" s="3">
        <f>(Sala[[#This Row],[Hora de Salida]]-Sala[[#This Row],[Hora de llegada]])+IF(Sala[[#This Row],[Estado de la Mesa]]="Ocupada",(TEXT((15/(60*24)),"h:mm")),(TEXT(0,"h:mm")))</f>
        <v>0.11736111111111111</v>
      </c>
      <c r="P171" s="43">
        <f>(SUMIF(Cocina[Número de Orden],Sala[[#This Row],[Número de Orden]],Cocina[Tiempo de Preparación]))</f>
        <v>73</v>
      </c>
      <c r="Q171" s="5" t="str">
        <f>TEXT(((SUMIF(Cocina[Número de Orden],Sala[[#This Row],[Número de Orden]],Cocina[Tiempo de Preparación]))/(60*24)),"h:mm")</f>
        <v>1:13</v>
      </c>
      <c r="R171" s="3">
        <f>MAX((Sala[[#This Row],[Tiempo de permanencia]]-Sala[[#This Row],[Tiempo de preparación (h)]]),0)</f>
        <v>6.6666666666666666E-2</v>
      </c>
      <c r="S171" s="8">
        <f>SUMIF(Cocina[Número de Orden],Sala[[#This Row],[Número de Orden]],Cocina[Ganancia bruta])</f>
        <v>243</v>
      </c>
      <c r="T171" s="8">
        <f>SUMIF(Cocina[Número de Orden],Sala[[#This Row],[Número de Orden]],Cocina[Costo Unitario])</f>
        <v>69</v>
      </c>
      <c r="U171" s="2">
        <f>Sala[[#This Row],[Fecha de Salida]]</f>
        <v>45018</v>
      </c>
      <c r="V171" s="7" t="str">
        <f>TEXT(Sala[[#This Row],[Fecha factura]],"dddd")</f>
        <v>domingo</v>
      </c>
      <c r="W171" t="str">
        <f>IF(Sala[[#This Row],[Tiempo de degustación]]&gt;0,"Sí","No")</f>
        <v>Sí</v>
      </c>
      <c r="X171" t="str">
        <f>IF(Sala[[#This Row],[Cobrada]]="Sí",Sala[[#This Row],[Método de Pago]],"Impago")</f>
        <v>Tarjeta de crédito</v>
      </c>
      <c r="Y171">
        <f>IF(Sala[[#This Row],[Cobrada]]="Sí",Sala[[#This Row],[Propina]],0)</f>
        <v>25.98</v>
      </c>
      <c r="Z171">
        <f>(IF(Sala[[#This Row],[Cobrada]]="Sí",Sala[[#This Row],[Monto total]],0))+Sala[[#This Row],[Propina real]]</f>
        <v>268.98</v>
      </c>
    </row>
    <row r="172" spans="1:26" x14ac:dyDescent="0.25">
      <c r="A172">
        <v>16</v>
      </c>
      <c r="B172" t="s">
        <v>206</v>
      </c>
      <c r="C172">
        <v>6</v>
      </c>
      <c r="D172" s="2">
        <v>45018</v>
      </c>
      <c r="E172" s="3">
        <v>7.8472222222222221E-2</v>
      </c>
      <c r="F172" s="2">
        <v>45018</v>
      </c>
      <c r="G172" s="3">
        <v>0.12777777777777777</v>
      </c>
      <c r="H172" s="1" t="s">
        <v>16</v>
      </c>
      <c r="I172" t="s">
        <v>25</v>
      </c>
      <c r="J172" t="s">
        <v>601</v>
      </c>
      <c r="K172" s="9">
        <v>46.56</v>
      </c>
      <c r="L172" t="s">
        <v>17</v>
      </c>
      <c r="M172">
        <v>171</v>
      </c>
      <c r="N172" t="s">
        <v>18</v>
      </c>
      <c r="O172" s="3">
        <f>(Sala[[#This Row],[Hora de Salida]]-Sala[[#This Row],[Hora de llegada]])+IF(Sala[[#This Row],[Estado de la Mesa]]="Ocupada",(TEXT((15/(60*24)),"h:mm")),(TEXT(0,"h:mm")))</f>
        <v>4.9305555555555547E-2</v>
      </c>
      <c r="P172" s="43">
        <f>(SUMIF(Cocina[Número de Orden],Sala[[#This Row],[Número de Orden]],Cocina[Tiempo de Preparación]))</f>
        <v>51</v>
      </c>
      <c r="Q172" s="5" t="str">
        <f>TEXT(((SUMIF(Cocina[Número de Orden],Sala[[#This Row],[Número de Orden]],Cocina[Tiempo de Preparación]))/(60*24)),"h:mm")</f>
        <v>0:51</v>
      </c>
      <c r="R172" s="3">
        <f>MAX((Sala[[#This Row],[Tiempo de permanencia]]-Sala[[#This Row],[Tiempo de preparación (h)]]),0)</f>
        <v>1.3888888888888881E-2</v>
      </c>
      <c r="S172" s="8">
        <f>SUMIF(Cocina[Número de Orden],Sala[[#This Row],[Número de Orden]],Cocina[Ganancia bruta])</f>
        <v>139</v>
      </c>
      <c r="T172" s="8">
        <f>SUMIF(Cocina[Número de Orden],Sala[[#This Row],[Número de Orden]],Cocina[Costo Unitario])</f>
        <v>32</v>
      </c>
      <c r="U172" s="2">
        <f>Sala[[#This Row],[Fecha de Salida]]</f>
        <v>45018</v>
      </c>
      <c r="V172" s="7" t="str">
        <f>TEXT(Sala[[#This Row],[Fecha factura]],"dddd")</f>
        <v>domingo</v>
      </c>
      <c r="W172" t="str">
        <f>IF(Sala[[#This Row],[Tiempo de degustación]]&gt;0,"Sí","No")</f>
        <v>Sí</v>
      </c>
      <c r="X172" t="str">
        <f>IF(Sala[[#This Row],[Cobrada]]="Sí",Sala[[#This Row],[Método de Pago]],"Impago")</f>
        <v>Tarjeta de crédito</v>
      </c>
      <c r="Y172">
        <f>IF(Sala[[#This Row],[Cobrada]]="Sí",Sala[[#This Row],[Propina]],0)</f>
        <v>46.56</v>
      </c>
      <c r="Z172">
        <f>(IF(Sala[[#This Row],[Cobrada]]="Sí",Sala[[#This Row],[Monto total]],0))+Sala[[#This Row],[Propina real]]</f>
        <v>185.56</v>
      </c>
    </row>
    <row r="173" spans="1:26" x14ac:dyDescent="0.25">
      <c r="A173">
        <v>12</v>
      </c>
      <c r="B173" t="s">
        <v>207</v>
      </c>
      <c r="C173">
        <v>3</v>
      </c>
      <c r="D173" s="2">
        <v>45018</v>
      </c>
      <c r="E173" s="3">
        <v>0.11736111111111111</v>
      </c>
      <c r="F173" s="2">
        <v>45018</v>
      </c>
      <c r="G173" s="3">
        <v>0.25416666666666665</v>
      </c>
      <c r="H173" s="1" t="s">
        <v>11</v>
      </c>
      <c r="I173" t="s">
        <v>8</v>
      </c>
      <c r="J173" t="s">
        <v>601</v>
      </c>
      <c r="K173" s="9">
        <v>45.17</v>
      </c>
      <c r="L173" t="s">
        <v>28</v>
      </c>
      <c r="M173">
        <v>172</v>
      </c>
      <c r="N173" t="s">
        <v>32</v>
      </c>
      <c r="O173" s="3">
        <f>(Sala[[#This Row],[Hora de Salida]]-Sala[[#This Row],[Hora de llegada]])+IF(Sala[[#This Row],[Estado de la Mesa]]="Ocupada",(TEXT((15/(60*24)),"h:mm")),(TEXT(0,"h:mm")))</f>
        <v>0.1472222222222222</v>
      </c>
      <c r="P173" s="43">
        <f>(SUMIF(Cocina[Número de Orden],Sala[[#This Row],[Número de Orden]],Cocina[Tiempo de Preparación]))</f>
        <v>27</v>
      </c>
      <c r="Q173" s="5" t="str">
        <f>TEXT(((SUMIF(Cocina[Número de Orden],Sala[[#This Row],[Número de Orden]],Cocina[Tiempo de Preparación]))/(60*24)),"h:mm")</f>
        <v>0:27</v>
      </c>
      <c r="R173" s="3">
        <f>MAX((Sala[[#This Row],[Tiempo de permanencia]]-Sala[[#This Row],[Tiempo de preparación (h)]]),0)</f>
        <v>0.12847222222222221</v>
      </c>
      <c r="S173" s="8">
        <f>SUMIF(Cocina[Número de Orden],Sala[[#This Row],[Número de Orden]],Cocina[Ganancia bruta])</f>
        <v>68</v>
      </c>
      <c r="T173" s="8">
        <f>SUMIF(Cocina[Número de Orden],Sala[[#This Row],[Número de Orden]],Cocina[Costo Unitario])</f>
        <v>20</v>
      </c>
      <c r="U173" s="2">
        <f>Sala[[#This Row],[Fecha de Salida]]</f>
        <v>45018</v>
      </c>
      <c r="V173" s="7" t="str">
        <f>TEXT(Sala[[#This Row],[Fecha factura]],"dddd")</f>
        <v>domingo</v>
      </c>
      <c r="W173" t="str">
        <f>IF(Sala[[#This Row],[Tiempo de degustación]]&gt;0,"Sí","No")</f>
        <v>Sí</v>
      </c>
      <c r="X173" t="str">
        <f>IF(Sala[[#This Row],[Cobrada]]="Sí",Sala[[#This Row],[Método de Pago]],"Impago")</f>
        <v>Tarjeta de crédito</v>
      </c>
      <c r="Y173">
        <f>IF(Sala[[#This Row],[Cobrada]]="Sí",Sala[[#This Row],[Propina]],0)</f>
        <v>45.17</v>
      </c>
      <c r="Z173">
        <f>(IF(Sala[[#This Row],[Cobrada]]="Sí",Sala[[#This Row],[Monto total]],0))+Sala[[#This Row],[Propina real]]</f>
        <v>113.17</v>
      </c>
    </row>
    <row r="174" spans="1:26" x14ac:dyDescent="0.25">
      <c r="A174">
        <v>11</v>
      </c>
      <c r="B174" t="s">
        <v>208</v>
      </c>
      <c r="C174">
        <v>3</v>
      </c>
      <c r="D174" s="2">
        <v>45018</v>
      </c>
      <c r="E174" s="3">
        <v>1.2500000000000001E-2</v>
      </c>
      <c r="F174" s="2">
        <v>45018</v>
      </c>
      <c r="G174" s="3">
        <v>0.15486111111111112</v>
      </c>
      <c r="H174" s="1" t="s">
        <v>23</v>
      </c>
      <c r="I174" t="s">
        <v>8</v>
      </c>
      <c r="J174" t="s">
        <v>601</v>
      </c>
      <c r="K174" s="9">
        <v>48.73</v>
      </c>
      <c r="L174" t="s">
        <v>28</v>
      </c>
      <c r="M174">
        <v>173</v>
      </c>
      <c r="N174" t="s">
        <v>47</v>
      </c>
      <c r="O174" s="3">
        <f>(Sala[[#This Row],[Hora de Salida]]-Sala[[#This Row],[Hora de llegada]])+IF(Sala[[#This Row],[Estado de la Mesa]]="Ocupada",(TEXT((15/(60*24)),"h:mm")),(TEXT(0,"h:mm")))</f>
        <v>0.15277777777777776</v>
      </c>
      <c r="P174" s="43">
        <f>(SUMIF(Cocina[Número de Orden],Sala[[#This Row],[Número de Orden]],Cocina[Tiempo de Preparación]))</f>
        <v>67</v>
      </c>
      <c r="Q174" s="5" t="str">
        <f>TEXT(((SUMIF(Cocina[Número de Orden],Sala[[#This Row],[Número de Orden]],Cocina[Tiempo de Preparación]))/(60*24)),"h:mm")</f>
        <v>1:07</v>
      </c>
      <c r="R174" s="3">
        <f>MAX((Sala[[#This Row],[Tiempo de permanencia]]-Sala[[#This Row],[Tiempo de preparación (h)]]),0)</f>
        <v>0.10624999999999998</v>
      </c>
      <c r="S174" s="8">
        <f>SUMIF(Cocina[Número de Orden],Sala[[#This Row],[Número de Orden]],Cocina[Ganancia bruta])</f>
        <v>177</v>
      </c>
      <c r="T174" s="8">
        <f>SUMIF(Cocina[Número de Orden],Sala[[#This Row],[Número de Orden]],Cocina[Costo Unitario])</f>
        <v>35</v>
      </c>
      <c r="U174" s="2">
        <f>Sala[[#This Row],[Fecha de Salida]]</f>
        <v>45018</v>
      </c>
      <c r="V174" s="7" t="str">
        <f>TEXT(Sala[[#This Row],[Fecha factura]],"dddd")</f>
        <v>domingo</v>
      </c>
      <c r="W174" t="str">
        <f>IF(Sala[[#This Row],[Tiempo de degustación]]&gt;0,"Sí","No")</f>
        <v>Sí</v>
      </c>
      <c r="X174" t="str">
        <f>IF(Sala[[#This Row],[Cobrada]]="Sí",Sala[[#This Row],[Método de Pago]],"Impago")</f>
        <v>Tarjeta de crédito</v>
      </c>
      <c r="Y174">
        <f>IF(Sala[[#This Row],[Cobrada]]="Sí",Sala[[#This Row],[Propina]],0)</f>
        <v>48.73</v>
      </c>
      <c r="Z174">
        <f>(IF(Sala[[#This Row],[Cobrada]]="Sí",Sala[[#This Row],[Monto total]],0))+Sala[[#This Row],[Propina real]]</f>
        <v>225.73</v>
      </c>
    </row>
    <row r="175" spans="1:26" x14ac:dyDescent="0.25">
      <c r="A175">
        <v>10</v>
      </c>
      <c r="B175" t="s">
        <v>209</v>
      </c>
      <c r="C175">
        <v>5</v>
      </c>
      <c r="D175" s="2">
        <v>45018</v>
      </c>
      <c r="E175" s="3">
        <v>6.2500000000000003E-3</v>
      </c>
      <c r="F175" s="2">
        <v>45018</v>
      </c>
      <c r="G175" s="3">
        <v>0.05</v>
      </c>
      <c r="H175" s="1" t="s">
        <v>23</v>
      </c>
      <c r="I175" t="s">
        <v>8</v>
      </c>
      <c r="J175" t="s">
        <v>601</v>
      </c>
      <c r="K175" s="9">
        <v>48.24</v>
      </c>
      <c r="L175" t="s">
        <v>9</v>
      </c>
      <c r="M175">
        <v>174</v>
      </c>
      <c r="N175" t="s">
        <v>29</v>
      </c>
      <c r="O175" s="3">
        <f>(Sala[[#This Row],[Hora de Salida]]-Sala[[#This Row],[Hora de llegada]])+IF(Sala[[#This Row],[Estado de la Mesa]]="Ocupada",(TEXT((15/(60*24)),"h:mm")),(TEXT(0,"h:mm")))</f>
        <v>4.3750000000000004E-2</v>
      </c>
      <c r="P175" s="43">
        <f>(SUMIF(Cocina[Número de Orden],Sala[[#This Row],[Número de Orden]],Cocina[Tiempo de Preparación]))</f>
        <v>12</v>
      </c>
      <c r="Q175" s="5" t="str">
        <f>TEXT(((SUMIF(Cocina[Número de Orden],Sala[[#This Row],[Número de Orden]],Cocina[Tiempo de Preparación]))/(60*24)),"h:mm")</f>
        <v>0:12</v>
      </c>
      <c r="R175" s="3">
        <f>MAX((Sala[[#This Row],[Tiempo de permanencia]]-Sala[[#This Row],[Tiempo de preparación (h)]]),0)</f>
        <v>3.5416666666666673E-2</v>
      </c>
      <c r="S175" s="8">
        <f>SUMIF(Cocina[Número de Orden],Sala[[#This Row],[Número de Orden]],Cocina[Ganancia bruta])</f>
        <v>60</v>
      </c>
      <c r="T175" s="8">
        <f>SUMIF(Cocina[Número de Orden],Sala[[#This Row],[Número de Orden]],Cocina[Costo Unitario])</f>
        <v>18</v>
      </c>
      <c r="U175" s="2">
        <f>Sala[[#This Row],[Fecha de Salida]]</f>
        <v>45018</v>
      </c>
      <c r="V175" s="7" t="str">
        <f>TEXT(Sala[[#This Row],[Fecha factura]],"dddd")</f>
        <v>domingo</v>
      </c>
      <c r="W175" t="str">
        <f>IF(Sala[[#This Row],[Tiempo de degustación]]&gt;0,"Sí","No")</f>
        <v>Sí</v>
      </c>
      <c r="X175" t="str">
        <f>IF(Sala[[#This Row],[Cobrada]]="Sí",Sala[[#This Row],[Método de Pago]],"Impago")</f>
        <v>Tarjeta de crédito</v>
      </c>
      <c r="Y175">
        <f>IF(Sala[[#This Row],[Cobrada]]="Sí",Sala[[#This Row],[Propina]],0)</f>
        <v>48.24</v>
      </c>
      <c r="Z175">
        <f>(IF(Sala[[#This Row],[Cobrada]]="Sí",Sala[[#This Row],[Monto total]],0))+Sala[[#This Row],[Propina real]]</f>
        <v>108.24000000000001</v>
      </c>
    </row>
    <row r="176" spans="1:26" x14ac:dyDescent="0.25">
      <c r="A176">
        <v>14</v>
      </c>
      <c r="B176" t="s">
        <v>120</v>
      </c>
      <c r="C176">
        <v>3</v>
      </c>
      <c r="D176" s="2">
        <v>45018</v>
      </c>
      <c r="E176" s="3">
        <v>6.0416666666666667E-2</v>
      </c>
      <c r="F176" s="2">
        <v>45018</v>
      </c>
      <c r="G176" s="3">
        <v>0.12777777777777777</v>
      </c>
      <c r="H176" s="1" t="s">
        <v>7</v>
      </c>
      <c r="I176" t="s">
        <v>8</v>
      </c>
      <c r="J176" t="s">
        <v>601</v>
      </c>
      <c r="K176" s="9">
        <v>27.94</v>
      </c>
      <c r="L176" t="s">
        <v>9</v>
      </c>
      <c r="M176">
        <v>175</v>
      </c>
      <c r="N176" t="s">
        <v>14</v>
      </c>
      <c r="O176" s="3">
        <f>(Sala[[#This Row],[Hora de Salida]]-Sala[[#This Row],[Hora de llegada]])+IF(Sala[[#This Row],[Estado de la Mesa]]="Ocupada",(TEXT((15/(60*24)),"h:mm")),(TEXT(0,"h:mm")))</f>
        <v>6.7361111111111094E-2</v>
      </c>
      <c r="P176" s="43">
        <f>(SUMIF(Cocina[Número de Orden],Sala[[#This Row],[Número de Orden]],Cocina[Tiempo de Preparación]))</f>
        <v>47</v>
      </c>
      <c r="Q176" s="5" t="str">
        <f>TEXT(((SUMIF(Cocina[Número de Orden],Sala[[#This Row],[Número de Orden]],Cocina[Tiempo de Preparación]))/(60*24)),"h:mm")</f>
        <v>0:47</v>
      </c>
      <c r="R176" s="3">
        <f>MAX((Sala[[#This Row],[Tiempo de permanencia]]-Sala[[#This Row],[Tiempo de preparación (h)]]),0)</f>
        <v>3.4722222222222203E-2</v>
      </c>
      <c r="S176" s="8">
        <f>SUMIF(Cocina[Número de Orden],Sala[[#This Row],[Número de Orden]],Cocina[Ganancia bruta])</f>
        <v>144</v>
      </c>
      <c r="T176" s="8">
        <f>SUMIF(Cocina[Número de Orden],Sala[[#This Row],[Número de Orden]],Cocina[Costo Unitario])</f>
        <v>33</v>
      </c>
      <c r="U176" s="2">
        <f>Sala[[#This Row],[Fecha de Salida]]</f>
        <v>45018</v>
      </c>
      <c r="V176" s="7" t="str">
        <f>TEXT(Sala[[#This Row],[Fecha factura]],"dddd")</f>
        <v>domingo</v>
      </c>
      <c r="W176" t="str">
        <f>IF(Sala[[#This Row],[Tiempo de degustación]]&gt;0,"Sí","No")</f>
        <v>Sí</v>
      </c>
      <c r="X176" t="str">
        <f>IF(Sala[[#This Row],[Cobrada]]="Sí",Sala[[#This Row],[Método de Pago]],"Impago")</f>
        <v>Tarjeta de crédito</v>
      </c>
      <c r="Y176">
        <f>IF(Sala[[#This Row],[Cobrada]]="Sí",Sala[[#This Row],[Propina]],0)</f>
        <v>27.94</v>
      </c>
      <c r="Z176">
        <f>(IF(Sala[[#This Row],[Cobrada]]="Sí",Sala[[#This Row],[Monto total]],0))+Sala[[#This Row],[Propina real]]</f>
        <v>171.94</v>
      </c>
    </row>
    <row r="177" spans="1:26" x14ac:dyDescent="0.25">
      <c r="A177">
        <v>20</v>
      </c>
      <c r="B177" t="s">
        <v>210</v>
      </c>
      <c r="C177">
        <v>4</v>
      </c>
      <c r="D177" s="2">
        <v>45018</v>
      </c>
      <c r="E177" s="3">
        <v>0.10208333333333333</v>
      </c>
      <c r="F177" s="2">
        <v>45018</v>
      </c>
      <c r="G177" s="3">
        <v>0.18888888888888888</v>
      </c>
      <c r="H177" s="1" t="s">
        <v>16</v>
      </c>
      <c r="I177" t="s">
        <v>8</v>
      </c>
      <c r="J177" t="s">
        <v>601</v>
      </c>
      <c r="K177" s="9">
        <v>30.5</v>
      </c>
      <c r="L177" t="s">
        <v>28</v>
      </c>
      <c r="M177">
        <v>176</v>
      </c>
      <c r="N177" t="s">
        <v>47</v>
      </c>
      <c r="O177" s="3">
        <f>(Sala[[#This Row],[Hora de Salida]]-Sala[[#This Row],[Hora de llegada]])+IF(Sala[[#This Row],[Estado de la Mesa]]="Ocupada",(TEXT((15/(60*24)),"h:mm")),(TEXT(0,"h:mm")))</f>
        <v>9.7222222222222224E-2</v>
      </c>
      <c r="P177" s="43">
        <f>(SUMIF(Cocina[Número de Orden],Sala[[#This Row],[Número de Orden]],Cocina[Tiempo de Preparación]))</f>
        <v>48</v>
      </c>
      <c r="Q177" s="5" t="str">
        <f>TEXT(((SUMIF(Cocina[Número de Orden],Sala[[#This Row],[Número de Orden]],Cocina[Tiempo de Preparación]))/(60*24)),"h:mm")</f>
        <v>0:48</v>
      </c>
      <c r="R177" s="3">
        <f>MAX((Sala[[#This Row],[Tiempo de permanencia]]-Sala[[#This Row],[Tiempo de preparación (h)]]),0)</f>
        <v>6.3888888888888884E-2</v>
      </c>
      <c r="S177" s="8">
        <f>SUMIF(Cocina[Número de Orden],Sala[[#This Row],[Número de Orden]],Cocina[Ganancia bruta])</f>
        <v>63</v>
      </c>
      <c r="T177" s="8">
        <f>SUMIF(Cocina[Número de Orden],Sala[[#This Row],[Número de Orden]],Cocina[Costo Unitario])</f>
        <v>13</v>
      </c>
      <c r="U177" s="2">
        <f>Sala[[#This Row],[Fecha de Salida]]</f>
        <v>45018</v>
      </c>
      <c r="V177" s="7" t="str">
        <f>TEXT(Sala[[#This Row],[Fecha factura]],"dddd")</f>
        <v>domingo</v>
      </c>
      <c r="W177" t="str">
        <f>IF(Sala[[#This Row],[Tiempo de degustación]]&gt;0,"Sí","No")</f>
        <v>Sí</v>
      </c>
      <c r="X177" t="str">
        <f>IF(Sala[[#This Row],[Cobrada]]="Sí",Sala[[#This Row],[Método de Pago]],"Impago")</f>
        <v>Tarjeta de crédito</v>
      </c>
      <c r="Y177">
        <f>IF(Sala[[#This Row],[Cobrada]]="Sí",Sala[[#This Row],[Propina]],0)</f>
        <v>30.5</v>
      </c>
      <c r="Z177">
        <f>(IF(Sala[[#This Row],[Cobrada]]="Sí",Sala[[#This Row],[Monto total]],0))+Sala[[#This Row],[Propina real]]</f>
        <v>93.5</v>
      </c>
    </row>
    <row r="178" spans="1:26" x14ac:dyDescent="0.25">
      <c r="A178">
        <v>4</v>
      </c>
      <c r="B178" t="s">
        <v>211</v>
      </c>
      <c r="C178">
        <v>1</v>
      </c>
      <c r="D178" s="2">
        <v>45018</v>
      </c>
      <c r="E178" s="3">
        <v>9.7222222222222224E-3</v>
      </c>
      <c r="F178" s="2">
        <v>45018</v>
      </c>
      <c r="G178" s="3">
        <v>5.1388888888888887E-2</v>
      </c>
      <c r="H178" s="1" t="s">
        <v>23</v>
      </c>
      <c r="I178" t="s">
        <v>25</v>
      </c>
      <c r="J178" t="s">
        <v>601</v>
      </c>
      <c r="K178" s="9">
        <v>10.39</v>
      </c>
      <c r="L178" t="s">
        <v>28</v>
      </c>
      <c r="M178">
        <v>177</v>
      </c>
      <c r="N178" t="s">
        <v>593</v>
      </c>
      <c r="O178" s="3">
        <f>(Sala[[#This Row],[Hora de Salida]]-Sala[[#This Row],[Hora de llegada]])+IF(Sala[[#This Row],[Estado de la Mesa]]="Ocupada",(TEXT((15/(60*24)),"h:mm")),(TEXT(0,"h:mm")))</f>
        <v>5.2083333333333329E-2</v>
      </c>
      <c r="P178" s="43">
        <f>(SUMIF(Cocina[Número de Orden],Sala[[#This Row],[Número de Orden]],Cocina[Tiempo de Preparación]))</f>
        <v>142</v>
      </c>
      <c r="Q178" s="5" t="str">
        <f>TEXT(((SUMIF(Cocina[Número de Orden],Sala[[#This Row],[Número de Orden]],Cocina[Tiempo de Preparación]))/(60*24)),"h:mm")</f>
        <v>2:22</v>
      </c>
      <c r="R178" s="3">
        <f>MAX((Sala[[#This Row],[Tiempo de permanencia]]-Sala[[#This Row],[Tiempo de preparación (h)]]),0)</f>
        <v>0</v>
      </c>
      <c r="S178" s="8">
        <f>SUMIF(Cocina[Número de Orden],Sala[[#This Row],[Número de Orden]],Cocina[Ganancia bruta])</f>
        <v>173</v>
      </c>
      <c r="T178" s="8">
        <f>SUMIF(Cocina[Número de Orden],Sala[[#This Row],[Número de Orden]],Cocina[Costo Unitario])</f>
        <v>53</v>
      </c>
      <c r="U178" s="2">
        <f>Sala[[#This Row],[Fecha de Salida]]</f>
        <v>45018</v>
      </c>
      <c r="V178" s="7" t="str">
        <f>TEXT(Sala[[#This Row],[Fecha factura]],"dddd")</f>
        <v>domingo</v>
      </c>
      <c r="W178" t="str">
        <f>IF(Sala[[#This Row],[Tiempo de degustación]]&gt;0,"Sí","No")</f>
        <v>No</v>
      </c>
      <c r="X178" t="str">
        <f>IF(Sala[[#This Row],[Cobrada]]="Sí",Sala[[#This Row],[Método de Pago]],"Impago")</f>
        <v>Impago</v>
      </c>
      <c r="Y178">
        <f>IF(Sala[[#This Row],[Cobrada]]="Sí",Sala[[#This Row],[Propina]],0)</f>
        <v>0</v>
      </c>
      <c r="Z178">
        <f>(IF(Sala[[#This Row],[Cobrada]]="Sí",Sala[[#This Row],[Monto total]],0))+Sala[[#This Row],[Propina real]]</f>
        <v>0</v>
      </c>
    </row>
    <row r="179" spans="1:26" x14ac:dyDescent="0.25">
      <c r="A179">
        <v>11</v>
      </c>
      <c r="B179" t="s">
        <v>212</v>
      </c>
      <c r="C179">
        <v>6</v>
      </c>
      <c r="D179" s="2">
        <v>45018</v>
      </c>
      <c r="E179" s="3">
        <v>7.8472222222222221E-2</v>
      </c>
      <c r="F179" s="2">
        <v>45018</v>
      </c>
      <c r="G179" s="3">
        <v>0.22083333333333333</v>
      </c>
      <c r="H179" s="1" t="s">
        <v>7</v>
      </c>
      <c r="I179" t="s">
        <v>25</v>
      </c>
      <c r="J179" t="s">
        <v>601</v>
      </c>
      <c r="K179" s="9">
        <v>31.6</v>
      </c>
      <c r="L179" t="s">
        <v>9</v>
      </c>
      <c r="M179">
        <v>178</v>
      </c>
      <c r="N179" t="s">
        <v>29</v>
      </c>
      <c r="O179" s="3">
        <f>(Sala[[#This Row],[Hora de Salida]]-Sala[[#This Row],[Hora de llegada]])+IF(Sala[[#This Row],[Estado de la Mesa]]="Ocupada",(TEXT((15/(60*24)),"h:mm")),(TEXT(0,"h:mm")))</f>
        <v>0.1423611111111111</v>
      </c>
      <c r="P179" s="43">
        <f>(SUMIF(Cocina[Número de Orden],Sala[[#This Row],[Número de Orden]],Cocina[Tiempo de Preparación]))</f>
        <v>146</v>
      </c>
      <c r="Q179" s="5" t="str">
        <f>TEXT(((SUMIF(Cocina[Número de Orden],Sala[[#This Row],[Número de Orden]],Cocina[Tiempo de Preparación]))/(60*24)),"h:mm")</f>
        <v>2:26</v>
      </c>
      <c r="R179" s="3">
        <f>MAX((Sala[[#This Row],[Tiempo de permanencia]]-Sala[[#This Row],[Tiempo de preparación (h)]]),0)</f>
        <v>4.0972222222222215E-2</v>
      </c>
      <c r="S179" s="8">
        <f>SUMIF(Cocina[Número de Orden],Sala[[#This Row],[Número de Orden]],Cocina[Ganancia bruta])</f>
        <v>208</v>
      </c>
      <c r="T179" s="8">
        <f>SUMIF(Cocina[Número de Orden],Sala[[#This Row],[Número de Orden]],Cocina[Costo Unitario])</f>
        <v>72</v>
      </c>
      <c r="U179" s="2">
        <f>Sala[[#This Row],[Fecha de Salida]]</f>
        <v>45018</v>
      </c>
      <c r="V179" s="7" t="str">
        <f>TEXT(Sala[[#This Row],[Fecha factura]],"dddd")</f>
        <v>domingo</v>
      </c>
      <c r="W179" t="str">
        <f>IF(Sala[[#This Row],[Tiempo de degustación]]&gt;0,"Sí","No")</f>
        <v>Sí</v>
      </c>
      <c r="X179" t="str">
        <f>IF(Sala[[#This Row],[Cobrada]]="Sí",Sala[[#This Row],[Método de Pago]],"Impago")</f>
        <v>Tarjeta de crédito</v>
      </c>
      <c r="Y179">
        <f>IF(Sala[[#This Row],[Cobrada]]="Sí",Sala[[#This Row],[Propina]],0)</f>
        <v>31.6</v>
      </c>
      <c r="Z179">
        <f>(IF(Sala[[#This Row],[Cobrada]]="Sí",Sala[[#This Row],[Monto total]],0))+Sala[[#This Row],[Propina real]]</f>
        <v>239.6</v>
      </c>
    </row>
    <row r="180" spans="1:26" x14ac:dyDescent="0.25">
      <c r="A180">
        <v>12</v>
      </c>
      <c r="B180" t="s">
        <v>213</v>
      </c>
      <c r="C180">
        <v>2</v>
      </c>
      <c r="D180" s="2">
        <v>45018</v>
      </c>
      <c r="E180" s="3">
        <v>3.0555555555555555E-2</v>
      </c>
      <c r="F180" s="2">
        <v>45018</v>
      </c>
      <c r="G180" s="3">
        <v>0.13055555555555556</v>
      </c>
      <c r="H180" s="1" t="s">
        <v>23</v>
      </c>
      <c r="I180" t="s">
        <v>12</v>
      </c>
      <c r="J180" t="s">
        <v>601</v>
      </c>
      <c r="K180" s="9">
        <v>13.3</v>
      </c>
      <c r="L180" t="s">
        <v>9</v>
      </c>
      <c r="M180">
        <v>179</v>
      </c>
      <c r="N180" t="s">
        <v>14</v>
      </c>
      <c r="O180" s="3">
        <f>(Sala[[#This Row],[Hora de Salida]]-Sala[[#This Row],[Hora de llegada]])+IF(Sala[[#This Row],[Estado de la Mesa]]="Ocupada",(TEXT((15/(60*24)),"h:mm")),(TEXT(0,"h:mm")))</f>
        <v>0.1</v>
      </c>
      <c r="P180" s="43">
        <f>(SUMIF(Cocina[Número de Orden],Sala[[#This Row],[Número de Orden]],Cocina[Tiempo de Preparación]))</f>
        <v>26</v>
      </c>
      <c r="Q180" s="5" t="str">
        <f>TEXT(((SUMIF(Cocina[Número de Orden],Sala[[#This Row],[Número de Orden]],Cocina[Tiempo de Preparación]))/(60*24)),"h:mm")</f>
        <v>0:26</v>
      </c>
      <c r="R180" s="3">
        <f>MAX((Sala[[#This Row],[Tiempo de permanencia]]-Sala[[#This Row],[Tiempo de preparación (h)]]),0)</f>
        <v>8.1944444444444459E-2</v>
      </c>
      <c r="S180" s="8">
        <f>SUMIF(Cocina[Número de Orden],Sala[[#This Row],[Número de Orden]],Cocina[Ganancia bruta])</f>
        <v>62</v>
      </c>
      <c r="T180" s="8">
        <f>SUMIF(Cocina[Número de Orden],Sala[[#This Row],[Número de Orden]],Cocina[Costo Unitario])</f>
        <v>19</v>
      </c>
      <c r="U180" s="2">
        <f>Sala[[#This Row],[Fecha de Salida]]</f>
        <v>45018</v>
      </c>
      <c r="V180" s="7" t="str">
        <f>TEXT(Sala[[#This Row],[Fecha factura]],"dddd")</f>
        <v>domingo</v>
      </c>
      <c r="W180" t="str">
        <f>IF(Sala[[#This Row],[Tiempo de degustación]]&gt;0,"Sí","No")</f>
        <v>Sí</v>
      </c>
      <c r="X180" t="str">
        <f>IF(Sala[[#This Row],[Cobrada]]="Sí",Sala[[#This Row],[Método de Pago]],"Impago")</f>
        <v>Tarjeta de crédito</v>
      </c>
      <c r="Y180">
        <f>IF(Sala[[#This Row],[Cobrada]]="Sí",Sala[[#This Row],[Propina]],0)</f>
        <v>13.3</v>
      </c>
      <c r="Z180">
        <f>(IF(Sala[[#This Row],[Cobrada]]="Sí",Sala[[#This Row],[Monto total]],0))+Sala[[#This Row],[Propina real]]</f>
        <v>75.3</v>
      </c>
    </row>
    <row r="181" spans="1:26" x14ac:dyDescent="0.25">
      <c r="A181">
        <v>10</v>
      </c>
      <c r="B181" t="s">
        <v>214</v>
      </c>
      <c r="C181">
        <v>1</v>
      </c>
      <c r="D181" s="2">
        <v>45018</v>
      </c>
      <c r="E181" s="3">
        <v>9.7916666666666666E-2</v>
      </c>
      <c r="F181" s="2">
        <v>45018</v>
      </c>
      <c r="G181" s="3">
        <v>0.21458333333333332</v>
      </c>
      <c r="H181" s="1" t="s">
        <v>16</v>
      </c>
      <c r="I181" t="s">
        <v>25</v>
      </c>
      <c r="J181" t="s">
        <v>601</v>
      </c>
      <c r="K181" s="9">
        <v>46.61</v>
      </c>
      <c r="L181" t="s">
        <v>9</v>
      </c>
      <c r="M181">
        <v>180</v>
      </c>
      <c r="N181" t="s">
        <v>18</v>
      </c>
      <c r="O181" s="3">
        <f>(Sala[[#This Row],[Hora de Salida]]-Sala[[#This Row],[Hora de llegada]])+IF(Sala[[#This Row],[Estado de la Mesa]]="Ocupada",(TEXT((15/(60*24)),"h:mm")),(TEXT(0,"h:mm")))</f>
        <v>0.11666666666666665</v>
      </c>
      <c r="P181" s="43">
        <f>(SUMIF(Cocina[Número de Orden],Sala[[#This Row],[Número de Orden]],Cocina[Tiempo de Preparación]))</f>
        <v>161</v>
      </c>
      <c r="Q181" s="5" t="str">
        <f>TEXT(((SUMIF(Cocina[Número de Orden],Sala[[#This Row],[Número de Orden]],Cocina[Tiempo de Preparación]))/(60*24)),"h:mm")</f>
        <v>2:41</v>
      </c>
      <c r="R181" s="3">
        <f>MAX((Sala[[#This Row],[Tiempo de permanencia]]-Sala[[#This Row],[Tiempo de preparación (h)]]),0)</f>
        <v>4.8611111111110938E-3</v>
      </c>
      <c r="S181" s="8">
        <f>SUMIF(Cocina[Número de Orden],Sala[[#This Row],[Número de Orden]],Cocina[Ganancia bruta])</f>
        <v>166</v>
      </c>
      <c r="T181" s="8">
        <f>SUMIF(Cocina[Número de Orden],Sala[[#This Row],[Número de Orden]],Cocina[Costo Unitario])</f>
        <v>63</v>
      </c>
      <c r="U181" s="2">
        <f>Sala[[#This Row],[Fecha de Salida]]</f>
        <v>45018</v>
      </c>
      <c r="V181" s="7" t="str">
        <f>TEXT(Sala[[#This Row],[Fecha factura]],"dddd")</f>
        <v>domingo</v>
      </c>
      <c r="W181" t="str">
        <f>IF(Sala[[#This Row],[Tiempo de degustación]]&gt;0,"Sí","No")</f>
        <v>Sí</v>
      </c>
      <c r="X181" t="str">
        <f>IF(Sala[[#This Row],[Cobrada]]="Sí",Sala[[#This Row],[Método de Pago]],"Impago")</f>
        <v>Tarjeta de crédito</v>
      </c>
      <c r="Y181">
        <f>IF(Sala[[#This Row],[Cobrada]]="Sí",Sala[[#This Row],[Propina]],0)</f>
        <v>46.61</v>
      </c>
      <c r="Z181">
        <f>(IF(Sala[[#This Row],[Cobrada]]="Sí",Sala[[#This Row],[Monto total]],0))+Sala[[#This Row],[Propina real]]</f>
        <v>212.61</v>
      </c>
    </row>
    <row r="182" spans="1:26" x14ac:dyDescent="0.25">
      <c r="A182">
        <v>15</v>
      </c>
      <c r="B182" t="s">
        <v>215</v>
      </c>
      <c r="C182">
        <v>1</v>
      </c>
      <c r="D182" s="2">
        <v>45018</v>
      </c>
      <c r="E182" s="3">
        <v>0.11458333333333333</v>
      </c>
      <c r="F182" s="2">
        <v>45018</v>
      </c>
      <c r="G182" s="3">
        <v>0.16250000000000001</v>
      </c>
      <c r="H182" s="1" t="s">
        <v>11</v>
      </c>
      <c r="I182" t="s">
        <v>25</v>
      </c>
      <c r="J182" t="s">
        <v>601</v>
      </c>
      <c r="K182" s="9">
        <v>42.58</v>
      </c>
      <c r="L182" t="s">
        <v>28</v>
      </c>
      <c r="M182">
        <v>181</v>
      </c>
      <c r="N182" t="s">
        <v>21</v>
      </c>
      <c r="O182" s="3">
        <f>(Sala[[#This Row],[Hora de Salida]]-Sala[[#This Row],[Hora de llegada]])+IF(Sala[[#This Row],[Estado de la Mesa]]="Ocupada",(TEXT((15/(60*24)),"h:mm")),(TEXT(0,"h:mm")))</f>
        <v>5.8333333333333341E-2</v>
      </c>
      <c r="P182" s="43">
        <f>(SUMIF(Cocina[Número de Orden],Sala[[#This Row],[Número de Orden]],Cocina[Tiempo de Preparación]))</f>
        <v>55</v>
      </c>
      <c r="Q182" s="5" t="str">
        <f>TEXT(((SUMIF(Cocina[Número de Orden],Sala[[#This Row],[Número de Orden]],Cocina[Tiempo de Preparación]))/(60*24)),"h:mm")</f>
        <v>0:55</v>
      </c>
      <c r="R182" s="3">
        <f>MAX((Sala[[#This Row],[Tiempo de permanencia]]-Sala[[#This Row],[Tiempo de preparación (h)]]),0)</f>
        <v>2.0138888888888894E-2</v>
      </c>
      <c r="S182" s="8">
        <f>SUMIF(Cocina[Número de Orden],Sala[[#This Row],[Número de Orden]],Cocina[Ganancia bruta])</f>
        <v>27</v>
      </c>
      <c r="T182" s="8">
        <f>SUMIF(Cocina[Número de Orden],Sala[[#This Row],[Número de Orden]],Cocina[Costo Unitario])</f>
        <v>16</v>
      </c>
      <c r="U182" s="2">
        <f>Sala[[#This Row],[Fecha de Salida]]</f>
        <v>45018</v>
      </c>
      <c r="V182" s="7" t="str">
        <f>TEXT(Sala[[#This Row],[Fecha factura]],"dddd")</f>
        <v>domingo</v>
      </c>
      <c r="W182" t="str">
        <f>IF(Sala[[#This Row],[Tiempo de degustación]]&gt;0,"Sí","No")</f>
        <v>Sí</v>
      </c>
      <c r="X182" t="str">
        <f>IF(Sala[[#This Row],[Cobrada]]="Sí",Sala[[#This Row],[Método de Pago]],"Impago")</f>
        <v>Tarjeta de crédito</v>
      </c>
      <c r="Y182">
        <f>IF(Sala[[#This Row],[Cobrada]]="Sí",Sala[[#This Row],[Propina]],0)</f>
        <v>42.58</v>
      </c>
      <c r="Z182">
        <f>(IF(Sala[[#This Row],[Cobrada]]="Sí",Sala[[#This Row],[Monto total]],0))+Sala[[#This Row],[Propina real]]</f>
        <v>69.58</v>
      </c>
    </row>
    <row r="183" spans="1:26" x14ac:dyDescent="0.25">
      <c r="A183">
        <v>18</v>
      </c>
      <c r="B183" t="s">
        <v>216</v>
      </c>
      <c r="C183">
        <v>2</v>
      </c>
      <c r="D183" s="2">
        <v>45018</v>
      </c>
      <c r="E183" s="3">
        <v>0.16180555555555556</v>
      </c>
      <c r="F183" s="2">
        <v>45018</v>
      </c>
      <c r="G183" s="3">
        <v>0.27083333333333331</v>
      </c>
      <c r="H183" s="1" t="s">
        <v>7</v>
      </c>
      <c r="I183" t="s">
        <v>8</v>
      </c>
      <c r="J183" t="s">
        <v>600</v>
      </c>
      <c r="K183" s="9">
        <v>38.36</v>
      </c>
      <c r="L183" t="s">
        <v>17</v>
      </c>
      <c r="M183">
        <v>182</v>
      </c>
      <c r="N183" t="s">
        <v>21</v>
      </c>
      <c r="O183" s="3">
        <f>(Sala[[#This Row],[Hora de Salida]]-Sala[[#This Row],[Hora de llegada]])+IF(Sala[[#This Row],[Estado de la Mesa]]="Ocupada",(TEXT((15/(60*24)),"h:mm")),(TEXT(0,"h:mm")))</f>
        <v>0.10902777777777775</v>
      </c>
      <c r="P183" s="43">
        <f>(SUMIF(Cocina[Número de Orden],Sala[[#This Row],[Número de Orden]],Cocina[Tiempo de Preparación]))</f>
        <v>11</v>
      </c>
      <c r="Q183" s="5" t="str">
        <f>TEXT(((SUMIF(Cocina[Número de Orden],Sala[[#This Row],[Número de Orden]],Cocina[Tiempo de Preparación]))/(60*24)),"h:mm")</f>
        <v>0:11</v>
      </c>
      <c r="R183" s="3">
        <f>MAX((Sala[[#This Row],[Tiempo de permanencia]]-Sala[[#This Row],[Tiempo de preparación (h)]]),0)</f>
        <v>0.10138888888888886</v>
      </c>
      <c r="S183" s="8">
        <f>SUMIF(Cocina[Número de Orden],Sala[[#This Row],[Número de Orden]],Cocina[Ganancia bruta])</f>
        <v>38</v>
      </c>
      <c r="T183" s="8">
        <f>SUMIF(Cocina[Número de Orden],Sala[[#This Row],[Número de Orden]],Cocina[Costo Unitario])</f>
        <v>11</v>
      </c>
      <c r="U183" s="2">
        <f>Sala[[#This Row],[Fecha de Salida]]</f>
        <v>45018</v>
      </c>
      <c r="V183" s="7" t="str">
        <f>TEXT(Sala[[#This Row],[Fecha factura]],"dddd")</f>
        <v>domingo</v>
      </c>
      <c r="W183" t="str">
        <f>IF(Sala[[#This Row],[Tiempo de degustación]]&gt;0,"Sí","No")</f>
        <v>Sí</v>
      </c>
      <c r="X183" t="str">
        <f>IF(Sala[[#This Row],[Cobrada]]="Sí",Sala[[#This Row],[Método de Pago]],"Impago")</f>
        <v>Tarjeta de débito</v>
      </c>
      <c r="Y183">
        <f>IF(Sala[[#This Row],[Cobrada]]="Sí",Sala[[#This Row],[Propina]],0)</f>
        <v>38.36</v>
      </c>
      <c r="Z183">
        <f>(IF(Sala[[#This Row],[Cobrada]]="Sí",Sala[[#This Row],[Monto total]],0))+Sala[[#This Row],[Propina real]]</f>
        <v>76.36</v>
      </c>
    </row>
    <row r="184" spans="1:26" x14ac:dyDescent="0.25">
      <c r="A184">
        <v>18</v>
      </c>
      <c r="B184" t="s">
        <v>217</v>
      </c>
      <c r="C184">
        <v>1</v>
      </c>
      <c r="D184" s="2">
        <v>45018</v>
      </c>
      <c r="E184" s="3">
        <v>0.11527777777777778</v>
      </c>
      <c r="F184" s="2">
        <v>45018</v>
      </c>
      <c r="G184" s="3">
        <v>0.26944444444444443</v>
      </c>
      <c r="H184" s="1" t="s">
        <v>11</v>
      </c>
      <c r="I184" t="s">
        <v>8</v>
      </c>
      <c r="J184" t="s">
        <v>601</v>
      </c>
      <c r="K184" s="9">
        <v>11.69</v>
      </c>
      <c r="L184" t="s">
        <v>28</v>
      </c>
      <c r="M184">
        <v>183</v>
      </c>
      <c r="N184" t="s">
        <v>34</v>
      </c>
      <c r="O184" s="3">
        <f>(Sala[[#This Row],[Hora de Salida]]-Sala[[#This Row],[Hora de llegada]])+IF(Sala[[#This Row],[Estado de la Mesa]]="Ocupada",(TEXT((15/(60*24)),"h:mm")),(TEXT(0,"h:mm")))</f>
        <v>0.1645833333333333</v>
      </c>
      <c r="P184" s="43">
        <f>(SUMIF(Cocina[Número de Orden],Sala[[#This Row],[Número de Orden]],Cocina[Tiempo de Preparación]))</f>
        <v>166</v>
      </c>
      <c r="Q184" s="5" t="str">
        <f>TEXT(((SUMIF(Cocina[Número de Orden],Sala[[#This Row],[Número de Orden]],Cocina[Tiempo de Preparación]))/(60*24)),"h:mm")</f>
        <v>2:46</v>
      </c>
      <c r="R184" s="3">
        <f>MAX((Sala[[#This Row],[Tiempo de permanencia]]-Sala[[#This Row],[Tiempo de preparación (h)]]),0)</f>
        <v>4.9305555555555519E-2</v>
      </c>
      <c r="S184" s="8">
        <f>SUMIF(Cocina[Número de Orden],Sala[[#This Row],[Número de Orden]],Cocina[Ganancia bruta])</f>
        <v>255</v>
      </c>
      <c r="T184" s="8">
        <f>SUMIF(Cocina[Número de Orden],Sala[[#This Row],[Número de Orden]],Cocina[Costo Unitario])</f>
        <v>67</v>
      </c>
      <c r="U184" s="2">
        <f>Sala[[#This Row],[Fecha de Salida]]</f>
        <v>45018</v>
      </c>
      <c r="V184" s="7" t="str">
        <f>TEXT(Sala[[#This Row],[Fecha factura]],"dddd")</f>
        <v>domingo</v>
      </c>
      <c r="W184" t="str">
        <f>IF(Sala[[#This Row],[Tiempo de degustación]]&gt;0,"Sí","No")</f>
        <v>Sí</v>
      </c>
      <c r="X184" t="str">
        <f>IF(Sala[[#This Row],[Cobrada]]="Sí",Sala[[#This Row],[Método de Pago]],"Impago")</f>
        <v>Tarjeta de crédito</v>
      </c>
      <c r="Y184">
        <f>IF(Sala[[#This Row],[Cobrada]]="Sí",Sala[[#This Row],[Propina]],0)</f>
        <v>11.69</v>
      </c>
      <c r="Z184">
        <f>(IF(Sala[[#This Row],[Cobrada]]="Sí",Sala[[#This Row],[Monto total]],0))+Sala[[#This Row],[Propina real]]</f>
        <v>266.69</v>
      </c>
    </row>
    <row r="185" spans="1:26" x14ac:dyDescent="0.25">
      <c r="A185">
        <v>4</v>
      </c>
      <c r="B185" t="s">
        <v>218</v>
      </c>
      <c r="C185">
        <v>6</v>
      </c>
      <c r="D185" s="2">
        <v>45018</v>
      </c>
      <c r="E185" s="3">
        <v>0.16319444444444445</v>
      </c>
      <c r="F185" s="2">
        <v>45018</v>
      </c>
      <c r="G185" s="3">
        <v>0.29236111111111113</v>
      </c>
      <c r="H185" s="1" t="s">
        <v>20</v>
      </c>
      <c r="I185" t="s">
        <v>8</v>
      </c>
      <c r="J185" t="s">
        <v>601</v>
      </c>
      <c r="K185" s="9">
        <v>24.24</v>
      </c>
      <c r="L185" t="s">
        <v>28</v>
      </c>
      <c r="M185">
        <v>184</v>
      </c>
      <c r="N185" t="s">
        <v>47</v>
      </c>
      <c r="O185" s="3">
        <f>(Sala[[#This Row],[Hora de Salida]]-Sala[[#This Row],[Hora de llegada]])+IF(Sala[[#This Row],[Estado de la Mesa]]="Ocupada",(TEXT((15/(60*24)),"h:mm")),(TEXT(0,"h:mm")))</f>
        <v>0.13958333333333334</v>
      </c>
      <c r="P185" s="43">
        <f>(SUMIF(Cocina[Número de Orden],Sala[[#This Row],[Número de Orden]],Cocina[Tiempo de Preparación]))</f>
        <v>29</v>
      </c>
      <c r="Q185" s="5" t="str">
        <f>TEXT(((SUMIF(Cocina[Número de Orden],Sala[[#This Row],[Número de Orden]],Cocina[Tiempo de Preparación]))/(60*24)),"h:mm")</f>
        <v>0:29</v>
      </c>
      <c r="R185" s="3">
        <f>MAX((Sala[[#This Row],[Tiempo de permanencia]]-Sala[[#This Row],[Tiempo de preparación (h)]]),0)</f>
        <v>0.11944444444444445</v>
      </c>
      <c r="S185" s="8">
        <f>SUMIF(Cocina[Número de Orden],Sala[[#This Row],[Número de Orden]],Cocina[Ganancia bruta])</f>
        <v>205</v>
      </c>
      <c r="T185" s="8">
        <f>SUMIF(Cocina[Número de Orden],Sala[[#This Row],[Número de Orden]],Cocina[Costo Unitario])</f>
        <v>44</v>
      </c>
      <c r="U185" s="2">
        <f>Sala[[#This Row],[Fecha de Salida]]</f>
        <v>45018</v>
      </c>
      <c r="V185" s="7" t="str">
        <f>TEXT(Sala[[#This Row],[Fecha factura]],"dddd")</f>
        <v>domingo</v>
      </c>
      <c r="W185" t="str">
        <f>IF(Sala[[#This Row],[Tiempo de degustación]]&gt;0,"Sí","No")</f>
        <v>Sí</v>
      </c>
      <c r="X185" t="str">
        <f>IF(Sala[[#This Row],[Cobrada]]="Sí",Sala[[#This Row],[Método de Pago]],"Impago")</f>
        <v>Tarjeta de crédito</v>
      </c>
      <c r="Y185">
        <f>IF(Sala[[#This Row],[Cobrada]]="Sí",Sala[[#This Row],[Propina]],0)</f>
        <v>24.24</v>
      </c>
      <c r="Z185">
        <f>(IF(Sala[[#This Row],[Cobrada]]="Sí",Sala[[#This Row],[Monto total]],0))+Sala[[#This Row],[Propina real]]</f>
        <v>229.24</v>
      </c>
    </row>
    <row r="186" spans="1:26" x14ac:dyDescent="0.25">
      <c r="A186">
        <v>16</v>
      </c>
      <c r="B186" t="s">
        <v>180</v>
      </c>
      <c r="C186">
        <v>2</v>
      </c>
      <c r="D186" s="2">
        <v>45018</v>
      </c>
      <c r="E186" s="3">
        <v>0.11597222222222223</v>
      </c>
      <c r="F186" s="2">
        <v>45018</v>
      </c>
      <c r="G186" s="3">
        <v>0.26805555555555555</v>
      </c>
      <c r="H186" s="1" t="s">
        <v>11</v>
      </c>
      <c r="I186" t="s">
        <v>12</v>
      </c>
      <c r="J186" t="s">
        <v>601</v>
      </c>
      <c r="K186" s="9">
        <v>28.07</v>
      </c>
      <c r="L186" t="s">
        <v>17</v>
      </c>
      <c r="M186">
        <v>185</v>
      </c>
      <c r="N186" t="s">
        <v>34</v>
      </c>
      <c r="O186" s="3">
        <f>(Sala[[#This Row],[Hora de Salida]]-Sala[[#This Row],[Hora de llegada]])+IF(Sala[[#This Row],[Estado de la Mesa]]="Ocupada",(TEXT((15/(60*24)),"h:mm")),(TEXT(0,"h:mm")))</f>
        <v>0.15208333333333332</v>
      </c>
      <c r="P186" s="43">
        <f>(SUMIF(Cocina[Número de Orden],Sala[[#This Row],[Número de Orden]],Cocina[Tiempo de Preparación]))</f>
        <v>40</v>
      </c>
      <c r="Q186" s="5" t="str">
        <f>TEXT(((SUMIF(Cocina[Número de Orden],Sala[[#This Row],[Número de Orden]],Cocina[Tiempo de Preparación]))/(60*24)),"h:mm")</f>
        <v>0:40</v>
      </c>
      <c r="R186" s="3">
        <f>MAX((Sala[[#This Row],[Tiempo de permanencia]]-Sala[[#This Row],[Tiempo de preparación (h)]]),0)</f>
        <v>0.12430555555555554</v>
      </c>
      <c r="S186" s="8">
        <f>SUMIF(Cocina[Número de Orden],Sala[[#This Row],[Número de Orden]],Cocina[Ganancia bruta])</f>
        <v>91</v>
      </c>
      <c r="T186" s="8">
        <f>SUMIF(Cocina[Número de Orden],Sala[[#This Row],[Número de Orden]],Cocina[Costo Unitario])</f>
        <v>29</v>
      </c>
      <c r="U186" s="2">
        <f>Sala[[#This Row],[Fecha de Salida]]</f>
        <v>45018</v>
      </c>
      <c r="V186" s="7" t="str">
        <f>TEXT(Sala[[#This Row],[Fecha factura]],"dddd")</f>
        <v>domingo</v>
      </c>
      <c r="W186" t="str">
        <f>IF(Sala[[#This Row],[Tiempo de degustación]]&gt;0,"Sí","No")</f>
        <v>Sí</v>
      </c>
      <c r="X186" t="str">
        <f>IF(Sala[[#This Row],[Cobrada]]="Sí",Sala[[#This Row],[Método de Pago]],"Impago")</f>
        <v>Tarjeta de crédito</v>
      </c>
      <c r="Y186">
        <f>IF(Sala[[#This Row],[Cobrada]]="Sí",Sala[[#This Row],[Propina]],0)</f>
        <v>28.07</v>
      </c>
      <c r="Z186">
        <f>(IF(Sala[[#This Row],[Cobrada]]="Sí",Sala[[#This Row],[Monto total]],0))+Sala[[#This Row],[Propina real]]</f>
        <v>119.07</v>
      </c>
    </row>
    <row r="187" spans="1:26" x14ac:dyDescent="0.25">
      <c r="A187">
        <v>13</v>
      </c>
      <c r="B187" t="s">
        <v>219</v>
      </c>
      <c r="C187">
        <v>6</v>
      </c>
      <c r="D187" s="2">
        <v>45018</v>
      </c>
      <c r="E187" s="3">
        <v>2.7777777777777776E-2</v>
      </c>
      <c r="F187" s="2">
        <v>45018</v>
      </c>
      <c r="G187" s="3">
        <v>0.1763888888888889</v>
      </c>
      <c r="H187" s="1" t="s">
        <v>11</v>
      </c>
      <c r="I187" t="s">
        <v>8</v>
      </c>
      <c r="J187" t="s">
        <v>601</v>
      </c>
      <c r="K187" s="9">
        <v>17.55</v>
      </c>
      <c r="L187" t="s">
        <v>9</v>
      </c>
      <c r="M187">
        <v>186</v>
      </c>
      <c r="N187" t="s">
        <v>14</v>
      </c>
      <c r="O187" s="3">
        <f>(Sala[[#This Row],[Hora de Salida]]-Sala[[#This Row],[Hora de llegada]])+IF(Sala[[#This Row],[Estado de la Mesa]]="Ocupada",(TEXT((15/(60*24)),"h:mm")),(TEXT(0,"h:mm")))</f>
        <v>0.14861111111111114</v>
      </c>
      <c r="P187" s="43">
        <f>(SUMIF(Cocina[Número de Orden],Sala[[#This Row],[Número de Orden]],Cocina[Tiempo de Preparación]))</f>
        <v>93</v>
      </c>
      <c r="Q187" s="5" t="str">
        <f>TEXT(((SUMIF(Cocina[Número de Orden],Sala[[#This Row],[Número de Orden]],Cocina[Tiempo de Preparación]))/(60*24)),"h:mm")</f>
        <v>1:33</v>
      </c>
      <c r="R187" s="3">
        <f>MAX((Sala[[#This Row],[Tiempo de permanencia]]-Sala[[#This Row],[Tiempo de preparación (h)]]),0)</f>
        <v>8.4027777777777798E-2</v>
      </c>
      <c r="S187" s="8">
        <f>SUMIF(Cocina[Número de Orden],Sala[[#This Row],[Número de Orden]],Cocina[Ganancia bruta])</f>
        <v>270</v>
      </c>
      <c r="T187" s="8">
        <f>SUMIF(Cocina[Número de Orden],Sala[[#This Row],[Número de Orden]],Cocina[Costo Unitario])</f>
        <v>54</v>
      </c>
      <c r="U187" s="2">
        <f>Sala[[#This Row],[Fecha de Salida]]</f>
        <v>45018</v>
      </c>
      <c r="V187" s="7" t="str">
        <f>TEXT(Sala[[#This Row],[Fecha factura]],"dddd")</f>
        <v>domingo</v>
      </c>
      <c r="W187" t="str">
        <f>IF(Sala[[#This Row],[Tiempo de degustación]]&gt;0,"Sí","No")</f>
        <v>Sí</v>
      </c>
      <c r="X187" t="str">
        <f>IF(Sala[[#This Row],[Cobrada]]="Sí",Sala[[#This Row],[Método de Pago]],"Impago")</f>
        <v>Tarjeta de crédito</v>
      </c>
      <c r="Y187">
        <f>IF(Sala[[#This Row],[Cobrada]]="Sí",Sala[[#This Row],[Propina]],0)</f>
        <v>17.55</v>
      </c>
      <c r="Z187">
        <f>(IF(Sala[[#This Row],[Cobrada]]="Sí",Sala[[#This Row],[Monto total]],0))+Sala[[#This Row],[Propina real]]</f>
        <v>287.55</v>
      </c>
    </row>
    <row r="188" spans="1:26" x14ac:dyDescent="0.25">
      <c r="A188">
        <v>5</v>
      </c>
      <c r="B188" t="s">
        <v>220</v>
      </c>
      <c r="C188">
        <v>1</v>
      </c>
      <c r="D188" s="2">
        <v>45018</v>
      </c>
      <c r="E188" s="3">
        <v>9.930555555555555E-2</v>
      </c>
      <c r="F188" s="2">
        <v>45018</v>
      </c>
      <c r="G188" s="3">
        <v>0.22777777777777777</v>
      </c>
      <c r="H188" s="1" t="s">
        <v>23</v>
      </c>
      <c r="I188" t="s">
        <v>8</v>
      </c>
      <c r="J188" t="s">
        <v>601</v>
      </c>
      <c r="K188" s="9">
        <v>17.399999999999999</v>
      </c>
      <c r="L188" t="s">
        <v>17</v>
      </c>
      <c r="M188">
        <v>187</v>
      </c>
      <c r="N188" t="s">
        <v>29</v>
      </c>
      <c r="O188" s="3">
        <f>(Sala[[#This Row],[Hora de Salida]]-Sala[[#This Row],[Hora de llegada]])+IF(Sala[[#This Row],[Estado de la Mesa]]="Ocupada",(TEXT((15/(60*24)),"h:mm")),(TEXT(0,"h:mm")))</f>
        <v>0.12847222222222221</v>
      </c>
      <c r="P188" s="43">
        <f>(SUMIF(Cocina[Número de Orden],Sala[[#This Row],[Número de Orden]],Cocina[Tiempo de Preparación]))</f>
        <v>126</v>
      </c>
      <c r="Q188" s="5" t="str">
        <f>TEXT(((SUMIF(Cocina[Número de Orden],Sala[[#This Row],[Número de Orden]],Cocina[Tiempo de Preparación]))/(60*24)),"h:mm")</f>
        <v>2:06</v>
      </c>
      <c r="R188" s="3">
        <f>MAX((Sala[[#This Row],[Tiempo de permanencia]]-Sala[[#This Row],[Tiempo de preparación (h)]]),0)</f>
        <v>4.0972222222222215E-2</v>
      </c>
      <c r="S188" s="8">
        <f>SUMIF(Cocina[Número de Orden],Sala[[#This Row],[Número de Orden]],Cocina[Ganancia bruta])</f>
        <v>208</v>
      </c>
      <c r="T188" s="8">
        <f>SUMIF(Cocina[Número de Orden],Sala[[#This Row],[Número de Orden]],Cocina[Costo Unitario])</f>
        <v>68</v>
      </c>
      <c r="U188" s="2">
        <f>Sala[[#This Row],[Fecha de Salida]]</f>
        <v>45018</v>
      </c>
      <c r="V188" s="7" t="str">
        <f>TEXT(Sala[[#This Row],[Fecha factura]],"dddd")</f>
        <v>domingo</v>
      </c>
      <c r="W188" t="str">
        <f>IF(Sala[[#This Row],[Tiempo de degustación]]&gt;0,"Sí","No")</f>
        <v>Sí</v>
      </c>
      <c r="X188" t="str">
        <f>IF(Sala[[#This Row],[Cobrada]]="Sí",Sala[[#This Row],[Método de Pago]],"Impago")</f>
        <v>Tarjeta de crédito</v>
      </c>
      <c r="Y188">
        <f>IF(Sala[[#This Row],[Cobrada]]="Sí",Sala[[#This Row],[Propina]],0)</f>
        <v>17.399999999999999</v>
      </c>
      <c r="Z188">
        <f>(IF(Sala[[#This Row],[Cobrada]]="Sí",Sala[[#This Row],[Monto total]],0))+Sala[[#This Row],[Propina real]]</f>
        <v>225.4</v>
      </c>
    </row>
    <row r="189" spans="1:26" x14ac:dyDescent="0.25">
      <c r="A189">
        <v>20</v>
      </c>
      <c r="B189" t="s">
        <v>221</v>
      </c>
      <c r="C189">
        <v>4</v>
      </c>
      <c r="D189" s="2">
        <v>45018</v>
      </c>
      <c r="E189" s="3">
        <v>0.15277777777777779</v>
      </c>
      <c r="F189" s="2">
        <v>45018</v>
      </c>
      <c r="G189" s="3">
        <v>0.22291666666666668</v>
      </c>
      <c r="H189" s="1" t="s">
        <v>7</v>
      </c>
      <c r="I189" t="s">
        <v>12</v>
      </c>
      <c r="J189" t="s">
        <v>601</v>
      </c>
      <c r="K189" s="9">
        <v>13.95</v>
      </c>
      <c r="L189" t="s">
        <v>9</v>
      </c>
      <c r="M189">
        <v>188</v>
      </c>
      <c r="N189" t="s">
        <v>14</v>
      </c>
      <c r="O189" s="3">
        <f>(Sala[[#This Row],[Hora de Salida]]-Sala[[#This Row],[Hora de llegada]])+IF(Sala[[#This Row],[Estado de la Mesa]]="Ocupada",(TEXT((15/(60*24)),"h:mm")),(TEXT(0,"h:mm")))</f>
        <v>7.013888888888889E-2</v>
      </c>
      <c r="P189" s="43">
        <f>(SUMIF(Cocina[Número de Orden],Sala[[#This Row],[Número de Orden]],Cocina[Tiempo de Preparación]))</f>
        <v>105</v>
      </c>
      <c r="Q189" s="5" t="str">
        <f>TEXT(((SUMIF(Cocina[Número de Orden],Sala[[#This Row],[Número de Orden]],Cocina[Tiempo de Preparación]))/(60*24)),"h:mm")</f>
        <v>1:45</v>
      </c>
      <c r="R189" s="3">
        <f>MAX((Sala[[#This Row],[Tiempo de permanencia]]-Sala[[#This Row],[Tiempo de preparación (h)]]),0)</f>
        <v>0</v>
      </c>
      <c r="S189" s="8">
        <f>SUMIF(Cocina[Número de Orden],Sala[[#This Row],[Número de Orden]],Cocina[Ganancia bruta])</f>
        <v>83</v>
      </c>
      <c r="T189" s="8">
        <f>SUMIF(Cocina[Número de Orden],Sala[[#This Row],[Número de Orden]],Cocina[Costo Unitario])</f>
        <v>34</v>
      </c>
      <c r="U189" s="2">
        <f>Sala[[#This Row],[Fecha de Salida]]</f>
        <v>45018</v>
      </c>
      <c r="V189" s="7" t="str">
        <f>TEXT(Sala[[#This Row],[Fecha factura]],"dddd")</f>
        <v>domingo</v>
      </c>
      <c r="W189" t="str">
        <f>IF(Sala[[#This Row],[Tiempo de degustación]]&gt;0,"Sí","No")</f>
        <v>No</v>
      </c>
      <c r="X189" t="str">
        <f>IF(Sala[[#This Row],[Cobrada]]="Sí",Sala[[#This Row],[Método de Pago]],"Impago")</f>
        <v>Impago</v>
      </c>
      <c r="Y189">
        <f>IF(Sala[[#This Row],[Cobrada]]="Sí",Sala[[#This Row],[Propina]],0)</f>
        <v>0</v>
      </c>
      <c r="Z189">
        <f>(IF(Sala[[#This Row],[Cobrada]]="Sí",Sala[[#This Row],[Monto total]],0))+Sala[[#This Row],[Propina real]]</f>
        <v>0</v>
      </c>
    </row>
    <row r="190" spans="1:26" x14ac:dyDescent="0.25">
      <c r="A190">
        <v>11</v>
      </c>
      <c r="B190" t="s">
        <v>222</v>
      </c>
      <c r="C190">
        <v>4</v>
      </c>
      <c r="D190" s="2">
        <v>45018</v>
      </c>
      <c r="E190" s="3">
        <v>0.15833333333333333</v>
      </c>
      <c r="F190" s="2">
        <v>45018</v>
      </c>
      <c r="G190" s="3">
        <v>0.25694444444444442</v>
      </c>
      <c r="H190" s="1" t="s">
        <v>16</v>
      </c>
      <c r="I190" t="s">
        <v>8</v>
      </c>
      <c r="J190" t="s">
        <v>601</v>
      </c>
      <c r="K190" s="9">
        <v>41.66</v>
      </c>
      <c r="L190" t="s">
        <v>9</v>
      </c>
      <c r="M190">
        <v>189</v>
      </c>
      <c r="N190" t="s">
        <v>594</v>
      </c>
      <c r="O190" s="3">
        <f>(Sala[[#This Row],[Hora de Salida]]-Sala[[#This Row],[Hora de llegada]])+IF(Sala[[#This Row],[Estado de la Mesa]]="Ocupada",(TEXT((15/(60*24)),"h:mm")),(TEXT(0,"h:mm")))</f>
        <v>9.8611111111111094E-2</v>
      </c>
      <c r="P190" s="43">
        <f>(SUMIF(Cocina[Número de Orden],Sala[[#This Row],[Número de Orden]],Cocina[Tiempo de Preparación]))</f>
        <v>117</v>
      </c>
      <c r="Q190" s="5" t="str">
        <f>TEXT(((SUMIF(Cocina[Número de Orden],Sala[[#This Row],[Número de Orden]],Cocina[Tiempo de Preparación]))/(60*24)),"h:mm")</f>
        <v>1:57</v>
      </c>
      <c r="R190" s="3">
        <f>MAX((Sala[[#This Row],[Tiempo de permanencia]]-Sala[[#This Row],[Tiempo de preparación (h)]]),0)</f>
        <v>1.7361111111111091E-2</v>
      </c>
      <c r="S190" s="8">
        <f>SUMIF(Cocina[Número de Orden],Sala[[#This Row],[Número de Orden]],Cocina[Ganancia bruta])</f>
        <v>192</v>
      </c>
      <c r="T190" s="8">
        <f>SUMIF(Cocina[Número de Orden],Sala[[#This Row],[Número de Orden]],Cocina[Costo Unitario])</f>
        <v>49</v>
      </c>
      <c r="U190" s="2">
        <f>Sala[[#This Row],[Fecha de Salida]]</f>
        <v>45018</v>
      </c>
      <c r="V190" s="7" t="str">
        <f>TEXT(Sala[[#This Row],[Fecha factura]],"dddd")</f>
        <v>domingo</v>
      </c>
      <c r="W190" t="str">
        <f>IF(Sala[[#This Row],[Tiempo de degustación]]&gt;0,"Sí","No")</f>
        <v>Sí</v>
      </c>
      <c r="X190" t="str">
        <f>IF(Sala[[#This Row],[Cobrada]]="Sí",Sala[[#This Row],[Método de Pago]],"Impago")</f>
        <v>Tarjeta de crédito</v>
      </c>
      <c r="Y190">
        <f>IF(Sala[[#This Row],[Cobrada]]="Sí",Sala[[#This Row],[Propina]],0)</f>
        <v>41.66</v>
      </c>
      <c r="Z190">
        <f>(IF(Sala[[#This Row],[Cobrada]]="Sí",Sala[[#This Row],[Monto total]],0))+Sala[[#This Row],[Propina real]]</f>
        <v>233.66</v>
      </c>
    </row>
    <row r="191" spans="1:26" x14ac:dyDescent="0.25">
      <c r="A191">
        <v>5</v>
      </c>
      <c r="B191" t="s">
        <v>183</v>
      </c>
      <c r="C191">
        <v>2</v>
      </c>
      <c r="D191" s="2">
        <v>45018</v>
      </c>
      <c r="E191" s="3">
        <v>6.3194444444444442E-2</v>
      </c>
      <c r="F191" s="2">
        <v>45018</v>
      </c>
      <c r="G191" s="3">
        <v>0.14027777777777778</v>
      </c>
      <c r="H191" s="1" t="s">
        <v>16</v>
      </c>
      <c r="I191" t="s">
        <v>8</v>
      </c>
      <c r="J191" t="s">
        <v>601</v>
      </c>
      <c r="K191" s="9">
        <v>38.880000000000003</v>
      </c>
      <c r="L191" t="s">
        <v>17</v>
      </c>
      <c r="M191">
        <v>190</v>
      </c>
      <c r="N191" t="s">
        <v>14</v>
      </c>
      <c r="O191" s="3">
        <f>(Sala[[#This Row],[Hora de Salida]]-Sala[[#This Row],[Hora de llegada]])+IF(Sala[[#This Row],[Estado de la Mesa]]="Ocupada",(TEXT((15/(60*24)),"h:mm")),(TEXT(0,"h:mm")))</f>
        <v>7.7083333333333337E-2</v>
      </c>
      <c r="P191" s="43">
        <f>(SUMIF(Cocina[Número de Orden],Sala[[#This Row],[Número de Orden]],Cocina[Tiempo de Preparación]))</f>
        <v>102</v>
      </c>
      <c r="Q191" s="5" t="str">
        <f>TEXT(((SUMIF(Cocina[Número de Orden],Sala[[#This Row],[Número de Orden]],Cocina[Tiempo de Preparación]))/(60*24)),"h:mm")</f>
        <v>1:42</v>
      </c>
      <c r="R191" s="3">
        <f>MAX((Sala[[#This Row],[Tiempo de permanencia]]-Sala[[#This Row],[Tiempo de preparación (h)]]),0)</f>
        <v>6.2500000000000056E-3</v>
      </c>
      <c r="S191" s="8">
        <f>SUMIF(Cocina[Número de Orden],Sala[[#This Row],[Número de Orden]],Cocina[Ganancia bruta])</f>
        <v>202</v>
      </c>
      <c r="T191" s="8">
        <f>SUMIF(Cocina[Número de Orden],Sala[[#This Row],[Número de Orden]],Cocina[Costo Unitario])</f>
        <v>70</v>
      </c>
      <c r="U191" s="2">
        <f>Sala[[#This Row],[Fecha de Salida]]</f>
        <v>45018</v>
      </c>
      <c r="V191" s="7" t="str">
        <f>TEXT(Sala[[#This Row],[Fecha factura]],"dddd")</f>
        <v>domingo</v>
      </c>
      <c r="W191" t="str">
        <f>IF(Sala[[#This Row],[Tiempo de degustación]]&gt;0,"Sí","No")</f>
        <v>Sí</v>
      </c>
      <c r="X191" t="str">
        <f>IF(Sala[[#This Row],[Cobrada]]="Sí",Sala[[#This Row],[Método de Pago]],"Impago")</f>
        <v>Tarjeta de crédito</v>
      </c>
      <c r="Y191">
        <f>IF(Sala[[#This Row],[Cobrada]]="Sí",Sala[[#This Row],[Propina]],0)</f>
        <v>38.880000000000003</v>
      </c>
      <c r="Z191">
        <f>(IF(Sala[[#This Row],[Cobrada]]="Sí",Sala[[#This Row],[Monto total]],0))+Sala[[#This Row],[Propina real]]</f>
        <v>240.88</v>
      </c>
    </row>
    <row r="192" spans="1:26" x14ac:dyDescent="0.25">
      <c r="A192">
        <v>12</v>
      </c>
      <c r="B192" t="s">
        <v>223</v>
      </c>
      <c r="C192">
        <v>6</v>
      </c>
      <c r="D192" s="2">
        <v>45018</v>
      </c>
      <c r="E192" s="3">
        <v>0</v>
      </c>
      <c r="F192" s="2">
        <v>45018</v>
      </c>
      <c r="G192" s="3">
        <v>0.10833333333333334</v>
      </c>
      <c r="H192" s="1" t="s">
        <v>16</v>
      </c>
      <c r="I192" t="s">
        <v>8</v>
      </c>
      <c r="J192" t="s">
        <v>601</v>
      </c>
      <c r="K192" s="9">
        <v>24.36</v>
      </c>
      <c r="L192" t="s">
        <v>28</v>
      </c>
      <c r="M192">
        <v>191</v>
      </c>
      <c r="N192" t="s">
        <v>21</v>
      </c>
      <c r="O192" s="3">
        <f>(Sala[[#This Row],[Hora de Salida]]-Sala[[#This Row],[Hora de llegada]])+IF(Sala[[#This Row],[Estado de la Mesa]]="Ocupada",(TEXT((15/(60*24)),"h:mm")),(TEXT(0,"h:mm")))</f>
        <v>0.11875000000000001</v>
      </c>
      <c r="P192" s="43">
        <f>(SUMIF(Cocina[Número de Orden],Sala[[#This Row],[Número de Orden]],Cocina[Tiempo de Preparación]))</f>
        <v>87</v>
      </c>
      <c r="Q192" s="5" t="str">
        <f>TEXT(((SUMIF(Cocina[Número de Orden],Sala[[#This Row],[Número de Orden]],Cocina[Tiempo de Preparación]))/(60*24)),"h:mm")</f>
        <v>1:27</v>
      </c>
      <c r="R192" s="3">
        <f>MAX((Sala[[#This Row],[Tiempo de permanencia]]-Sala[[#This Row],[Tiempo de preparación (h)]]),0)</f>
        <v>5.8333333333333341E-2</v>
      </c>
      <c r="S192" s="8">
        <f>SUMIF(Cocina[Número de Orden],Sala[[#This Row],[Número de Orden]],Cocina[Ganancia bruta])</f>
        <v>162</v>
      </c>
      <c r="T192" s="8">
        <f>SUMIF(Cocina[Número de Orden],Sala[[#This Row],[Número de Orden]],Cocina[Costo Unitario])</f>
        <v>32</v>
      </c>
      <c r="U192" s="2">
        <f>Sala[[#This Row],[Fecha de Salida]]</f>
        <v>45018</v>
      </c>
      <c r="V192" s="7" t="str">
        <f>TEXT(Sala[[#This Row],[Fecha factura]],"dddd")</f>
        <v>domingo</v>
      </c>
      <c r="W192" t="str">
        <f>IF(Sala[[#This Row],[Tiempo de degustación]]&gt;0,"Sí","No")</f>
        <v>Sí</v>
      </c>
      <c r="X192" t="str">
        <f>IF(Sala[[#This Row],[Cobrada]]="Sí",Sala[[#This Row],[Método de Pago]],"Impago")</f>
        <v>Tarjeta de crédito</v>
      </c>
      <c r="Y192">
        <f>IF(Sala[[#This Row],[Cobrada]]="Sí",Sala[[#This Row],[Propina]],0)</f>
        <v>24.36</v>
      </c>
      <c r="Z192">
        <f>(IF(Sala[[#This Row],[Cobrada]]="Sí",Sala[[#This Row],[Monto total]],0))+Sala[[#This Row],[Propina real]]</f>
        <v>186.36</v>
      </c>
    </row>
    <row r="193" spans="1:26" x14ac:dyDescent="0.25">
      <c r="A193">
        <v>17</v>
      </c>
      <c r="B193" t="s">
        <v>224</v>
      </c>
      <c r="C193">
        <v>4</v>
      </c>
      <c r="D193" s="2">
        <v>45018</v>
      </c>
      <c r="E193" s="3">
        <v>0.10833333333333334</v>
      </c>
      <c r="F193" s="2">
        <v>45018</v>
      </c>
      <c r="G193" s="3">
        <v>0.20347222222222222</v>
      </c>
      <c r="H193" s="1" t="s">
        <v>16</v>
      </c>
      <c r="I193" t="s">
        <v>12</v>
      </c>
      <c r="J193" t="s">
        <v>13</v>
      </c>
      <c r="K193" s="9">
        <v>15.99</v>
      </c>
      <c r="L193" t="s">
        <v>17</v>
      </c>
      <c r="M193">
        <v>192</v>
      </c>
      <c r="N193" t="s">
        <v>47</v>
      </c>
      <c r="O193" s="3">
        <f>(Sala[[#This Row],[Hora de Salida]]-Sala[[#This Row],[Hora de llegada]])+IF(Sala[[#This Row],[Estado de la Mesa]]="Ocupada",(TEXT((15/(60*24)),"h:mm")),(TEXT(0,"h:mm")))</f>
        <v>9.5138888888888884E-2</v>
      </c>
      <c r="P193" s="43">
        <f>(SUMIF(Cocina[Número de Orden],Sala[[#This Row],[Número de Orden]],Cocina[Tiempo de Preparación]))</f>
        <v>26</v>
      </c>
      <c r="Q193" s="5" t="str">
        <f>TEXT(((SUMIF(Cocina[Número de Orden],Sala[[#This Row],[Número de Orden]],Cocina[Tiempo de Preparación]))/(60*24)),"h:mm")</f>
        <v>0:26</v>
      </c>
      <c r="R193" s="3">
        <f>MAX((Sala[[#This Row],[Tiempo de permanencia]]-Sala[[#This Row],[Tiempo de preparación (h)]]),0)</f>
        <v>7.7083333333333337E-2</v>
      </c>
      <c r="S193" s="8">
        <f>SUMIF(Cocina[Número de Orden],Sala[[#This Row],[Número de Orden]],Cocina[Ganancia bruta])</f>
        <v>75</v>
      </c>
      <c r="T193" s="8">
        <f>SUMIF(Cocina[Número de Orden],Sala[[#This Row],[Número de Orden]],Cocina[Costo Unitario])</f>
        <v>15</v>
      </c>
      <c r="U193" s="2">
        <f>Sala[[#This Row],[Fecha de Salida]]</f>
        <v>45018</v>
      </c>
      <c r="V193" s="7" t="str">
        <f>TEXT(Sala[[#This Row],[Fecha factura]],"dddd")</f>
        <v>domingo</v>
      </c>
      <c r="W193" t="str">
        <f>IF(Sala[[#This Row],[Tiempo de degustación]]&gt;0,"Sí","No")</f>
        <v>Sí</v>
      </c>
      <c r="X193" t="str">
        <f>IF(Sala[[#This Row],[Cobrada]]="Sí",Sala[[#This Row],[Método de Pago]],"Impago")</f>
        <v>Efectivo</v>
      </c>
      <c r="Y193">
        <f>IF(Sala[[#This Row],[Cobrada]]="Sí",Sala[[#This Row],[Propina]],0)</f>
        <v>15.99</v>
      </c>
      <c r="Z193">
        <f>(IF(Sala[[#This Row],[Cobrada]]="Sí",Sala[[#This Row],[Monto total]],0))+Sala[[#This Row],[Propina real]]</f>
        <v>90.99</v>
      </c>
    </row>
    <row r="194" spans="1:26" x14ac:dyDescent="0.25">
      <c r="A194">
        <v>3</v>
      </c>
      <c r="B194" t="s">
        <v>225</v>
      </c>
      <c r="C194">
        <v>5</v>
      </c>
      <c r="D194" s="2">
        <v>45018</v>
      </c>
      <c r="E194" s="3">
        <v>8.3333333333333332E-3</v>
      </c>
      <c r="F194" s="2">
        <v>45018</v>
      </c>
      <c r="G194" s="3">
        <v>0.12777777777777777</v>
      </c>
      <c r="H194" s="1" t="s">
        <v>20</v>
      </c>
      <c r="I194" t="s">
        <v>12</v>
      </c>
      <c r="J194" t="s">
        <v>601</v>
      </c>
      <c r="K194" s="9">
        <v>24.85</v>
      </c>
      <c r="L194" t="s">
        <v>9</v>
      </c>
      <c r="M194">
        <v>193</v>
      </c>
      <c r="N194" t="s">
        <v>59</v>
      </c>
      <c r="O194" s="3">
        <f>(Sala[[#This Row],[Hora de Salida]]-Sala[[#This Row],[Hora de llegada]])+IF(Sala[[#This Row],[Estado de la Mesa]]="Ocupada",(TEXT((15/(60*24)),"h:mm")),(TEXT(0,"h:mm")))</f>
        <v>0.11944444444444444</v>
      </c>
      <c r="P194" s="43">
        <f>(SUMIF(Cocina[Número de Orden],Sala[[#This Row],[Número de Orden]],Cocina[Tiempo de Preparación]))</f>
        <v>171</v>
      </c>
      <c r="Q194" s="5" t="str">
        <f>TEXT(((SUMIF(Cocina[Número de Orden],Sala[[#This Row],[Número de Orden]],Cocina[Tiempo de Preparación]))/(60*24)),"h:mm")</f>
        <v>2:51</v>
      </c>
      <c r="R194" s="3">
        <f>MAX((Sala[[#This Row],[Tiempo de permanencia]]-Sala[[#This Row],[Tiempo de preparación (h)]]),0)</f>
        <v>6.9444444444444198E-4</v>
      </c>
      <c r="S194" s="8">
        <f>SUMIF(Cocina[Número de Orden],Sala[[#This Row],[Número de Orden]],Cocina[Ganancia bruta])</f>
        <v>220</v>
      </c>
      <c r="T194" s="8">
        <f>SUMIF(Cocina[Número de Orden],Sala[[#This Row],[Número de Orden]],Cocina[Costo Unitario])</f>
        <v>67</v>
      </c>
      <c r="U194" s="2">
        <f>Sala[[#This Row],[Fecha de Salida]]</f>
        <v>45018</v>
      </c>
      <c r="V194" s="7" t="str">
        <f>TEXT(Sala[[#This Row],[Fecha factura]],"dddd")</f>
        <v>domingo</v>
      </c>
      <c r="W194" t="str">
        <f>IF(Sala[[#This Row],[Tiempo de degustación]]&gt;0,"Sí","No")</f>
        <v>Sí</v>
      </c>
      <c r="X194" t="str">
        <f>IF(Sala[[#This Row],[Cobrada]]="Sí",Sala[[#This Row],[Método de Pago]],"Impago")</f>
        <v>Tarjeta de crédito</v>
      </c>
      <c r="Y194">
        <f>IF(Sala[[#This Row],[Cobrada]]="Sí",Sala[[#This Row],[Propina]],0)</f>
        <v>24.85</v>
      </c>
      <c r="Z194">
        <f>(IF(Sala[[#This Row],[Cobrada]]="Sí",Sala[[#This Row],[Monto total]],0))+Sala[[#This Row],[Propina real]]</f>
        <v>244.85</v>
      </c>
    </row>
    <row r="195" spans="1:26" x14ac:dyDescent="0.25">
      <c r="A195">
        <v>3</v>
      </c>
      <c r="B195" t="s">
        <v>226</v>
      </c>
      <c r="C195">
        <v>6</v>
      </c>
      <c r="D195" s="2">
        <v>45018</v>
      </c>
      <c r="E195" s="3">
        <v>0.1111111111111111</v>
      </c>
      <c r="F195" s="2">
        <v>45018</v>
      </c>
      <c r="G195" s="3">
        <v>0.16388888888888889</v>
      </c>
      <c r="H195" s="1" t="s">
        <v>20</v>
      </c>
      <c r="I195" t="s">
        <v>8</v>
      </c>
      <c r="J195" t="s">
        <v>600</v>
      </c>
      <c r="K195" s="9">
        <v>11.41</v>
      </c>
      <c r="L195" t="s">
        <v>9</v>
      </c>
      <c r="M195">
        <v>194</v>
      </c>
      <c r="N195" t="s">
        <v>593</v>
      </c>
      <c r="O195" s="3">
        <f>(Sala[[#This Row],[Hora de Salida]]-Sala[[#This Row],[Hora de llegada]])+IF(Sala[[#This Row],[Estado de la Mesa]]="Ocupada",(TEXT((15/(60*24)),"h:mm")),(TEXT(0,"h:mm")))</f>
        <v>5.2777777777777785E-2</v>
      </c>
      <c r="P195" s="43">
        <f>(SUMIF(Cocina[Número de Orden],Sala[[#This Row],[Número de Orden]],Cocina[Tiempo de Preparación]))</f>
        <v>68</v>
      </c>
      <c r="Q195" s="5" t="str">
        <f>TEXT(((SUMIF(Cocina[Número de Orden],Sala[[#This Row],[Número de Orden]],Cocina[Tiempo de Preparación]))/(60*24)),"h:mm")</f>
        <v>1:08</v>
      </c>
      <c r="R195" s="3">
        <f>MAX((Sala[[#This Row],[Tiempo de permanencia]]-Sala[[#This Row],[Tiempo de preparación (h)]]),0)</f>
        <v>5.5555555555555636E-3</v>
      </c>
      <c r="S195" s="8">
        <f>SUMIF(Cocina[Número de Orden],Sala[[#This Row],[Número de Orden]],Cocina[Ganancia bruta])</f>
        <v>96</v>
      </c>
      <c r="T195" s="8">
        <f>SUMIF(Cocina[Número de Orden],Sala[[#This Row],[Número de Orden]],Cocina[Costo Unitario])</f>
        <v>38</v>
      </c>
      <c r="U195" s="2">
        <f>Sala[[#This Row],[Fecha de Salida]]</f>
        <v>45018</v>
      </c>
      <c r="V195" s="7" t="str">
        <f>TEXT(Sala[[#This Row],[Fecha factura]],"dddd")</f>
        <v>domingo</v>
      </c>
      <c r="W195" t="str">
        <f>IF(Sala[[#This Row],[Tiempo de degustación]]&gt;0,"Sí","No")</f>
        <v>Sí</v>
      </c>
      <c r="X195" t="str">
        <f>IF(Sala[[#This Row],[Cobrada]]="Sí",Sala[[#This Row],[Método de Pago]],"Impago")</f>
        <v>Tarjeta de débito</v>
      </c>
      <c r="Y195">
        <f>IF(Sala[[#This Row],[Cobrada]]="Sí",Sala[[#This Row],[Propina]],0)</f>
        <v>11.41</v>
      </c>
      <c r="Z195">
        <f>(IF(Sala[[#This Row],[Cobrada]]="Sí",Sala[[#This Row],[Monto total]],0))+Sala[[#This Row],[Propina real]]</f>
        <v>107.41</v>
      </c>
    </row>
    <row r="196" spans="1:26" x14ac:dyDescent="0.25">
      <c r="A196">
        <v>2</v>
      </c>
      <c r="B196" t="s">
        <v>227</v>
      </c>
      <c r="C196">
        <v>1</v>
      </c>
      <c r="D196" s="2">
        <v>45018</v>
      </c>
      <c r="E196" s="3">
        <v>0.12777777777777777</v>
      </c>
      <c r="F196" s="2">
        <v>45018</v>
      </c>
      <c r="G196" s="3">
        <v>0.17291666666666666</v>
      </c>
      <c r="H196" s="1" t="s">
        <v>7</v>
      </c>
      <c r="I196" t="s">
        <v>8</v>
      </c>
      <c r="J196" t="s">
        <v>600</v>
      </c>
      <c r="K196" s="9">
        <v>10.06</v>
      </c>
      <c r="L196" t="s">
        <v>28</v>
      </c>
      <c r="M196">
        <v>195</v>
      </c>
      <c r="N196" t="s">
        <v>14</v>
      </c>
      <c r="O196" s="3">
        <f>(Sala[[#This Row],[Hora de Salida]]-Sala[[#This Row],[Hora de llegada]])+IF(Sala[[#This Row],[Estado de la Mesa]]="Ocupada",(TEXT((15/(60*24)),"h:mm")),(TEXT(0,"h:mm")))</f>
        <v>5.5555555555555559E-2</v>
      </c>
      <c r="P196" s="43">
        <f>(SUMIF(Cocina[Número de Orden],Sala[[#This Row],[Número de Orden]],Cocina[Tiempo de Preparación]))</f>
        <v>51</v>
      </c>
      <c r="Q196" s="5" t="str">
        <f>TEXT(((SUMIF(Cocina[Número de Orden],Sala[[#This Row],[Número de Orden]],Cocina[Tiempo de Preparación]))/(60*24)),"h:mm")</f>
        <v>0:51</v>
      </c>
      <c r="R196" s="3">
        <f>MAX((Sala[[#This Row],[Tiempo de permanencia]]-Sala[[#This Row],[Tiempo de preparación (h)]]),0)</f>
        <v>2.0138888888888894E-2</v>
      </c>
      <c r="S196" s="8">
        <f>SUMIF(Cocina[Número de Orden],Sala[[#This Row],[Número de Orden]],Cocina[Ganancia bruta])</f>
        <v>50</v>
      </c>
      <c r="T196" s="8">
        <f>SUMIF(Cocina[Número de Orden],Sala[[#This Row],[Número de Orden]],Cocina[Costo Unitario])</f>
        <v>15</v>
      </c>
      <c r="U196" s="2">
        <f>Sala[[#This Row],[Fecha de Salida]]</f>
        <v>45018</v>
      </c>
      <c r="V196" s="7" t="str">
        <f>TEXT(Sala[[#This Row],[Fecha factura]],"dddd")</f>
        <v>domingo</v>
      </c>
      <c r="W196" t="str">
        <f>IF(Sala[[#This Row],[Tiempo de degustación]]&gt;0,"Sí","No")</f>
        <v>Sí</v>
      </c>
      <c r="X196" t="str">
        <f>IF(Sala[[#This Row],[Cobrada]]="Sí",Sala[[#This Row],[Método de Pago]],"Impago")</f>
        <v>Tarjeta de débito</v>
      </c>
      <c r="Y196">
        <f>IF(Sala[[#This Row],[Cobrada]]="Sí",Sala[[#This Row],[Propina]],0)</f>
        <v>10.06</v>
      </c>
      <c r="Z196">
        <f>(IF(Sala[[#This Row],[Cobrada]]="Sí",Sala[[#This Row],[Monto total]],0))+Sala[[#This Row],[Propina real]]</f>
        <v>60.06</v>
      </c>
    </row>
    <row r="197" spans="1:26" x14ac:dyDescent="0.25">
      <c r="A197">
        <v>4</v>
      </c>
      <c r="B197" t="s">
        <v>24</v>
      </c>
      <c r="C197">
        <v>3</v>
      </c>
      <c r="D197" s="2">
        <v>45018</v>
      </c>
      <c r="E197" s="3">
        <v>7.6388888888888886E-3</v>
      </c>
      <c r="F197" s="2">
        <v>45018</v>
      </c>
      <c r="G197" s="3">
        <v>0.1736111111111111</v>
      </c>
      <c r="H197" s="1" t="s">
        <v>16</v>
      </c>
      <c r="I197" t="s">
        <v>8</v>
      </c>
      <c r="J197" t="s">
        <v>601</v>
      </c>
      <c r="K197" s="9">
        <v>42.65</v>
      </c>
      <c r="L197" t="s">
        <v>9</v>
      </c>
      <c r="M197">
        <v>196</v>
      </c>
      <c r="N197" t="s">
        <v>594</v>
      </c>
      <c r="O197" s="3">
        <f>(Sala[[#This Row],[Hora de Salida]]-Sala[[#This Row],[Hora de llegada]])+IF(Sala[[#This Row],[Estado de la Mesa]]="Ocupada",(TEXT((15/(60*24)),"h:mm")),(TEXT(0,"h:mm")))</f>
        <v>0.16597222222222222</v>
      </c>
      <c r="P197" s="43">
        <f>(SUMIF(Cocina[Número de Orden],Sala[[#This Row],[Número de Orden]],Cocina[Tiempo de Preparación]))</f>
        <v>176</v>
      </c>
      <c r="Q197" s="5" t="str">
        <f>TEXT(((SUMIF(Cocina[Número de Orden],Sala[[#This Row],[Número de Orden]],Cocina[Tiempo de Preparación]))/(60*24)),"h:mm")</f>
        <v>2:56</v>
      </c>
      <c r="R197" s="3">
        <f>MAX((Sala[[#This Row],[Tiempo de permanencia]]-Sala[[#This Row],[Tiempo de preparación (h)]]),0)</f>
        <v>4.3749999999999997E-2</v>
      </c>
      <c r="S197" s="8">
        <f>SUMIF(Cocina[Número de Orden],Sala[[#This Row],[Número de Orden]],Cocina[Ganancia bruta])</f>
        <v>191</v>
      </c>
      <c r="T197" s="8">
        <f>SUMIF(Cocina[Número de Orden],Sala[[#This Row],[Número de Orden]],Cocina[Costo Unitario])</f>
        <v>59</v>
      </c>
      <c r="U197" s="2">
        <f>Sala[[#This Row],[Fecha de Salida]]</f>
        <v>45018</v>
      </c>
      <c r="V197" s="7" t="str">
        <f>TEXT(Sala[[#This Row],[Fecha factura]],"dddd")</f>
        <v>domingo</v>
      </c>
      <c r="W197" t="str">
        <f>IF(Sala[[#This Row],[Tiempo de degustación]]&gt;0,"Sí","No")</f>
        <v>Sí</v>
      </c>
      <c r="X197" t="str">
        <f>IF(Sala[[#This Row],[Cobrada]]="Sí",Sala[[#This Row],[Método de Pago]],"Impago")</f>
        <v>Tarjeta de crédito</v>
      </c>
      <c r="Y197">
        <f>IF(Sala[[#This Row],[Cobrada]]="Sí",Sala[[#This Row],[Propina]],0)</f>
        <v>42.65</v>
      </c>
      <c r="Z197">
        <f>(IF(Sala[[#This Row],[Cobrada]]="Sí",Sala[[#This Row],[Monto total]],0))+Sala[[#This Row],[Propina real]]</f>
        <v>233.65</v>
      </c>
    </row>
    <row r="198" spans="1:26" x14ac:dyDescent="0.25">
      <c r="A198">
        <v>5</v>
      </c>
      <c r="B198" t="s">
        <v>228</v>
      </c>
      <c r="C198">
        <v>6</v>
      </c>
      <c r="D198" s="2">
        <v>45018</v>
      </c>
      <c r="E198" s="3">
        <v>0.11527777777777778</v>
      </c>
      <c r="F198" s="2">
        <v>45018</v>
      </c>
      <c r="G198" s="3">
        <v>0.20416666666666666</v>
      </c>
      <c r="H198" s="1" t="s">
        <v>16</v>
      </c>
      <c r="I198" t="s">
        <v>12</v>
      </c>
      <c r="J198" t="s">
        <v>600</v>
      </c>
      <c r="K198" s="9">
        <v>20.11</v>
      </c>
      <c r="L198" t="s">
        <v>28</v>
      </c>
      <c r="M198">
        <v>197</v>
      </c>
      <c r="N198" t="s">
        <v>14</v>
      </c>
      <c r="O198" s="3">
        <f>(Sala[[#This Row],[Hora de Salida]]-Sala[[#This Row],[Hora de llegada]])+IF(Sala[[#This Row],[Estado de la Mesa]]="Ocupada",(TEXT((15/(60*24)),"h:mm")),(TEXT(0,"h:mm")))</f>
        <v>9.930555555555555E-2</v>
      </c>
      <c r="P198" s="43">
        <f>(SUMIF(Cocina[Número de Orden],Sala[[#This Row],[Número de Orden]],Cocina[Tiempo de Preparación]))</f>
        <v>72</v>
      </c>
      <c r="Q198" s="5" t="str">
        <f>TEXT(((SUMIF(Cocina[Número de Orden],Sala[[#This Row],[Número de Orden]],Cocina[Tiempo de Preparación]))/(60*24)),"h:mm")</f>
        <v>1:12</v>
      </c>
      <c r="R198" s="3">
        <f>MAX((Sala[[#This Row],[Tiempo de permanencia]]-Sala[[#This Row],[Tiempo de preparación (h)]]),0)</f>
        <v>4.9305555555555547E-2</v>
      </c>
      <c r="S198" s="8">
        <f>SUMIF(Cocina[Número de Orden],Sala[[#This Row],[Número de Orden]],Cocina[Ganancia bruta])</f>
        <v>129</v>
      </c>
      <c r="T198" s="8">
        <f>SUMIF(Cocina[Número de Orden],Sala[[#This Row],[Número de Orden]],Cocina[Costo Unitario])</f>
        <v>36</v>
      </c>
      <c r="U198" s="2">
        <f>Sala[[#This Row],[Fecha de Salida]]</f>
        <v>45018</v>
      </c>
      <c r="V198" s="7" t="str">
        <f>TEXT(Sala[[#This Row],[Fecha factura]],"dddd")</f>
        <v>domingo</v>
      </c>
      <c r="W198" t="str">
        <f>IF(Sala[[#This Row],[Tiempo de degustación]]&gt;0,"Sí","No")</f>
        <v>Sí</v>
      </c>
      <c r="X198" t="str">
        <f>IF(Sala[[#This Row],[Cobrada]]="Sí",Sala[[#This Row],[Método de Pago]],"Impago")</f>
        <v>Tarjeta de débito</v>
      </c>
      <c r="Y198">
        <f>IF(Sala[[#This Row],[Cobrada]]="Sí",Sala[[#This Row],[Propina]],0)</f>
        <v>20.11</v>
      </c>
      <c r="Z198">
        <f>(IF(Sala[[#This Row],[Cobrada]]="Sí",Sala[[#This Row],[Monto total]],0))+Sala[[#This Row],[Propina real]]</f>
        <v>149.11000000000001</v>
      </c>
    </row>
    <row r="199" spans="1:26" x14ac:dyDescent="0.25">
      <c r="A199">
        <v>9</v>
      </c>
      <c r="B199" t="s">
        <v>229</v>
      </c>
      <c r="C199">
        <v>4</v>
      </c>
      <c r="D199" s="2">
        <v>45018</v>
      </c>
      <c r="E199" s="3">
        <v>2.5000000000000001E-2</v>
      </c>
      <c r="F199" s="2">
        <v>45018</v>
      </c>
      <c r="G199" s="3">
        <v>0.12847222222222221</v>
      </c>
      <c r="H199" s="1" t="s">
        <v>11</v>
      </c>
      <c r="I199" t="s">
        <v>8</v>
      </c>
      <c r="J199" t="s">
        <v>601</v>
      </c>
      <c r="K199" s="9">
        <v>36.72</v>
      </c>
      <c r="L199" t="s">
        <v>9</v>
      </c>
      <c r="M199">
        <v>198</v>
      </c>
      <c r="N199" t="s">
        <v>594</v>
      </c>
      <c r="O199" s="3">
        <f>(Sala[[#This Row],[Hora de Salida]]-Sala[[#This Row],[Hora de llegada]])+IF(Sala[[#This Row],[Estado de la Mesa]]="Ocupada",(TEXT((15/(60*24)),"h:mm")),(TEXT(0,"h:mm")))</f>
        <v>0.10347222222222222</v>
      </c>
      <c r="P199" s="43">
        <f>(SUMIF(Cocina[Número de Orden],Sala[[#This Row],[Número de Orden]],Cocina[Tiempo de Preparación]))</f>
        <v>33</v>
      </c>
      <c r="Q199" s="5" t="str">
        <f>TEXT(((SUMIF(Cocina[Número de Orden],Sala[[#This Row],[Número de Orden]],Cocina[Tiempo de Preparación]))/(60*24)),"h:mm")</f>
        <v>0:33</v>
      </c>
      <c r="R199" s="3">
        <f>MAX((Sala[[#This Row],[Tiempo de permanencia]]-Sala[[#This Row],[Tiempo de preparación (h)]]),0)</f>
        <v>8.0555555555555547E-2</v>
      </c>
      <c r="S199" s="8">
        <f>SUMIF(Cocina[Número de Orden],Sala[[#This Row],[Número de Orden]],Cocina[Ganancia bruta])</f>
        <v>54</v>
      </c>
      <c r="T199" s="8">
        <f>SUMIF(Cocina[Número de Orden],Sala[[#This Row],[Número de Orden]],Cocina[Costo Unitario])</f>
        <v>16</v>
      </c>
      <c r="U199" s="2">
        <f>Sala[[#This Row],[Fecha de Salida]]</f>
        <v>45018</v>
      </c>
      <c r="V199" s="7" t="str">
        <f>TEXT(Sala[[#This Row],[Fecha factura]],"dddd")</f>
        <v>domingo</v>
      </c>
      <c r="W199" t="str">
        <f>IF(Sala[[#This Row],[Tiempo de degustación]]&gt;0,"Sí","No")</f>
        <v>Sí</v>
      </c>
      <c r="X199" t="str">
        <f>IF(Sala[[#This Row],[Cobrada]]="Sí",Sala[[#This Row],[Método de Pago]],"Impago")</f>
        <v>Tarjeta de crédito</v>
      </c>
      <c r="Y199">
        <f>IF(Sala[[#This Row],[Cobrada]]="Sí",Sala[[#This Row],[Propina]],0)</f>
        <v>36.72</v>
      </c>
      <c r="Z199">
        <f>(IF(Sala[[#This Row],[Cobrada]]="Sí",Sala[[#This Row],[Monto total]],0))+Sala[[#This Row],[Propina real]]</f>
        <v>90.72</v>
      </c>
    </row>
    <row r="200" spans="1:26" x14ac:dyDescent="0.25">
      <c r="A200">
        <v>11</v>
      </c>
      <c r="B200" t="s">
        <v>230</v>
      </c>
      <c r="C200">
        <v>5</v>
      </c>
      <c r="D200" s="2">
        <v>45018</v>
      </c>
      <c r="E200" s="3">
        <v>8.0555555555555561E-2</v>
      </c>
      <c r="F200" s="2">
        <v>45018</v>
      </c>
      <c r="G200" s="3">
        <v>0.2361111111111111</v>
      </c>
      <c r="H200" s="1" t="s">
        <v>16</v>
      </c>
      <c r="I200" t="s">
        <v>25</v>
      </c>
      <c r="J200" t="s">
        <v>600</v>
      </c>
      <c r="K200" s="9">
        <v>13.26</v>
      </c>
      <c r="L200" t="s">
        <v>17</v>
      </c>
      <c r="M200">
        <v>199</v>
      </c>
      <c r="N200" t="s">
        <v>21</v>
      </c>
      <c r="O200" s="3">
        <f>(Sala[[#This Row],[Hora de Salida]]-Sala[[#This Row],[Hora de llegada]])+IF(Sala[[#This Row],[Estado de la Mesa]]="Ocupada",(TEXT((15/(60*24)),"h:mm")),(TEXT(0,"h:mm")))</f>
        <v>0.15555555555555556</v>
      </c>
      <c r="P200" s="43">
        <f>(SUMIF(Cocina[Número de Orden],Sala[[#This Row],[Número de Orden]],Cocina[Tiempo de Preparación]))</f>
        <v>142</v>
      </c>
      <c r="Q200" s="5" t="str">
        <f>TEXT(((SUMIF(Cocina[Número de Orden],Sala[[#This Row],[Número de Orden]],Cocina[Tiempo de Preparación]))/(60*24)),"h:mm")</f>
        <v>2:22</v>
      </c>
      <c r="R200" s="3">
        <f>MAX((Sala[[#This Row],[Tiempo de permanencia]]-Sala[[#This Row],[Tiempo de preparación (h)]]),0)</f>
        <v>5.694444444444445E-2</v>
      </c>
      <c r="S200" s="8">
        <f>SUMIF(Cocina[Número de Orden],Sala[[#This Row],[Número de Orden]],Cocina[Ganancia bruta])</f>
        <v>261</v>
      </c>
      <c r="T200" s="8">
        <f>SUMIF(Cocina[Número de Orden],Sala[[#This Row],[Número de Orden]],Cocina[Costo Unitario])</f>
        <v>67</v>
      </c>
      <c r="U200" s="2">
        <f>Sala[[#This Row],[Fecha de Salida]]</f>
        <v>45018</v>
      </c>
      <c r="V200" s="7" t="str">
        <f>TEXT(Sala[[#This Row],[Fecha factura]],"dddd")</f>
        <v>domingo</v>
      </c>
      <c r="W200" t="str">
        <f>IF(Sala[[#This Row],[Tiempo de degustación]]&gt;0,"Sí","No")</f>
        <v>Sí</v>
      </c>
      <c r="X200" t="str">
        <f>IF(Sala[[#This Row],[Cobrada]]="Sí",Sala[[#This Row],[Método de Pago]],"Impago")</f>
        <v>Tarjeta de débito</v>
      </c>
      <c r="Y200">
        <f>IF(Sala[[#This Row],[Cobrada]]="Sí",Sala[[#This Row],[Propina]],0)</f>
        <v>13.26</v>
      </c>
      <c r="Z200">
        <f>(IF(Sala[[#This Row],[Cobrada]]="Sí",Sala[[#This Row],[Monto total]],0))+Sala[[#This Row],[Propina real]]</f>
        <v>274.26</v>
      </c>
    </row>
    <row r="201" spans="1:26" x14ac:dyDescent="0.25">
      <c r="A201">
        <v>11</v>
      </c>
      <c r="B201" t="s">
        <v>231</v>
      </c>
      <c r="C201">
        <v>4</v>
      </c>
      <c r="D201" s="2">
        <v>45018</v>
      </c>
      <c r="E201" s="3">
        <v>0.1076388888888889</v>
      </c>
      <c r="F201" s="2">
        <v>45018</v>
      </c>
      <c r="G201" s="3">
        <v>0.22638888888888889</v>
      </c>
      <c r="H201" s="1" t="s">
        <v>7</v>
      </c>
      <c r="I201" t="s">
        <v>8</v>
      </c>
      <c r="J201" t="s">
        <v>601</v>
      </c>
      <c r="K201" s="9">
        <v>48.73</v>
      </c>
      <c r="L201" t="s">
        <v>9</v>
      </c>
      <c r="M201">
        <v>200</v>
      </c>
      <c r="N201" t="s">
        <v>14</v>
      </c>
      <c r="O201" s="3">
        <f>(Sala[[#This Row],[Hora de Salida]]-Sala[[#This Row],[Hora de llegada]])+IF(Sala[[#This Row],[Estado de la Mesa]]="Ocupada",(TEXT((15/(60*24)),"h:mm")),(TEXT(0,"h:mm")))</f>
        <v>0.11874999999999999</v>
      </c>
      <c r="P201" s="43">
        <f>(SUMIF(Cocina[Número de Orden],Sala[[#This Row],[Número de Orden]],Cocina[Tiempo de Preparación]))</f>
        <v>67</v>
      </c>
      <c r="Q201" s="5" t="str">
        <f>TEXT(((SUMIF(Cocina[Número de Orden],Sala[[#This Row],[Número de Orden]],Cocina[Tiempo de Preparación]))/(60*24)),"h:mm")</f>
        <v>1:07</v>
      </c>
      <c r="R201" s="3">
        <f>MAX((Sala[[#This Row],[Tiempo de permanencia]]-Sala[[#This Row],[Tiempo de preparación (h)]]),0)</f>
        <v>7.2222222222222215E-2</v>
      </c>
      <c r="S201" s="8">
        <f>SUMIF(Cocina[Número de Orden],Sala[[#This Row],[Número de Orden]],Cocina[Ganancia bruta])</f>
        <v>88</v>
      </c>
      <c r="T201" s="8">
        <f>SUMIF(Cocina[Número de Orden],Sala[[#This Row],[Número de Orden]],Cocina[Costo Unitario])</f>
        <v>26</v>
      </c>
      <c r="U201" s="2">
        <f>Sala[[#This Row],[Fecha de Salida]]</f>
        <v>45018</v>
      </c>
      <c r="V201" s="7" t="str">
        <f>TEXT(Sala[[#This Row],[Fecha factura]],"dddd")</f>
        <v>domingo</v>
      </c>
      <c r="W201" t="str">
        <f>IF(Sala[[#This Row],[Tiempo de degustación]]&gt;0,"Sí","No")</f>
        <v>Sí</v>
      </c>
      <c r="X201" t="str">
        <f>IF(Sala[[#This Row],[Cobrada]]="Sí",Sala[[#This Row],[Método de Pago]],"Impago")</f>
        <v>Tarjeta de crédito</v>
      </c>
      <c r="Y201">
        <f>IF(Sala[[#This Row],[Cobrada]]="Sí",Sala[[#This Row],[Propina]],0)</f>
        <v>48.73</v>
      </c>
      <c r="Z201">
        <f>(IF(Sala[[#This Row],[Cobrada]]="Sí",Sala[[#This Row],[Monto total]],0))+Sala[[#This Row],[Propina real]]</f>
        <v>136.72999999999999</v>
      </c>
    </row>
    <row r="202" spans="1:26" x14ac:dyDescent="0.25">
      <c r="A202">
        <v>3</v>
      </c>
      <c r="B202" t="s">
        <v>232</v>
      </c>
      <c r="C202">
        <v>5</v>
      </c>
      <c r="D202" s="2">
        <v>45018</v>
      </c>
      <c r="E202" s="3">
        <v>1.2500000000000001E-2</v>
      </c>
      <c r="F202" s="2">
        <v>45018</v>
      </c>
      <c r="G202" s="3">
        <v>7.6388888888888895E-2</v>
      </c>
      <c r="H202" s="1" t="s">
        <v>11</v>
      </c>
      <c r="I202" t="s">
        <v>25</v>
      </c>
      <c r="J202" t="s">
        <v>601</v>
      </c>
      <c r="K202" s="9">
        <v>19.84</v>
      </c>
      <c r="L202" t="s">
        <v>9</v>
      </c>
      <c r="M202">
        <v>201</v>
      </c>
      <c r="N202" t="s">
        <v>593</v>
      </c>
      <c r="O202" s="3">
        <f>(Sala[[#This Row],[Hora de Salida]]-Sala[[#This Row],[Hora de llegada]])+IF(Sala[[#This Row],[Estado de la Mesa]]="Ocupada",(TEXT((15/(60*24)),"h:mm")),(TEXT(0,"h:mm")))</f>
        <v>6.3888888888888898E-2</v>
      </c>
      <c r="P202" s="43">
        <f>(SUMIF(Cocina[Número de Orden],Sala[[#This Row],[Número de Orden]],Cocina[Tiempo de Preparación]))</f>
        <v>58</v>
      </c>
      <c r="Q202" s="5" t="str">
        <f>TEXT(((SUMIF(Cocina[Número de Orden],Sala[[#This Row],[Número de Orden]],Cocina[Tiempo de Preparación]))/(60*24)),"h:mm")</f>
        <v>0:58</v>
      </c>
      <c r="R202" s="3">
        <f>MAX((Sala[[#This Row],[Tiempo de permanencia]]-Sala[[#This Row],[Tiempo de preparación (h)]]),0)</f>
        <v>2.3611111111111117E-2</v>
      </c>
      <c r="S202" s="8">
        <f>SUMIF(Cocina[Número de Orden],Sala[[#This Row],[Número de Orden]],Cocina[Ganancia bruta])</f>
        <v>72</v>
      </c>
      <c r="T202" s="8">
        <f>SUMIF(Cocina[Número de Orden],Sala[[#This Row],[Número de Orden]],Cocina[Costo Unitario])</f>
        <v>14</v>
      </c>
      <c r="U202" s="2">
        <f>Sala[[#This Row],[Fecha de Salida]]</f>
        <v>45018</v>
      </c>
      <c r="V202" s="7" t="str">
        <f>TEXT(Sala[[#This Row],[Fecha factura]],"dddd")</f>
        <v>domingo</v>
      </c>
      <c r="W202" t="str">
        <f>IF(Sala[[#This Row],[Tiempo de degustación]]&gt;0,"Sí","No")</f>
        <v>Sí</v>
      </c>
      <c r="X202" t="str">
        <f>IF(Sala[[#This Row],[Cobrada]]="Sí",Sala[[#This Row],[Método de Pago]],"Impago")</f>
        <v>Tarjeta de crédito</v>
      </c>
      <c r="Y202">
        <f>IF(Sala[[#This Row],[Cobrada]]="Sí",Sala[[#This Row],[Propina]],0)</f>
        <v>19.84</v>
      </c>
      <c r="Z202">
        <f>(IF(Sala[[#This Row],[Cobrada]]="Sí",Sala[[#This Row],[Monto total]],0))+Sala[[#This Row],[Propina real]]</f>
        <v>91.84</v>
      </c>
    </row>
    <row r="203" spans="1:26" x14ac:dyDescent="0.25">
      <c r="A203">
        <v>16</v>
      </c>
      <c r="B203" t="s">
        <v>233</v>
      </c>
      <c r="C203">
        <v>5</v>
      </c>
      <c r="D203" s="2">
        <v>45018</v>
      </c>
      <c r="E203" s="3">
        <v>4.027777777777778E-2</v>
      </c>
      <c r="F203" s="2">
        <v>45018</v>
      </c>
      <c r="G203" s="3">
        <v>8.3333333333333329E-2</v>
      </c>
      <c r="H203" s="1" t="s">
        <v>7</v>
      </c>
      <c r="I203" t="s">
        <v>8</v>
      </c>
      <c r="J203" t="s">
        <v>601</v>
      </c>
      <c r="K203" s="9">
        <v>24.19</v>
      </c>
      <c r="L203" t="s">
        <v>28</v>
      </c>
      <c r="M203">
        <v>202</v>
      </c>
      <c r="N203" t="s">
        <v>32</v>
      </c>
      <c r="O203" s="3">
        <f>(Sala[[#This Row],[Hora de Salida]]-Sala[[#This Row],[Hora de llegada]])+IF(Sala[[#This Row],[Estado de la Mesa]]="Ocupada",(TEXT((15/(60*24)),"h:mm")),(TEXT(0,"h:mm")))</f>
        <v>5.3472222222222213E-2</v>
      </c>
      <c r="P203" s="43">
        <f>(SUMIF(Cocina[Número de Orden],Sala[[#This Row],[Número de Orden]],Cocina[Tiempo de Preparación]))</f>
        <v>156</v>
      </c>
      <c r="Q203" s="5" t="str">
        <f>TEXT(((SUMIF(Cocina[Número de Orden],Sala[[#This Row],[Número de Orden]],Cocina[Tiempo de Preparación]))/(60*24)),"h:mm")</f>
        <v>2:36</v>
      </c>
      <c r="R203" s="3">
        <f>MAX((Sala[[#This Row],[Tiempo de permanencia]]-Sala[[#This Row],[Tiempo de preparación (h)]]),0)</f>
        <v>0</v>
      </c>
      <c r="S203" s="8">
        <f>SUMIF(Cocina[Número de Orden],Sala[[#This Row],[Número de Orden]],Cocina[Ganancia bruta])</f>
        <v>206</v>
      </c>
      <c r="T203" s="8">
        <f>SUMIF(Cocina[Número de Orden],Sala[[#This Row],[Número de Orden]],Cocina[Costo Unitario])</f>
        <v>79</v>
      </c>
      <c r="U203" s="2">
        <f>Sala[[#This Row],[Fecha de Salida]]</f>
        <v>45018</v>
      </c>
      <c r="V203" s="7" t="str">
        <f>TEXT(Sala[[#This Row],[Fecha factura]],"dddd")</f>
        <v>domingo</v>
      </c>
      <c r="W203" t="str">
        <f>IF(Sala[[#This Row],[Tiempo de degustación]]&gt;0,"Sí","No")</f>
        <v>No</v>
      </c>
      <c r="X203" t="str">
        <f>IF(Sala[[#This Row],[Cobrada]]="Sí",Sala[[#This Row],[Método de Pago]],"Impago")</f>
        <v>Impago</v>
      </c>
      <c r="Y203">
        <f>IF(Sala[[#This Row],[Cobrada]]="Sí",Sala[[#This Row],[Propina]],0)</f>
        <v>0</v>
      </c>
      <c r="Z203">
        <f>(IF(Sala[[#This Row],[Cobrada]]="Sí",Sala[[#This Row],[Monto total]],0))+Sala[[#This Row],[Propina real]]</f>
        <v>0</v>
      </c>
    </row>
    <row r="204" spans="1:26" x14ac:dyDescent="0.25">
      <c r="A204">
        <v>5</v>
      </c>
      <c r="B204" t="s">
        <v>234</v>
      </c>
      <c r="C204">
        <v>2</v>
      </c>
      <c r="D204" s="2">
        <v>45018</v>
      </c>
      <c r="E204" s="3">
        <v>0.16458333333333333</v>
      </c>
      <c r="F204" s="2">
        <v>45018</v>
      </c>
      <c r="G204" s="3">
        <v>0.22291666666666668</v>
      </c>
      <c r="H204" s="1" t="s">
        <v>11</v>
      </c>
      <c r="I204" t="s">
        <v>8</v>
      </c>
      <c r="J204" t="s">
        <v>601</v>
      </c>
      <c r="K204" s="9">
        <v>40.19</v>
      </c>
      <c r="L204" t="s">
        <v>17</v>
      </c>
      <c r="M204">
        <v>203</v>
      </c>
      <c r="N204" t="s">
        <v>593</v>
      </c>
      <c r="O204" s="3">
        <f>(Sala[[#This Row],[Hora de Salida]]-Sala[[#This Row],[Hora de llegada]])+IF(Sala[[#This Row],[Estado de la Mesa]]="Ocupada",(TEXT((15/(60*24)),"h:mm")),(TEXT(0,"h:mm")))</f>
        <v>5.8333333333333348E-2</v>
      </c>
      <c r="P204" s="43">
        <f>(SUMIF(Cocina[Número de Orden],Sala[[#This Row],[Número de Orden]],Cocina[Tiempo de Preparación]))</f>
        <v>85</v>
      </c>
      <c r="Q204" s="5" t="str">
        <f>TEXT(((SUMIF(Cocina[Número de Orden],Sala[[#This Row],[Número de Orden]],Cocina[Tiempo de Preparación]))/(60*24)),"h:mm")</f>
        <v>1:25</v>
      </c>
      <c r="R204" s="3">
        <f>MAX((Sala[[#This Row],[Tiempo de permanencia]]-Sala[[#This Row],[Tiempo de preparación (h)]]),0)</f>
        <v>0</v>
      </c>
      <c r="S204" s="8">
        <f>SUMIF(Cocina[Número de Orden],Sala[[#This Row],[Número de Orden]],Cocina[Ganancia bruta])</f>
        <v>156</v>
      </c>
      <c r="T204" s="8">
        <f>SUMIF(Cocina[Número de Orden],Sala[[#This Row],[Número de Orden]],Cocina[Costo Unitario])</f>
        <v>32</v>
      </c>
      <c r="U204" s="2">
        <f>Sala[[#This Row],[Fecha de Salida]]</f>
        <v>45018</v>
      </c>
      <c r="V204" s="7" t="str">
        <f>TEXT(Sala[[#This Row],[Fecha factura]],"dddd")</f>
        <v>domingo</v>
      </c>
      <c r="W204" t="str">
        <f>IF(Sala[[#This Row],[Tiempo de degustación]]&gt;0,"Sí","No")</f>
        <v>No</v>
      </c>
      <c r="X204" t="str">
        <f>IF(Sala[[#This Row],[Cobrada]]="Sí",Sala[[#This Row],[Método de Pago]],"Impago")</f>
        <v>Impago</v>
      </c>
      <c r="Y204">
        <f>IF(Sala[[#This Row],[Cobrada]]="Sí",Sala[[#This Row],[Propina]],0)</f>
        <v>0</v>
      </c>
      <c r="Z204">
        <f>(IF(Sala[[#This Row],[Cobrada]]="Sí",Sala[[#This Row],[Monto total]],0))+Sala[[#This Row],[Propina real]]</f>
        <v>0</v>
      </c>
    </row>
    <row r="205" spans="1:26" x14ac:dyDescent="0.25">
      <c r="A205">
        <v>16</v>
      </c>
      <c r="B205" t="s">
        <v>235</v>
      </c>
      <c r="C205">
        <v>5</v>
      </c>
      <c r="D205" s="2">
        <v>45018</v>
      </c>
      <c r="E205" s="3">
        <v>1.1805555555555555E-2</v>
      </c>
      <c r="F205" s="2">
        <v>45018</v>
      </c>
      <c r="G205" s="3">
        <v>0.10069444444444445</v>
      </c>
      <c r="H205" s="1" t="s">
        <v>11</v>
      </c>
      <c r="I205" t="s">
        <v>8</v>
      </c>
      <c r="J205" t="s">
        <v>13</v>
      </c>
      <c r="K205" s="9">
        <v>49.56</v>
      </c>
      <c r="L205" t="s">
        <v>17</v>
      </c>
      <c r="M205">
        <v>204</v>
      </c>
      <c r="N205" t="s">
        <v>34</v>
      </c>
      <c r="O205" s="3">
        <f>(Sala[[#This Row],[Hora de Salida]]-Sala[[#This Row],[Hora de llegada]])+IF(Sala[[#This Row],[Estado de la Mesa]]="Ocupada",(TEXT((15/(60*24)),"h:mm")),(TEXT(0,"h:mm")))</f>
        <v>8.8888888888888892E-2</v>
      </c>
      <c r="P205" s="43">
        <f>(SUMIF(Cocina[Número de Orden],Sala[[#This Row],[Número de Orden]],Cocina[Tiempo de Preparación]))</f>
        <v>21</v>
      </c>
      <c r="Q205" s="5" t="str">
        <f>TEXT(((SUMIF(Cocina[Número de Orden],Sala[[#This Row],[Número de Orden]],Cocina[Tiempo de Preparación]))/(60*24)),"h:mm")</f>
        <v>0:21</v>
      </c>
      <c r="R205" s="3">
        <f>MAX((Sala[[#This Row],[Tiempo de permanencia]]-Sala[[#This Row],[Tiempo de preparación (h)]]),0)</f>
        <v>7.4305555555555555E-2</v>
      </c>
      <c r="S205" s="8">
        <f>SUMIF(Cocina[Número de Orden],Sala[[#This Row],[Número de Orden]],Cocina[Ganancia bruta])</f>
        <v>48</v>
      </c>
      <c r="T205" s="8">
        <f>SUMIF(Cocina[Número de Orden],Sala[[#This Row],[Número de Orden]],Cocina[Costo Unitario])</f>
        <v>14</v>
      </c>
      <c r="U205" s="2">
        <f>Sala[[#This Row],[Fecha de Salida]]</f>
        <v>45018</v>
      </c>
      <c r="V205" s="7" t="str">
        <f>TEXT(Sala[[#This Row],[Fecha factura]],"dddd")</f>
        <v>domingo</v>
      </c>
      <c r="W205" t="str">
        <f>IF(Sala[[#This Row],[Tiempo de degustación]]&gt;0,"Sí","No")</f>
        <v>Sí</v>
      </c>
      <c r="X205" t="str">
        <f>IF(Sala[[#This Row],[Cobrada]]="Sí",Sala[[#This Row],[Método de Pago]],"Impago")</f>
        <v>Efectivo</v>
      </c>
      <c r="Y205">
        <f>IF(Sala[[#This Row],[Cobrada]]="Sí",Sala[[#This Row],[Propina]],0)</f>
        <v>49.56</v>
      </c>
      <c r="Z205">
        <f>(IF(Sala[[#This Row],[Cobrada]]="Sí",Sala[[#This Row],[Monto total]],0))+Sala[[#This Row],[Propina real]]</f>
        <v>97.56</v>
      </c>
    </row>
    <row r="206" spans="1:26" x14ac:dyDescent="0.25">
      <c r="A206">
        <v>14</v>
      </c>
      <c r="B206" t="s">
        <v>236</v>
      </c>
      <c r="C206">
        <v>1</v>
      </c>
      <c r="D206" s="2">
        <v>45018</v>
      </c>
      <c r="E206" s="3">
        <v>9.375E-2</v>
      </c>
      <c r="F206" s="2">
        <v>45018</v>
      </c>
      <c r="G206" s="3">
        <v>0.25972222222222224</v>
      </c>
      <c r="H206" s="1" t="s">
        <v>16</v>
      </c>
      <c r="I206" t="s">
        <v>8</v>
      </c>
      <c r="J206" t="s">
        <v>600</v>
      </c>
      <c r="K206" s="9">
        <v>26.49</v>
      </c>
      <c r="L206" t="s">
        <v>17</v>
      </c>
      <c r="M206">
        <v>205</v>
      </c>
      <c r="N206" t="s">
        <v>47</v>
      </c>
      <c r="O206" s="3">
        <f>(Sala[[#This Row],[Hora de Salida]]-Sala[[#This Row],[Hora de llegada]])+IF(Sala[[#This Row],[Estado de la Mesa]]="Ocupada",(TEXT((15/(60*24)),"h:mm")),(TEXT(0,"h:mm")))</f>
        <v>0.16597222222222224</v>
      </c>
      <c r="P206" s="43">
        <f>(SUMIF(Cocina[Número de Orden],Sala[[#This Row],[Número de Orden]],Cocina[Tiempo de Preparación]))</f>
        <v>86</v>
      </c>
      <c r="Q206" s="5" t="str">
        <f>TEXT(((SUMIF(Cocina[Número de Orden],Sala[[#This Row],[Número de Orden]],Cocina[Tiempo de Preparación]))/(60*24)),"h:mm")</f>
        <v>1:26</v>
      </c>
      <c r="R206" s="3">
        <f>MAX((Sala[[#This Row],[Tiempo de permanencia]]-Sala[[#This Row],[Tiempo de preparación (h)]]),0)</f>
        <v>0.10625000000000001</v>
      </c>
      <c r="S206" s="8">
        <f>SUMIF(Cocina[Número de Orden],Sala[[#This Row],[Número de Orden]],Cocina[Ganancia bruta])</f>
        <v>61</v>
      </c>
      <c r="T206" s="8">
        <f>SUMIF(Cocina[Número de Orden],Sala[[#This Row],[Número de Orden]],Cocina[Costo Unitario])</f>
        <v>36</v>
      </c>
      <c r="U206" s="2">
        <f>Sala[[#This Row],[Fecha de Salida]]</f>
        <v>45018</v>
      </c>
      <c r="V206" s="7" t="str">
        <f>TEXT(Sala[[#This Row],[Fecha factura]],"dddd")</f>
        <v>domingo</v>
      </c>
      <c r="W206" t="str">
        <f>IF(Sala[[#This Row],[Tiempo de degustación]]&gt;0,"Sí","No")</f>
        <v>Sí</v>
      </c>
      <c r="X206" t="str">
        <f>IF(Sala[[#This Row],[Cobrada]]="Sí",Sala[[#This Row],[Método de Pago]],"Impago")</f>
        <v>Tarjeta de débito</v>
      </c>
      <c r="Y206">
        <f>IF(Sala[[#This Row],[Cobrada]]="Sí",Sala[[#This Row],[Propina]],0)</f>
        <v>26.49</v>
      </c>
      <c r="Z206">
        <f>(IF(Sala[[#This Row],[Cobrada]]="Sí",Sala[[#This Row],[Monto total]],0))+Sala[[#This Row],[Propina real]]</f>
        <v>87.49</v>
      </c>
    </row>
    <row r="207" spans="1:26" x14ac:dyDescent="0.25">
      <c r="A207">
        <v>4</v>
      </c>
      <c r="B207" t="s">
        <v>237</v>
      </c>
      <c r="C207">
        <v>6</v>
      </c>
      <c r="D207" s="2">
        <v>45018</v>
      </c>
      <c r="E207" s="3">
        <v>0.14374999999999999</v>
      </c>
      <c r="F207" s="2">
        <v>45018</v>
      </c>
      <c r="G207" s="3">
        <v>0.25624999999999998</v>
      </c>
      <c r="H207" s="1" t="s">
        <v>23</v>
      </c>
      <c r="I207" t="s">
        <v>8</v>
      </c>
      <c r="J207" t="s">
        <v>601</v>
      </c>
      <c r="K207" s="9">
        <v>36.96</v>
      </c>
      <c r="L207" t="s">
        <v>28</v>
      </c>
      <c r="M207">
        <v>206</v>
      </c>
      <c r="N207" t="s">
        <v>32</v>
      </c>
      <c r="O207" s="3">
        <f>(Sala[[#This Row],[Hora de Salida]]-Sala[[#This Row],[Hora de llegada]])+IF(Sala[[#This Row],[Estado de la Mesa]]="Ocupada",(TEXT((15/(60*24)),"h:mm")),(TEXT(0,"h:mm")))</f>
        <v>0.12291666666666666</v>
      </c>
      <c r="P207" s="43">
        <f>(SUMIF(Cocina[Número de Orden],Sala[[#This Row],[Número de Orden]],Cocina[Tiempo de Preparación]))</f>
        <v>58</v>
      </c>
      <c r="Q207" s="5" t="str">
        <f>TEXT(((SUMIF(Cocina[Número de Orden],Sala[[#This Row],[Número de Orden]],Cocina[Tiempo de Preparación]))/(60*24)),"h:mm")</f>
        <v>0:58</v>
      </c>
      <c r="R207" s="3">
        <f>MAX((Sala[[#This Row],[Tiempo de permanencia]]-Sala[[#This Row],[Tiempo de preparación (h)]]),0)</f>
        <v>8.2638888888888873E-2</v>
      </c>
      <c r="S207" s="8">
        <f>SUMIF(Cocina[Número de Orden],Sala[[#This Row],[Número de Orden]],Cocina[Ganancia bruta])</f>
        <v>30</v>
      </c>
      <c r="T207" s="8">
        <f>SUMIF(Cocina[Número de Orden],Sala[[#This Row],[Número de Orden]],Cocina[Costo Unitario])</f>
        <v>18</v>
      </c>
      <c r="U207" s="2">
        <f>Sala[[#This Row],[Fecha de Salida]]</f>
        <v>45018</v>
      </c>
      <c r="V207" s="7" t="str">
        <f>TEXT(Sala[[#This Row],[Fecha factura]],"dddd")</f>
        <v>domingo</v>
      </c>
      <c r="W207" t="str">
        <f>IF(Sala[[#This Row],[Tiempo de degustación]]&gt;0,"Sí","No")</f>
        <v>Sí</v>
      </c>
      <c r="X207" t="str">
        <f>IF(Sala[[#This Row],[Cobrada]]="Sí",Sala[[#This Row],[Método de Pago]],"Impago")</f>
        <v>Tarjeta de crédito</v>
      </c>
      <c r="Y207">
        <f>IF(Sala[[#This Row],[Cobrada]]="Sí",Sala[[#This Row],[Propina]],0)</f>
        <v>36.96</v>
      </c>
      <c r="Z207">
        <f>(IF(Sala[[#This Row],[Cobrada]]="Sí",Sala[[#This Row],[Monto total]],0))+Sala[[#This Row],[Propina real]]</f>
        <v>66.960000000000008</v>
      </c>
    </row>
    <row r="208" spans="1:26" x14ac:dyDescent="0.25">
      <c r="A208">
        <v>20</v>
      </c>
      <c r="B208" t="s">
        <v>238</v>
      </c>
      <c r="C208">
        <v>3</v>
      </c>
      <c r="D208" s="2">
        <v>45018</v>
      </c>
      <c r="E208" s="3">
        <v>0.11736111111111111</v>
      </c>
      <c r="F208" s="2">
        <v>45018</v>
      </c>
      <c r="G208" s="3">
        <v>0.16805555555555557</v>
      </c>
      <c r="H208" s="1" t="s">
        <v>20</v>
      </c>
      <c r="I208" t="s">
        <v>25</v>
      </c>
      <c r="J208" t="s">
        <v>601</v>
      </c>
      <c r="K208" s="9">
        <v>46.54</v>
      </c>
      <c r="L208" t="s">
        <v>9</v>
      </c>
      <c r="M208">
        <v>207</v>
      </c>
      <c r="N208" t="s">
        <v>18</v>
      </c>
      <c r="O208" s="3">
        <f>(Sala[[#This Row],[Hora de Salida]]-Sala[[#This Row],[Hora de llegada]])+IF(Sala[[#This Row],[Estado de la Mesa]]="Ocupada",(TEXT((15/(60*24)),"h:mm")),(TEXT(0,"h:mm")))</f>
        <v>5.0694444444444459E-2</v>
      </c>
      <c r="P208" s="43">
        <f>(SUMIF(Cocina[Número de Orden],Sala[[#This Row],[Número de Orden]],Cocina[Tiempo de Preparación]))</f>
        <v>111</v>
      </c>
      <c r="Q208" s="5" t="str">
        <f>TEXT(((SUMIF(Cocina[Número de Orden],Sala[[#This Row],[Número de Orden]],Cocina[Tiempo de Preparación]))/(60*24)),"h:mm")</f>
        <v>1:51</v>
      </c>
      <c r="R208" s="3">
        <f>MAX((Sala[[#This Row],[Tiempo de permanencia]]-Sala[[#This Row],[Tiempo de preparación (h)]]),0)</f>
        <v>0</v>
      </c>
      <c r="S208" s="8">
        <f>SUMIF(Cocina[Número de Orden],Sala[[#This Row],[Número de Orden]],Cocina[Ganancia bruta])</f>
        <v>180</v>
      </c>
      <c r="T208" s="8">
        <f>SUMIF(Cocina[Número de Orden],Sala[[#This Row],[Número de Orden]],Cocina[Costo Unitario])</f>
        <v>55</v>
      </c>
      <c r="U208" s="2">
        <f>Sala[[#This Row],[Fecha de Salida]]</f>
        <v>45018</v>
      </c>
      <c r="V208" s="7" t="str">
        <f>TEXT(Sala[[#This Row],[Fecha factura]],"dddd")</f>
        <v>domingo</v>
      </c>
      <c r="W208" t="str">
        <f>IF(Sala[[#This Row],[Tiempo de degustación]]&gt;0,"Sí","No")</f>
        <v>No</v>
      </c>
      <c r="X208" t="str">
        <f>IF(Sala[[#This Row],[Cobrada]]="Sí",Sala[[#This Row],[Método de Pago]],"Impago")</f>
        <v>Impago</v>
      </c>
      <c r="Y208">
        <f>IF(Sala[[#This Row],[Cobrada]]="Sí",Sala[[#This Row],[Propina]],0)</f>
        <v>0</v>
      </c>
      <c r="Z208">
        <f>(IF(Sala[[#This Row],[Cobrada]]="Sí",Sala[[#This Row],[Monto total]],0))+Sala[[#This Row],[Propina real]]</f>
        <v>0</v>
      </c>
    </row>
    <row r="209" spans="1:26" x14ac:dyDescent="0.25">
      <c r="A209">
        <v>16</v>
      </c>
      <c r="B209" t="s">
        <v>239</v>
      </c>
      <c r="C209">
        <v>4</v>
      </c>
      <c r="D209" s="2">
        <v>45018</v>
      </c>
      <c r="E209" s="3">
        <v>0.14791666666666667</v>
      </c>
      <c r="F209" s="2">
        <v>45018</v>
      </c>
      <c r="G209" s="3">
        <v>0.27500000000000002</v>
      </c>
      <c r="H209" s="1" t="s">
        <v>11</v>
      </c>
      <c r="I209" t="s">
        <v>8</v>
      </c>
      <c r="J209" t="s">
        <v>600</v>
      </c>
      <c r="K209" s="9">
        <v>36.700000000000003</v>
      </c>
      <c r="L209" t="s">
        <v>28</v>
      </c>
      <c r="M209">
        <v>208</v>
      </c>
      <c r="N209" t="s">
        <v>593</v>
      </c>
      <c r="O209" s="3">
        <f>(Sala[[#This Row],[Hora de Salida]]-Sala[[#This Row],[Hora de llegada]])+IF(Sala[[#This Row],[Estado de la Mesa]]="Ocupada",(TEXT((15/(60*24)),"h:mm")),(TEXT(0,"h:mm")))</f>
        <v>0.13750000000000001</v>
      </c>
      <c r="P209" s="43">
        <f>(SUMIF(Cocina[Número de Orden],Sala[[#This Row],[Número de Orden]],Cocina[Tiempo de Preparación]))</f>
        <v>100</v>
      </c>
      <c r="Q209" s="5" t="str">
        <f>TEXT(((SUMIF(Cocina[Número de Orden],Sala[[#This Row],[Número de Orden]],Cocina[Tiempo de Preparación]))/(60*24)),"h:mm")</f>
        <v>1:40</v>
      </c>
      <c r="R209" s="3">
        <f>MAX((Sala[[#This Row],[Tiempo de permanencia]]-Sala[[#This Row],[Tiempo de preparación (h)]]),0)</f>
        <v>6.8055555555555564E-2</v>
      </c>
      <c r="S209" s="8">
        <f>SUMIF(Cocina[Número de Orden],Sala[[#This Row],[Número de Orden]],Cocina[Ganancia bruta])</f>
        <v>180</v>
      </c>
      <c r="T209" s="8">
        <f>SUMIF(Cocina[Número de Orden],Sala[[#This Row],[Número de Orden]],Cocina[Costo Unitario])</f>
        <v>53</v>
      </c>
      <c r="U209" s="2">
        <f>Sala[[#This Row],[Fecha de Salida]]</f>
        <v>45018</v>
      </c>
      <c r="V209" s="7" t="str">
        <f>TEXT(Sala[[#This Row],[Fecha factura]],"dddd")</f>
        <v>domingo</v>
      </c>
      <c r="W209" t="str">
        <f>IF(Sala[[#This Row],[Tiempo de degustación]]&gt;0,"Sí","No")</f>
        <v>Sí</v>
      </c>
      <c r="X209" t="str">
        <f>IF(Sala[[#This Row],[Cobrada]]="Sí",Sala[[#This Row],[Método de Pago]],"Impago")</f>
        <v>Tarjeta de débito</v>
      </c>
      <c r="Y209">
        <f>IF(Sala[[#This Row],[Cobrada]]="Sí",Sala[[#This Row],[Propina]],0)</f>
        <v>36.700000000000003</v>
      </c>
      <c r="Z209">
        <f>(IF(Sala[[#This Row],[Cobrada]]="Sí",Sala[[#This Row],[Monto total]],0))+Sala[[#This Row],[Propina real]]</f>
        <v>216.7</v>
      </c>
    </row>
    <row r="210" spans="1:26" x14ac:dyDescent="0.25">
      <c r="A210">
        <v>9</v>
      </c>
      <c r="B210" t="s">
        <v>240</v>
      </c>
      <c r="C210">
        <v>6</v>
      </c>
      <c r="D210" s="2">
        <v>45018</v>
      </c>
      <c r="E210" s="3">
        <v>6.3194444444444442E-2</v>
      </c>
      <c r="F210" s="2">
        <v>45018</v>
      </c>
      <c r="G210" s="3">
        <v>0.17083333333333334</v>
      </c>
      <c r="H210" s="1" t="s">
        <v>11</v>
      </c>
      <c r="I210" t="s">
        <v>25</v>
      </c>
      <c r="J210" t="s">
        <v>13</v>
      </c>
      <c r="K210" s="9">
        <v>34.49</v>
      </c>
      <c r="L210" t="s">
        <v>9</v>
      </c>
      <c r="M210">
        <v>209</v>
      </c>
      <c r="N210" t="s">
        <v>32</v>
      </c>
      <c r="O210" s="3">
        <f>(Sala[[#This Row],[Hora de Salida]]-Sala[[#This Row],[Hora de llegada]])+IF(Sala[[#This Row],[Estado de la Mesa]]="Ocupada",(TEXT((15/(60*24)),"h:mm")),(TEXT(0,"h:mm")))</f>
        <v>0.1076388888888889</v>
      </c>
      <c r="P210" s="43">
        <f>(SUMIF(Cocina[Número de Orden],Sala[[#This Row],[Número de Orden]],Cocina[Tiempo de Preparación]))</f>
        <v>171</v>
      </c>
      <c r="Q210" s="5" t="str">
        <f>TEXT(((SUMIF(Cocina[Número de Orden],Sala[[#This Row],[Número de Orden]],Cocina[Tiempo de Preparación]))/(60*24)),"h:mm")</f>
        <v>2:51</v>
      </c>
      <c r="R210" s="3">
        <f>MAX((Sala[[#This Row],[Tiempo de permanencia]]-Sala[[#This Row],[Tiempo de preparación (h)]]),0)</f>
        <v>0</v>
      </c>
      <c r="S210" s="8">
        <f>SUMIF(Cocina[Número de Orden],Sala[[#This Row],[Número de Orden]],Cocina[Ganancia bruta])</f>
        <v>214</v>
      </c>
      <c r="T210" s="8">
        <f>SUMIF(Cocina[Número de Orden],Sala[[#This Row],[Número de Orden]],Cocina[Costo Unitario])</f>
        <v>64</v>
      </c>
      <c r="U210" s="2">
        <f>Sala[[#This Row],[Fecha de Salida]]</f>
        <v>45018</v>
      </c>
      <c r="V210" s="7" t="str">
        <f>TEXT(Sala[[#This Row],[Fecha factura]],"dddd")</f>
        <v>domingo</v>
      </c>
      <c r="W210" t="str">
        <f>IF(Sala[[#This Row],[Tiempo de degustación]]&gt;0,"Sí","No")</f>
        <v>No</v>
      </c>
      <c r="X210" t="str">
        <f>IF(Sala[[#This Row],[Cobrada]]="Sí",Sala[[#This Row],[Método de Pago]],"Impago")</f>
        <v>Impago</v>
      </c>
      <c r="Y210">
        <f>IF(Sala[[#This Row],[Cobrada]]="Sí",Sala[[#This Row],[Propina]],0)</f>
        <v>0</v>
      </c>
      <c r="Z210">
        <f>(IF(Sala[[#This Row],[Cobrada]]="Sí",Sala[[#This Row],[Monto total]],0))+Sala[[#This Row],[Propina real]]</f>
        <v>0</v>
      </c>
    </row>
    <row r="211" spans="1:26" x14ac:dyDescent="0.25">
      <c r="A211">
        <v>10</v>
      </c>
      <c r="B211" t="s">
        <v>241</v>
      </c>
      <c r="C211">
        <v>4</v>
      </c>
      <c r="D211" s="2">
        <v>45018</v>
      </c>
      <c r="E211" s="3">
        <v>0.11319444444444444</v>
      </c>
      <c r="F211" s="2">
        <v>45018</v>
      </c>
      <c r="G211" s="3">
        <v>0.18680555555555556</v>
      </c>
      <c r="H211" s="1" t="s">
        <v>16</v>
      </c>
      <c r="I211" t="s">
        <v>12</v>
      </c>
      <c r="J211" t="s">
        <v>601</v>
      </c>
      <c r="K211" s="9">
        <v>14.67</v>
      </c>
      <c r="L211" t="s">
        <v>17</v>
      </c>
      <c r="M211">
        <v>210</v>
      </c>
      <c r="N211" t="s">
        <v>29</v>
      </c>
      <c r="O211" s="3">
        <f>(Sala[[#This Row],[Hora de Salida]]-Sala[[#This Row],[Hora de llegada]])+IF(Sala[[#This Row],[Estado de la Mesa]]="Ocupada",(TEXT((15/(60*24)),"h:mm")),(TEXT(0,"h:mm")))</f>
        <v>7.3611111111111113E-2</v>
      </c>
      <c r="P211" s="43">
        <f>(SUMIF(Cocina[Número de Orden],Sala[[#This Row],[Número de Orden]],Cocina[Tiempo de Preparación]))</f>
        <v>158</v>
      </c>
      <c r="Q211" s="5" t="str">
        <f>TEXT(((SUMIF(Cocina[Número de Orden],Sala[[#This Row],[Número de Orden]],Cocina[Tiempo de Preparación]))/(60*24)),"h:mm")</f>
        <v>2:38</v>
      </c>
      <c r="R211" s="3">
        <f>MAX((Sala[[#This Row],[Tiempo de permanencia]]-Sala[[#This Row],[Tiempo de preparación (h)]]),0)</f>
        <v>0</v>
      </c>
      <c r="S211" s="8">
        <f>SUMIF(Cocina[Número de Orden],Sala[[#This Row],[Número de Orden]],Cocina[Ganancia bruta])</f>
        <v>195</v>
      </c>
      <c r="T211" s="8">
        <f>SUMIF(Cocina[Número de Orden],Sala[[#This Row],[Número de Orden]],Cocina[Costo Unitario])</f>
        <v>70</v>
      </c>
      <c r="U211" s="2">
        <f>Sala[[#This Row],[Fecha de Salida]]</f>
        <v>45018</v>
      </c>
      <c r="V211" s="7" t="str">
        <f>TEXT(Sala[[#This Row],[Fecha factura]],"dddd")</f>
        <v>domingo</v>
      </c>
      <c r="W211" t="str">
        <f>IF(Sala[[#This Row],[Tiempo de degustación]]&gt;0,"Sí","No")</f>
        <v>No</v>
      </c>
      <c r="X211" t="str">
        <f>IF(Sala[[#This Row],[Cobrada]]="Sí",Sala[[#This Row],[Método de Pago]],"Impago")</f>
        <v>Impago</v>
      </c>
      <c r="Y211">
        <f>IF(Sala[[#This Row],[Cobrada]]="Sí",Sala[[#This Row],[Propina]],0)</f>
        <v>0</v>
      </c>
      <c r="Z211">
        <f>(IF(Sala[[#This Row],[Cobrada]]="Sí",Sala[[#This Row],[Monto total]],0))+Sala[[#This Row],[Propina real]]</f>
        <v>0</v>
      </c>
    </row>
    <row r="212" spans="1:26" x14ac:dyDescent="0.25">
      <c r="A212">
        <v>1</v>
      </c>
      <c r="B212" t="s">
        <v>242</v>
      </c>
      <c r="C212">
        <v>2</v>
      </c>
      <c r="D212" s="2">
        <v>45018</v>
      </c>
      <c r="E212" s="3">
        <v>0.15277777777777779</v>
      </c>
      <c r="F212" s="2">
        <v>45018</v>
      </c>
      <c r="G212" s="3">
        <v>0.22638888888888889</v>
      </c>
      <c r="H212" s="1" t="s">
        <v>11</v>
      </c>
      <c r="I212" t="s">
        <v>8</v>
      </c>
      <c r="J212" t="s">
        <v>600</v>
      </c>
      <c r="K212" s="9">
        <v>11.13</v>
      </c>
      <c r="L212" t="s">
        <v>9</v>
      </c>
      <c r="M212">
        <v>211</v>
      </c>
      <c r="N212" t="s">
        <v>59</v>
      </c>
      <c r="O212" s="3">
        <f>(Sala[[#This Row],[Hora de Salida]]-Sala[[#This Row],[Hora de llegada]])+IF(Sala[[#This Row],[Estado de la Mesa]]="Ocupada",(TEXT((15/(60*24)),"h:mm")),(TEXT(0,"h:mm")))</f>
        <v>7.3611111111111099E-2</v>
      </c>
      <c r="P212" s="43">
        <f>(SUMIF(Cocina[Número de Orden],Sala[[#This Row],[Número de Orden]],Cocina[Tiempo de Preparación]))</f>
        <v>135</v>
      </c>
      <c r="Q212" s="5" t="str">
        <f>TEXT(((SUMIF(Cocina[Número de Orden],Sala[[#This Row],[Número de Orden]],Cocina[Tiempo de Preparación]))/(60*24)),"h:mm")</f>
        <v>2:15</v>
      </c>
      <c r="R212" s="3">
        <f>MAX((Sala[[#This Row],[Tiempo de permanencia]]-Sala[[#This Row],[Tiempo de preparación (h)]]),0)</f>
        <v>0</v>
      </c>
      <c r="S212" s="8">
        <f>SUMIF(Cocina[Número de Orden],Sala[[#This Row],[Número de Orden]],Cocina[Ganancia bruta])</f>
        <v>169</v>
      </c>
      <c r="T212" s="8">
        <f>SUMIF(Cocina[Número de Orden],Sala[[#This Row],[Número de Orden]],Cocina[Costo Unitario])</f>
        <v>50</v>
      </c>
      <c r="U212" s="2">
        <f>Sala[[#This Row],[Fecha de Salida]]</f>
        <v>45018</v>
      </c>
      <c r="V212" s="7" t="str">
        <f>TEXT(Sala[[#This Row],[Fecha factura]],"dddd")</f>
        <v>domingo</v>
      </c>
      <c r="W212" t="str">
        <f>IF(Sala[[#This Row],[Tiempo de degustación]]&gt;0,"Sí","No")</f>
        <v>No</v>
      </c>
      <c r="X212" t="str">
        <f>IF(Sala[[#This Row],[Cobrada]]="Sí",Sala[[#This Row],[Método de Pago]],"Impago")</f>
        <v>Impago</v>
      </c>
      <c r="Y212">
        <f>IF(Sala[[#This Row],[Cobrada]]="Sí",Sala[[#This Row],[Propina]],0)</f>
        <v>0</v>
      </c>
      <c r="Z212">
        <f>(IF(Sala[[#This Row],[Cobrada]]="Sí",Sala[[#This Row],[Monto total]],0))+Sala[[#This Row],[Propina real]]</f>
        <v>0</v>
      </c>
    </row>
    <row r="213" spans="1:26" x14ac:dyDescent="0.25">
      <c r="A213">
        <v>14</v>
      </c>
      <c r="B213" t="s">
        <v>124</v>
      </c>
      <c r="C213">
        <v>6</v>
      </c>
      <c r="D213" s="2">
        <v>45018</v>
      </c>
      <c r="E213" s="3">
        <v>0.1076388888888889</v>
      </c>
      <c r="F213" s="2">
        <v>45018</v>
      </c>
      <c r="G213" s="3">
        <v>0.15277777777777779</v>
      </c>
      <c r="H213" s="1" t="s">
        <v>23</v>
      </c>
      <c r="I213" t="s">
        <v>8</v>
      </c>
      <c r="J213" t="s">
        <v>600</v>
      </c>
      <c r="K213" s="9">
        <v>18.850000000000001</v>
      </c>
      <c r="L213" t="s">
        <v>28</v>
      </c>
      <c r="M213">
        <v>212</v>
      </c>
      <c r="N213" t="s">
        <v>593</v>
      </c>
      <c r="O213" s="3">
        <f>(Sala[[#This Row],[Hora de Salida]]-Sala[[#This Row],[Hora de llegada]])+IF(Sala[[#This Row],[Estado de la Mesa]]="Ocupada",(TEXT((15/(60*24)),"h:mm")),(TEXT(0,"h:mm")))</f>
        <v>5.5555555555555559E-2</v>
      </c>
      <c r="P213" s="43">
        <f>(SUMIF(Cocina[Número de Orden],Sala[[#This Row],[Número de Orden]],Cocina[Tiempo de Preparación]))</f>
        <v>164</v>
      </c>
      <c r="Q213" s="5" t="str">
        <f>TEXT(((SUMIF(Cocina[Número de Orden],Sala[[#This Row],[Número de Orden]],Cocina[Tiempo de Preparación]))/(60*24)),"h:mm")</f>
        <v>2:44</v>
      </c>
      <c r="R213" s="3">
        <f>MAX((Sala[[#This Row],[Tiempo de permanencia]]-Sala[[#This Row],[Tiempo de preparación (h)]]),0)</f>
        <v>0</v>
      </c>
      <c r="S213" s="8">
        <f>SUMIF(Cocina[Número de Orden],Sala[[#This Row],[Número de Orden]],Cocina[Ganancia bruta])</f>
        <v>245</v>
      </c>
      <c r="T213" s="8">
        <f>SUMIF(Cocina[Número de Orden],Sala[[#This Row],[Número de Orden]],Cocina[Costo Unitario])</f>
        <v>62</v>
      </c>
      <c r="U213" s="2">
        <f>Sala[[#This Row],[Fecha de Salida]]</f>
        <v>45018</v>
      </c>
      <c r="V213" s="7" t="str">
        <f>TEXT(Sala[[#This Row],[Fecha factura]],"dddd")</f>
        <v>domingo</v>
      </c>
      <c r="W213" t="str">
        <f>IF(Sala[[#This Row],[Tiempo de degustación]]&gt;0,"Sí","No")</f>
        <v>No</v>
      </c>
      <c r="X213" t="str">
        <f>IF(Sala[[#This Row],[Cobrada]]="Sí",Sala[[#This Row],[Método de Pago]],"Impago")</f>
        <v>Impago</v>
      </c>
      <c r="Y213">
        <f>IF(Sala[[#This Row],[Cobrada]]="Sí",Sala[[#This Row],[Propina]],0)</f>
        <v>0</v>
      </c>
      <c r="Z213">
        <f>(IF(Sala[[#This Row],[Cobrada]]="Sí",Sala[[#This Row],[Monto total]],0))+Sala[[#This Row],[Propina real]]</f>
        <v>0</v>
      </c>
    </row>
    <row r="214" spans="1:26" x14ac:dyDescent="0.25">
      <c r="A214">
        <v>13</v>
      </c>
      <c r="B214" t="s">
        <v>243</v>
      </c>
      <c r="C214">
        <v>6</v>
      </c>
      <c r="D214" s="2">
        <v>45018</v>
      </c>
      <c r="E214" s="3">
        <v>7.3611111111111113E-2</v>
      </c>
      <c r="F214" s="2">
        <v>45018</v>
      </c>
      <c r="G214" s="3">
        <v>0.20694444444444443</v>
      </c>
      <c r="H214" s="1" t="s">
        <v>20</v>
      </c>
      <c r="I214" t="s">
        <v>8</v>
      </c>
      <c r="J214" t="s">
        <v>601</v>
      </c>
      <c r="K214" s="9">
        <v>28.1</v>
      </c>
      <c r="L214" t="s">
        <v>17</v>
      </c>
      <c r="M214">
        <v>213</v>
      </c>
      <c r="N214" t="s">
        <v>593</v>
      </c>
      <c r="O214" s="3">
        <f>(Sala[[#This Row],[Hora de Salida]]-Sala[[#This Row],[Hora de llegada]])+IF(Sala[[#This Row],[Estado de la Mesa]]="Ocupada",(TEXT((15/(60*24)),"h:mm")),(TEXT(0,"h:mm")))</f>
        <v>0.1333333333333333</v>
      </c>
      <c r="P214" s="43">
        <f>(SUMIF(Cocina[Número de Orden],Sala[[#This Row],[Número de Orden]],Cocina[Tiempo de Preparación]))</f>
        <v>100</v>
      </c>
      <c r="Q214" s="5" t="str">
        <f>TEXT(((SUMIF(Cocina[Número de Orden],Sala[[#This Row],[Número de Orden]],Cocina[Tiempo de Preparación]))/(60*24)),"h:mm")</f>
        <v>1:40</v>
      </c>
      <c r="R214" s="3">
        <f>MAX((Sala[[#This Row],[Tiempo de permanencia]]-Sala[[#This Row],[Tiempo de preparación (h)]]),0)</f>
        <v>6.3888888888888856E-2</v>
      </c>
      <c r="S214" s="8">
        <f>SUMIF(Cocina[Número de Orden],Sala[[#This Row],[Número de Orden]],Cocina[Ganancia bruta])</f>
        <v>87</v>
      </c>
      <c r="T214" s="8">
        <f>SUMIF(Cocina[Número de Orden],Sala[[#This Row],[Número de Orden]],Cocina[Costo Unitario])</f>
        <v>34</v>
      </c>
      <c r="U214" s="2">
        <f>Sala[[#This Row],[Fecha de Salida]]</f>
        <v>45018</v>
      </c>
      <c r="V214" s="7" t="str">
        <f>TEXT(Sala[[#This Row],[Fecha factura]],"dddd")</f>
        <v>domingo</v>
      </c>
      <c r="W214" t="str">
        <f>IF(Sala[[#This Row],[Tiempo de degustación]]&gt;0,"Sí","No")</f>
        <v>Sí</v>
      </c>
      <c r="X214" t="str">
        <f>IF(Sala[[#This Row],[Cobrada]]="Sí",Sala[[#This Row],[Método de Pago]],"Impago")</f>
        <v>Tarjeta de crédito</v>
      </c>
      <c r="Y214">
        <f>IF(Sala[[#This Row],[Cobrada]]="Sí",Sala[[#This Row],[Propina]],0)</f>
        <v>28.1</v>
      </c>
      <c r="Z214">
        <f>(IF(Sala[[#This Row],[Cobrada]]="Sí",Sala[[#This Row],[Monto total]],0))+Sala[[#This Row],[Propina real]]</f>
        <v>115.1</v>
      </c>
    </row>
    <row r="215" spans="1:26" x14ac:dyDescent="0.25">
      <c r="A215">
        <v>2</v>
      </c>
      <c r="B215" t="s">
        <v>244</v>
      </c>
      <c r="C215">
        <v>4</v>
      </c>
      <c r="D215" s="2">
        <v>45018</v>
      </c>
      <c r="E215" s="3">
        <v>0.13750000000000001</v>
      </c>
      <c r="F215" s="2">
        <v>45018</v>
      </c>
      <c r="G215" s="3">
        <v>0.21458333333333332</v>
      </c>
      <c r="H215" s="1" t="s">
        <v>11</v>
      </c>
      <c r="I215" t="s">
        <v>8</v>
      </c>
      <c r="J215" t="s">
        <v>600</v>
      </c>
      <c r="K215" s="9">
        <v>33.39</v>
      </c>
      <c r="L215" t="s">
        <v>28</v>
      </c>
      <c r="M215">
        <v>214</v>
      </c>
      <c r="N215" t="s">
        <v>59</v>
      </c>
      <c r="O215" s="3">
        <f>(Sala[[#This Row],[Hora de Salida]]-Sala[[#This Row],[Hora de llegada]])+IF(Sala[[#This Row],[Estado de la Mesa]]="Ocupada",(TEXT((15/(60*24)),"h:mm")),(TEXT(0,"h:mm")))</f>
        <v>8.7499999999999981E-2</v>
      </c>
      <c r="P215" s="43">
        <f>(SUMIF(Cocina[Número de Orden],Sala[[#This Row],[Número de Orden]],Cocina[Tiempo de Preparación]))</f>
        <v>38</v>
      </c>
      <c r="Q215" s="5" t="str">
        <f>TEXT(((SUMIF(Cocina[Número de Orden],Sala[[#This Row],[Número de Orden]],Cocina[Tiempo de Preparación]))/(60*24)),"h:mm")</f>
        <v>0:38</v>
      </c>
      <c r="R215" s="3">
        <f>MAX((Sala[[#This Row],[Tiempo de permanencia]]-Sala[[#This Row],[Tiempo de preparación (h)]]),0)</f>
        <v>6.1111111111111088E-2</v>
      </c>
      <c r="S215" s="8">
        <f>SUMIF(Cocina[Número de Orden],Sala[[#This Row],[Número de Orden]],Cocina[Ganancia bruta])</f>
        <v>228</v>
      </c>
      <c r="T215" s="8">
        <f>SUMIF(Cocina[Número de Orden],Sala[[#This Row],[Número de Orden]],Cocina[Costo Unitario])</f>
        <v>57</v>
      </c>
      <c r="U215" s="2">
        <f>Sala[[#This Row],[Fecha de Salida]]</f>
        <v>45018</v>
      </c>
      <c r="V215" s="7" t="str">
        <f>TEXT(Sala[[#This Row],[Fecha factura]],"dddd")</f>
        <v>domingo</v>
      </c>
      <c r="W215" t="str">
        <f>IF(Sala[[#This Row],[Tiempo de degustación]]&gt;0,"Sí","No")</f>
        <v>Sí</v>
      </c>
      <c r="X215" t="str">
        <f>IF(Sala[[#This Row],[Cobrada]]="Sí",Sala[[#This Row],[Método de Pago]],"Impago")</f>
        <v>Tarjeta de débito</v>
      </c>
      <c r="Y215">
        <f>IF(Sala[[#This Row],[Cobrada]]="Sí",Sala[[#This Row],[Propina]],0)</f>
        <v>33.39</v>
      </c>
      <c r="Z215">
        <f>(IF(Sala[[#This Row],[Cobrada]]="Sí",Sala[[#This Row],[Monto total]],0))+Sala[[#This Row],[Propina real]]</f>
        <v>261.39</v>
      </c>
    </row>
    <row r="216" spans="1:26" x14ac:dyDescent="0.25">
      <c r="A216">
        <v>6</v>
      </c>
      <c r="B216" t="s">
        <v>245</v>
      </c>
      <c r="C216">
        <v>4</v>
      </c>
      <c r="D216" s="2">
        <v>45018</v>
      </c>
      <c r="E216" s="3">
        <v>0.16111111111111112</v>
      </c>
      <c r="F216" s="2">
        <v>45018</v>
      </c>
      <c r="G216" s="3">
        <v>0.2673611111111111</v>
      </c>
      <c r="H216" s="1" t="s">
        <v>7</v>
      </c>
      <c r="I216" t="s">
        <v>8</v>
      </c>
      <c r="J216" t="s">
        <v>600</v>
      </c>
      <c r="K216" s="9">
        <v>35.64</v>
      </c>
      <c r="L216" t="s">
        <v>28</v>
      </c>
      <c r="M216">
        <v>215</v>
      </c>
      <c r="N216" t="s">
        <v>34</v>
      </c>
      <c r="O216" s="3">
        <f>(Sala[[#This Row],[Hora de Salida]]-Sala[[#This Row],[Hora de llegada]])+IF(Sala[[#This Row],[Estado de la Mesa]]="Ocupada",(TEXT((15/(60*24)),"h:mm")),(TEXT(0,"h:mm")))</f>
        <v>0.11666666666666665</v>
      </c>
      <c r="P216" s="43">
        <f>(SUMIF(Cocina[Número de Orden],Sala[[#This Row],[Número de Orden]],Cocina[Tiempo de Preparación]))</f>
        <v>46</v>
      </c>
      <c r="Q216" s="5" t="str">
        <f>TEXT(((SUMIF(Cocina[Número de Orden],Sala[[#This Row],[Número de Orden]],Cocina[Tiempo de Preparación]))/(60*24)),"h:mm")</f>
        <v>0:46</v>
      </c>
      <c r="R216" s="3">
        <f>MAX((Sala[[#This Row],[Tiempo de permanencia]]-Sala[[#This Row],[Tiempo de preparación (h)]]),0)</f>
        <v>8.4722222222222213E-2</v>
      </c>
      <c r="S216" s="8">
        <f>SUMIF(Cocina[Número de Orden],Sala[[#This Row],[Número de Orden]],Cocina[Ganancia bruta])</f>
        <v>158</v>
      </c>
      <c r="T216" s="8">
        <f>SUMIF(Cocina[Número de Orden],Sala[[#This Row],[Número de Orden]],Cocina[Costo Unitario])</f>
        <v>38</v>
      </c>
      <c r="U216" s="2">
        <f>Sala[[#This Row],[Fecha de Salida]]</f>
        <v>45018</v>
      </c>
      <c r="V216" s="7" t="str">
        <f>TEXT(Sala[[#This Row],[Fecha factura]],"dddd")</f>
        <v>domingo</v>
      </c>
      <c r="W216" t="str">
        <f>IF(Sala[[#This Row],[Tiempo de degustación]]&gt;0,"Sí","No")</f>
        <v>Sí</v>
      </c>
      <c r="X216" t="str">
        <f>IF(Sala[[#This Row],[Cobrada]]="Sí",Sala[[#This Row],[Método de Pago]],"Impago")</f>
        <v>Tarjeta de débito</v>
      </c>
      <c r="Y216">
        <f>IF(Sala[[#This Row],[Cobrada]]="Sí",Sala[[#This Row],[Propina]],0)</f>
        <v>35.64</v>
      </c>
      <c r="Z216">
        <f>(IF(Sala[[#This Row],[Cobrada]]="Sí",Sala[[#This Row],[Monto total]],0))+Sala[[#This Row],[Propina real]]</f>
        <v>193.64</v>
      </c>
    </row>
    <row r="217" spans="1:26" x14ac:dyDescent="0.25">
      <c r="A217">
        <v>17</v>
      </c>
      <c r="B217" t="s">
        <v>246</v>
      </c>
      <c r="C217">
        <v>6</v>
      </c>
      <c r="D217" s="2">
        <v>45018</v>
      </c>
      <c r="E217" s="3">
        <v>7.3611111111111113E-2</v>
      </c>
      <c r="F217" s="2">
        <v>45018</v>
      </c>
      <c r="G217" s="3">
        <v>0.23333333333333334</v>
      </c>
      <c r="H217" s="1" t="s">
        <v>16</v>
      </c>
      <c r="I217" t="s">
        <v>8</v>
      </c>
      <c r="J217" t="s">
        <v>601</v>
      </c>
      <c r="K217" s="9">
        <v>35.69</v>
      </c>
      <c r="L217" t="s">
        <v>17</v>
      </c>
      <c r="M217">
        <v>216</v>
      </c>
      <c r="N217" t="s">
        <v>34</v>
      </c>
      <c r="O217" s="3">
        <f>(Sala[[#This Row],[Hora de Salida]]-Sala[[#This Row],[Hora de llegada]])+IF(Sala[[#This Row],[Estado de la Mesa]]="Ocupada",(TEXT((15/(60*24)),"h:mm")),(TEXT(0,"h:mm")))</f>
        <v>0.15972222222222221</v>
      </c>
      <c r="P217" s="43">
        <f>(SUMIF(Cocina[Número de Orden],Sala[[#This Row],[Número de Orden]],Cocina[Tiempo de Preparación]))</f>
        <v>120</v>
      </c>
      <c r="Q217" s="5" t="str">
        <f>TEXT(((SUMIF(Cocina[Número de Orden],Sala[[#This Row],[Número de Orden]],Cocina[Tiempo de Preparación]))/(60*24)),"h:mm")</f>
        <v>2:00</v>
      </c>
      <c r="R217" s="3">
        <f>MAX((Sala[[#This Row],[Tiempo de permanencia]]-Sala[[#This Row],[Tiempo de preparación (h)]]),0)</f>
        <v>7.6388888888888881E-2</v>
      </c>
      <c r="S217" s="8">
        <f>SUMIF(Cocina[Número de Orden],Sala[[#This Row],[Número de Orden]],Cocina[Ganancia bruta])</f>
        <v>142</v>
      </c>
      <c r="T217" s="8">
        <f>SUMIF(Cocina[Número de Orden],Sala[[#This Row],[Número de Orden]],Cocina[Costo Unitario])</f>
        <v>44</v>
      </c>
      <c r="U217" s="2">
        <f>Sala[[#This Row],[Fecha de Salida]]</f>
        <v>45018</v>
      </c>
      <c r="V217" s="7" t="str">
        <f>TEXT(Sala[[#This Row],[Fecha factura]],"dddd")</f>
        <v>domingo</v>
      </c>
      <c r="W217" t="str">
        <f>IF(Sala[[#This Row],[Tiempo de degustación]]&gt;0,"Sí","No")</f>
        <v>Sí</v>
      </c>
      <c r="X217" t="str">
        <f>IF(Sala[[#This Row],[Cobrada]]="Sí",Sala[[#This Row],[Método de Pago]],"Impago")</f>
        <v>Tarjeta de crédito</v>
      </c>
      <c r="Y217">
        <f>IF(Sala[[#This Row],[Cobrada]]="Sí",Sala[[#This Row],[Propina]],0)</f>
        <v>35.69</v>
      </c>
      <c r="Z217">
        <f>(IF(Sala[[#This Row],[Cobrada]]="Sí",Sala[[#This Row],[Monto total]],0))+Sala[[#This Row],[Propina real]]</f>
        <v>177.69</v>
      </c>
    </row>
    <row r="218" spans="1:26" x14ac:dyDescent="0.25">
      <c r="A218">
        <v>1</v>
      </c>
      <c r="B218" t="s">
        <v>209</v>
      </c>
      <c r="C218">
        <v>2</v>
      </c>
      <c r="D218" s="2">
        <v>45018</v>
      </c>
      <c r="E218" s="3">
        <v>3.7499999999999999E-2</v>
      </c>
      <c r="F218" s="2">
        <v>45018</v>
      </c>
      <c r="G218" s="3">
        <v>0.19791666666666666</v>
      </c>
      <c r="H218" s="1" t="s">
        <v>7</v>
      </c>
      <c r="I218" t="s">
        <v>25</v>
      </c>
      <c r="J218" t="s">
        <v>601</v>
      </c>
      <c r="K218" s="9">
        <v>31.17</v>
      </c>
      <c r="L218" t="s">
        <v>28</v>
      </c>
      <c r="M218">
        <v>217</v>
      </c>
      <c r="N218" t="s">
        <v>14</v>
      </c>
      <c r="O218" s="3">
        <f>(Sala[[#This Row],[Hora de Salida]]-Sala[[#This Row],[Hora de llegada]])+IF(Sala[[#This Row],[Estado de la Mesa]]="Ocupada",(TEXT((15/(60*24)),"h:mm")),(TEXT(0,"h:mm")))</f>
        <v>0.17083333333333331</v>
      </c>
      <c r="P218" s="43">
        <f>(SUMIF(Cocina[Número de Orden],Sala[[#This Row],[Número de Orden]],Cocina[Tiempo de Preparación]))</f>
        <v>13</v>
      </c>
      <c r="Q218" s="5" t="str">
        <f>TEXT(((SUMIF(Cocina[Número de Orden],Sala[[#This Row],[Número de Orden]],Cocina[Tiempo de Preparación]))/(60*24)),"h:mm")</f>
        <v>0:13</v>
      </c>
      <c r="R218" s="3">
        <f>MAX((Sala[[#This Row],[Tiempo de permanencia]]-Sala[[#This Row],[Tiempo de preparación (h)]]),0)</f>
        <v>0.16180555555555554</v>
      </c>
      <c r="S218" s="8">
        <f>SUMIF(Cocina[Número de Orden],Sala[[#This Row],[Número de Orden]],Cocina[Ganancia bruta])</f>
        <v>96</v>
      </c>
      <c r="T218" s="8">
        <f>SUMIF(Cocina[Número de Orden],Sala[[#This Row],[Número de Orden]],Cocina[Costo Unitario])</f>
        <v>19</v>
      </c>
      <c r="U218" s="2">
        <f>Sala[[#This Row],[Fecha de Salida]]</f>
        <v>45018</v>
      </c>
      <c r="V218" s="7" t="str">
        <f>TEXT(Sala[[#This Row],[Fecha factura]],"dddd")</f>
        <v>domingo</v>
      </c>
      <c r="W218" t="str">
        <f>IF(Sala[[#This Row],[Tiempo de degustación]]&gt;0,"Sí","No")</f>
        <v>Sí</v>
      </c>
      <c r="X218" t="str">
        <f>IF(Sala[[#This Row],[Cobrada]]="Sí",Sala[[#This Row],[Método de Pago]],"Impago")</f>
        <v>Tarjeta de crédito</v>
      </c>
      <c r="Y218">
        <f>IF(Sala[[#This Row],[Cobrada]]="Sí",Sala[[#This Row],[Propina]],0)</f>
        <v>31.17</v>
      </c>
      <c r="Z218">
        <f>(IF(Sala[[#This Row],[Cobrada]]="Sí",Sala[[#This Row],[Monto total]],0))+Sala[[#This Row],[Propina real]]</f>
        <v>127.17</v>
      </c>
    </row>
    <row r="219" spans="1:26" x14ac:dyDescent="0.25">
      <c r="A219">
        <v>13</v>
      </c>
      <c r="B219" t="s">
        <v>248</v>
      </c>
      <c r="C219">
        <v>3</v>
      </c>
      <c r="D219" s="2">
        <v>45018</v>
      </c>
      <c r="E219" s="3">
        <v>1.8749999999999999E-2</v>
      </c>
      <c r="F219" s="2">
        <v>45018</v>
      </c>
      <c r="G219" s="3">
        <v>0.15347222222222223</v>
      </c>
      <c r="H219" s="1" t="s">
        <v>20</v>
      </c>
      <c r="I219" t="s">
        <v>8</v>
      </c>
      <c r="J219" t="s">
        <v>601</v>
      </c>
      <c r="K219" s="9">
        <v>23.34</v>
      </c>
      <c r="L219" t="s">
        <v>28</v>
      </c>
      <c r="M219">
        <v>218</v>
      </c>
      <c r="N219" t="s">
        <v>59</v>
      </c>
      <c r="O219" s="3">
        <f>(Sala[[#This Row],[Hora de Salida]]-Sala[[#This Row],[Hora de llegada]])+IF(Sala[[#This Row],[Estado de la Mesa]]="Ocupada",(TEXT((15/(60*24)),"h:mm")),(TEXT(0,"h:mm")))</f>
        <v>0.1451388888888889</v>
      </c>
      <c r="P219" s="43">
        <f>(SUMIF(Cocina[Número de Orden],Sala[[#This Row],[Número de Orden]],Cocina[Tiempo de Preparación]))</f>
        <v>46</v>
      </c>
      <c r="Q219" s="5" t="str">
        <f>TEXT(((SUMIF(Cocina[Número de Orden],Sala[[#This Row],[Número de Orden]],Cocina[Tiempo de Preparación]))/(60*24)),"h:mm")</f>
        <v>0:46</v>
      </c>
      <c r="R219" s="3">
        <f>MAX((Sala[[#This Row],[Tiempo de permanencia]]-Sala[[#This Row],[Tiempo de preparación (h)]]),0)</f>
        <v>0.11319444444444446</v>
      </c>
      <c r="S219" s="8">
        <f>SUMIF(Cocina[Número de Orden],Sala[[#This Row],[Número de Orden]],Cocina[Ganancia bruta])</f>
        <v>184</v>
      </c>
      <c r="T219" s="8">
        <f>SUMIF(Cocina[Número de Orden],Sala[[#This Row],[Número de Orden]],Cocina[Costo Unitario])</f>
        <v>41</v>
      </c>
      <c r="U219" s="2">
        <f>Sala[[#This Row],[Fecha de Salida]]</f>
        <v>45018</v>
      </c>
      <c r="V219" s="7" t="str">
        <f>TEXT(Sala[[#This Row],[Fecha factura]],"dddd")</f>
        <v>domingo</v>
      </c>
      <c r="W219" t="str">
        <f>IF(Sala[[#This Row],[Tiempo de degustación]]&gt;0,"Sí","No")</f>
        <v>Sí</v>
      </c>
      <c r="X219" t="str">
        <f>IF(Sala[[#This Row],[Cobrada]]="Sí",Sala[[#This Row],[Método de Pago]],"Impago")</f>
        <v>Tarjeta de crédito</v>
      </c>
      <c r="Y219">
        <f>IF(Sala[[#This Row],[Cobrada]]="Sí",Sala[[#This Row],[Propina]],0)</f>
        <v>23.34</v>
      </c>
      <c r="Z219">
        <f>(IF(Sala[[#This Row],[Cobrada]]="Sí",Sala[[#This Row],[Monto total]],0))+Sala[[#This Row],[Propina real]]</f>
        <v>207.34</v>
      </c>
    </row>
    <row r="220" spans="1:26" x14ac:dyDescent="0.25">
      <c r="A220">
        <v>1</v>
      </c>
      <c r="B220" t="s">
        <v>249</v>
      </c>
      <c r="C220">
        <v>5</v>
      </c>
      <c r="D220" s="2">
        <v>45018</v>
      </c>
      <c r="E220" s="3">
        <v>0.10625</v>
      </c>
      <c r="F220" s="2">
        <v>45018</v>
      </c>
      <c r="G220" s="3">
        <v>0.20069444444444445</v>
      </c>
      <c r="H220" s="1" t="s">
        <v>7</v>
      </c>
      <c r="I220" t="s">
        <v>8</v>
      </c>
      <c r="J220" t="s">
        <v>601</v>
      </c>
      <c r="K220" s="9">
        <v>46.96</v>
      </c>
      <c r="L220" t="s">
        <v>17</v>
      </c>
      <c r="M220">
        <v>219</v>
      </c>
      <c r="N220" t="s">
        <v>29</v>
      </c>
      <c r="O220" s="3">
        <f>(Sala[[#This Row],[Hora de Salida]]-Sala[[#This Row],[Hora de llegada]])+IF(Sala[[#This Row],[Estado de la Mesa]]="Ocupada",(TEXT((15/(60*24)),"h:mm")),(TEXT(0,"h:mm")))</f>
        <v>9.4444444444444456E-2</v>
      </c>
      <c r="P220" s="43">
        <f>(SUMIF(Cocina[Número de Orden],Sala[[#This Row],[Número de Orden]],Cocina[Tiempo de Preparación]))</f>
        <v>23</v>
      </c>
      <c r="Q220" s="5" t="str">
        <f>TEXT(((SUMIF(Cocina[Número de Orden],Sala[[#This Row],[Número de Orden]],Cocina[Tiempo de Preparación]))/(60*24)),"h:mm")</f>
        <v>0:23</v>
      </c>
      <c r="R220" s="3">
        <f>MAX((Sala[[#This Row],[Tiempo de permanencia]]-Sala[[#This Row],[Tiempo de preparación (h)]]),0)</f>
        <v>7.8472222222222235E-2</v>
      </c>
      <c r="S220" s="8">
        <f>SUMIF(Cocina[Número de Orden],Sala[[#This Row],[Número de Orden]],Cocina[Ganancia bruta])</f>
        <v>139</v>
      </c>
      <c r="T220" s="8">
        <f>SUMIF(Cocina[Número de Orden],Sala[[#This Row],[Número de Orden]],Cocina[Costo Unitario])</f>
        <v>33</v>
      </c>
      <c r="U220" s="2">
        <f>Sala[[#This Row],[Fecha de Salida]]</f>
        <v>45018</v>
      </c>
      <c r="V220" s="7" t="str">
        <f>TEXT(Sala[[#This Row],[Fecha factura]],"dddd")</f>
        <v>domingo</v>
      </c>
      <c r="W220" t="str">
        <f>IF(Sala[[#This Row],[Tiempo de degustación]]&gt;0,"Sí","No")</f>
        <v>Sí</v>
      </c>
      <c r="X220" t="str">
        <f>IF(Sala[[#This Row],[Cobrada]]="Sí",Sala[[#This Row],[Método de Pago]],"Impago")</f>
        <v>Tarjeta de crédito</v>
      </c>
      <c r="Y220">
        <f>IF(Sala[[#This Row],[Cobrada]]="Sí",Sala[[#This Row],[Propina]],0)</f>
        <v>46.96</v>
      </c>
      <c r="Z220">
        <f>(IF(Sala[[#This Row],[Cobrada]]="Sí",Sala[[#This Row],[Monto total]],0))+Sala[[#This Row],[Propina real]]</f>
        <v>185.96</v>
      </c>
    </row>
    <row r="221" spans="1:26" x14ac:dyDescent="0.25">
      <c r="A221">
        <v>15</v>
      </c>
      <c r="B221" t="s">
        <v>226</v>
      </c>
      <c r="C221">
        <v>6</v>
      </c>
      <c r="D221" s="2">
        <v>45018</v>
      </c>
      <c r="E221" s="3">
        <v>4.2361111111111113E-2</v>
      </c>
      <c r="F221" s="2">
        <v>45018</v>
      </c>
      <c r="G221" s="3">
        <v>0.20624999999999999</v>
      </c>
      <c r="H221" s="1" t="s">
        <v>20</v>
      </c>
      <c r="I221" t="s">
        <v>8</v>
      </c>
      <c r="J221" t="s">
        <v>601</v>
      </c>
      <c r="K221" s="9">
        <v>48.5</v>
      </c>
      <c r="L221" t="s">
        <v>9</v>
      </c>
      <c r="M221">
        <v>220</v>
      </c>
      <c r="N221" t="s">
        <v>44</v>
      </c>
      <c r="O221" s="3">
        <f>(Sala[[#This Row],[Hora de Salida]]-Sala[[#This Row],[Hora de llegada]])+IF(Sala[[#This Row],[Estado de la Mesa]]="Ocupada",(TEXT((15/(60*24)),"h:mm")),(TEXT(0,"h:mm")))</f>
        <v>0.16388888888888886</v>
      </c>
      <c r="P221" s="43">
        <f>(SUMIF(Cocina[Número de Orden],Sala[[#This Row],[Número de Orden]],Cocina[Tiempo de Preparación]))</f>
        <v>13</v>
      </c>
      <c r="Q221" s="5" t="str">
        <f>TEXT(((SUMIF(Cocina[Número de Orden],Sala[[#This Row],[Número de Orden]],Cocina[Tiempo de Preparación]))/(60*24)),"h:mm")</f>
        <v>0:13</v>
      </c>
      <c r="R221" s="3">
        <f>MAX((Sala[[#This Row],[Tiempo de permanencia]]-Sala[[#This Row],[Tiempo de preparación (h)]]),0)</f>
        <v>0.15486111111111109</v>
      </c>
      <c r="S221" s="8">
        <f>SUMIF(Cocina[Número de Orden],Sala[[#This Row],[Número de Orden]],Cocina[Ganancia bruta])</f>
        <v>24</v>
      </c>
      <c r="T221" s="8">
        <f>SUMIF(Cocina[Número de Orden],Sala[[#This Row],[Número de Orden]],Cocina[Costo Unitario])</f>
        <v>14</v>
      </c>
      <c r="U221" s="2">
        <f>Sala[[#This Row],[Fecha de Salida]]</f>
        <v>45018</v>
      </c>
      <c r="V221" s="7" t="str">
        <f>TEXT(Sala[[#This Row],[Fecha factura]],"dddd")</f>
        <v>domingo</v>
      </c>
      <c r="W221" t="str">
        <f>IF(Sala[[#This Row],[Tiempo de degustación]]&gt;0,"Sí","No")</f>
        <v>Sí</v>
      </c>
      <c r="X221" t="str">
        <f>IF(Sala[[#This Row],[Cobrada]]="Sí",Sala[[#This Row],[Método de Pago]],"Impago")</f>
        <v>Tarjeta de crédito</v>
      </c>
      <c r="Y221">
        <f>IF(Sala[[#This Row],[Cobrada]]="Sí",Sala[[#This Row],[Propina]],0)</f>
        <v>48.5</v>
      </c>
      <c r="Z221">
        <f>(IF(Sala[[#This Row],[Cobrada]]="Sí",Sala[[#This Row],[Monto total]],0))+Sala[[#This Row],[Propina real]]</f>
        <v>72.5</v>
      </c>
    </row>
    <row r="222" spans="1:26" x14ac:dyDescent="0.25">
      <c r="A222">
        <v>16</v>
      </c>
      <c r="B222" t="s">
        <v>250</v>
      </c>
      <c r="C222">
        <v>1</v>
      </c>
      <c r="D222" s="2">
        <v>45018</v>
      </c>
      <c r="E222" s="3">
        <v>7.7083333333333337E-2</v>
      </c>
      <c r="F222" s="2">
        <v>45018</v>
      </c>
      <c r="G222" s="3">
        <v>0.12847222222222221</v>
      </c>
      <c r="H222" s="1" t="s">
        <v>7</v>
      </c>
      <c r="I222" t="s">
        <v>8</v>
      </c>
      <c r="J222" t="s">
        <v>601</v>
      </c>
      <c r="K222" s="9">
        <v>17.829999999999998</v>
      </c>
      <c r="L222" t="s">
        <v>17</v>
      </c>
      <c r="M222">
        <v>221</v>
      </c>
      <c r="N222" t="s">
        <v>47</v>
      </c>
      <c r="O222" s="3">
        <f>(Sala[[#This Row],[Hora de Salida]]-Sala[[#This Row],[Hora de llegada]])+IF(Sala[[#This Row],[Estado de la Mesa]]="Ocupada",(TEXT((15/(60*24)),"h:mm")),(TEXT(0,"h:mm")))</f>
        <v>5.1388888888888873E-2</v>
      </c>
      <c r="P222" s="43">
        <f>(SUMIF(Cocina[Número de Orden],Sala[[#This Row],[Número de Orden]],Cocina[Tiempo de Preparación]))</f>
        <v>108</v>
      </c>
      <c r="Q222" s="5" t="str">
        <f>TEXT(((SUMIF(Cocina[Número de Orden],Sala[[#This Row],[Número de Orden]],Cocina[Tiempo de Preparación]))/(60*24)),"h:mm")</f>
        <v>1:48</v>
      </c>
      <c r="R222" s="3">
        <f>MAX((Sala[[#This Row],[Tiempo de permanencia]]-Sala[[#This Row],[Tiempo de preparación (h)]]),0)</f>
        <v>0</v>
      </c>
      <c r="S222" s="8">
        <f>SUMIF(Cocina[Número de Orden],Sala[[#This Row],[Número de Orden]],Cocina[Ganancia bruta])</f>
        <v>193</v>
      </c>
      <c r="T222" s="8">
        <f>SUMIF(Cocina[Número de Orden],Sala[[#This Row],[Número de Orden]],Cocina[Costo Unitario])</f>
        <v>56</v>
      </c>
      <c r="U222" s="2">
        <f>Sala[[#This Row],[Fecha de Salida]]</f>
        <v>45018</v>
      </c>
      <c r="V222" s="7" t="str">
        <f>TEXT(Sala[[#This Row],[Fecha factura]],"dddd")</f>
        <v>domingo</v>
      </c>
      <c r="W222" t="str">
        <f>IF(Sala[[#This Row],[Tiempo de degustación]]&gt;0,"Sí","No")</f>
        <v>No</v>
      </c>
      <c r="X222" t="str">
        <f>IF(Sala[[#This Row],[Cobrada]]="Sí",Sala[[#This Row],[Método de Pago]],"Impago")</f>
        <v>Impago</v>
      </c>
      <c r="Y222">
        <f>IF(Sala[[#This Row],[Cobrada]]="Sí",Sala[[#This Row],[Propina]],0)</f>
        <v>0</v>
      </c>
      <c r="Z222">
        <f>(IF(Sala[[#This Row],[Cobrada]]="Sí",Sala[[#This Row],[Monto total]],0))+Sala[[#This Row],[Propina real]]</f>
        <v>0</v>
      </c>
    </row>
    <row r="223" spans="1:26" x14ac:dyDescent="0.25">
      <c r="A223">
        <v>3</v>
      </c>
      <c r="B223" t="s">
        <v>251</v>
      </c>
      <c r="C223">
        <v>3</v>
      </c>
      <c r="D223" s="2">
        <v>45018</v>
      </c>
      <c r="E223" s="3">
        <v>0.15138888888888888</v>
      </c>
      <c r="F223" s="2">
        <v>45018</v>
      </c>
      <c r="G223" s="3">
        <v>0.27916666666666667</v>
      </c>
      <c r="H223" s="1" t="s">
        <v>20</v>
      </c>
      <c r="I223" t="s">
        <v>25</v>
      </c>
      <c r="J223" t="s">
        <v>600</v>
      </c>
      <c r="K223" s="9">
        <v>32.58</v>
      </c>
      <c r="L223" t="s">
        <v>17</v>
      </c>
      <c r="M223">
        <v>222</v>
      </c>
      <c r="N223" t="s">
        <v>44</v>
      </c>
      <c r="O223" s="3">
        <f>(Sala[[#This Row],[Hora de Salida]]-Sala[[#This Row],[Hora de llegada]])+IF(Sala[[#This Row],[Estado de la Mesa]]="Ocupada",(TEXT((15/(60*24)),"h:mm")),(TEXT(0,"h:mm")))</f>
        <v>0.1277777777777778</v>
      </c>
      <c r="P223" s="43">
        <f>(SUMIF(Cocina[Número de Orden],Sala[[#This Row],[Número de Orden]],Cocina[Tiempo de Preparación]))</f>
        <v>85</v>
      </c>
      <c r="Q223" s="5" t="str">
        <f>TEXT(((SUMIF(Cocina[Número de Orden],Sala[[#This Row],[Número de Orden]],Cocina[Tiempo de Preparación]))/(60*24)),"h:mm")</f>
        <v>1:25</v>
      </c>
      <c r="R223" s="3">
        <f>MAX((Sala[[#This Row],[Tiempo de permanencia]]-Sala[[#This Row],[Tiempo de preparación (h)]]),0)</f>
        <v>6.8750000000000019E-2</v>
      </c>
      <c r="S223" s="8">
        <f>SUMIF(Cocina[Número de Orden],Sala[[#This Row],[Número de Orden]],Cocina[Ganancia bruta])</f>
        <v>97</v>
      </c>
      <c r="T223" s="8">
        <f>SUMIF(Cocina[Número de Orden],Sala[[#This Row],[Número de Orden]],Cocina[Costo Unitario])</f>
        <v>30</v>
      </c>
      <c r="U223" s="2">
        <f>Sala[[#This Row],[Fecha de Salida]]</f>
        <v>45018</v>
      </c>
      <c r="V223" s="7" t="str">
        <f>TEXT(Sala[[#This Row],[Fecha factura]],"dddd")</f>
        <v>domingo</v>
      </c>
      <c r="W223" t="str">
        <f>IF(Sala[[#This Row],[Tiempo de degustación]]&gt;0,"Sí","No")</f>
        <v>Sí</v>
      </c>
      <c r="X223" t="str">
        <f>IF(Sala[[#This Row],[Cobrada]]="Sí",Sala[[#This Row],[Método de Pago]],"Impago")</f>
        <v>Tarjeta de débito</v>
      </c>
      <c r="Y223">
        <f>IF(Sala[[#This Row],[Cobrada]]="Sí",Sala[[#This Row],[Propina]],0)</f>
        <v>32.58</v>
      </c>
      <c r="Z223">
        <f>(IF(Sala[[#This Row],[Cobrada]]="Sí",Sala[[#This Row],[Monto total]],0))+Sala[[#This Row],[Propina real]]</f>
        <v>129.57999999999998</v>
      </c>
    </row>
    <row r="224" spans="1:26" x14ac:dyDescent="0.25">
      <c r="A224">
        <v>19</v>
      </c>
      <c r="B224" t="s">
        <v>252</v>
      </c>
      <c r="C224">
        <v>2</v>
      </c>
      <c r="D224" s="2">
        <v>45018</v>
      </c>
      <c r="E224" s="3">
        <v>5.2777777777777778E-2</v>
      </c>
      <c r="F224" s="2">
        <v>45018</v>
      </c>
      <c r="G224" s="3">
        <v>0.11805555555555555</v>
      </c>
      <c r="H224" s="1" t="s">
        <v>20</v>
      </c>
      <c r="I224" t="s">
        <v>25</v>
      </c>
      <c r="J224" t="s">
        <v>601</v>
      </c>
      <c r="K224" s="9">
        <v>49.62</v>
      </c>
      <c r="L224" t="s">
        <v>9</v>
      </c>
      <c r="M224">
        <v>223</v>
      </c>
      <c r="N224" t="s">
        <v>59</v>
      </c>
      <c r="O224" s="3">
        <f>(Sala[[#This Row],[Hora de Salida]]-Sala[[#This Row],[Hora de llegada]])+IF(Sala[[#This Row],[Estado de la Mesa]]="Ocupada",(TEXT((15/(60*24)),"h:mm")),(TEXT(0,"h:mm")))</f>
        <v>6.5277777777777768E-2</v>
      </c>
      <c r="P224" s="43">
        <f>(SUMIF(Cocina[Número de Orden],Sala[[#This Row],[Número de Orden]],Cocina[Tiempo de Preparación]))</f>
        <v>53</v>
      </c>
      <c r="Q224" s="5" t="str">
        <f>TEXT(((SUMIF(Cocina[Número de Orden],Sala[[#This Row],[Número de Orden]],Cocina[Tiempo de Preparación]))/(60*24)),"h:mm")</f>
        <v>0:53</v>
      </c>
      <c r="R224" s="3">
        <f>MAX((Sala[[#This Row],[Tiempo de permanencia]]-Sala[[#This Row],[Tiempo de preparación (h)]]),0)</f>
        <v>2.8472222222222211E-2</v>
      </c>
      <c r="S224" s="8">
        <f>SUMIF(Cocina[Número de Orden],Sala[[#This Row],[Número de Orden]],Cocina[Ganancia bruta])</f>
        <v>32</v>
      </c>
      <c r="T224" s="8">
        <f>SUMIF(Cocina[Número de Orden],Sala[[#This Row],[Número de Orden]],Cocina[Costo Unitario])</f>
        <v>19</v>
      </c>
      <c r="U224" s="2">
        <f>Sala[[#This Row],[Fecha de Salida]]</f>
        <v>45018</v>
      </c>
      <c r="V224" s="7" t="str">
        <f>TEXT(Sala[[#This Row],[Fecha factura]],"dddd")</f>
        <v>domingo</v>
      </c>
      <c r="W224" t="str">
        <f>IF(Sala[[#This Row],[Tiempo de degustación]]&gt;0,"Sí","No")</f>
        <v>Sí</v>
      </c>
      <c r="X224" t="str">
        <f>IF(Sala[[#This Row],[Cobrada]]="Sí",Sala[[#This Row],[Método de Pago]],"Impago")</f>
        <v>Tarjeta de crédito</v>
      </c>
      <c r="Y224">
        <f>IF(Sala[[#This Row],[Cobrada]]="Sí",Sala[[#This Row],[Propina]],0)</f>
        <v>49.62</v>
      </c>
      <c r="Z224">
        <f>(IF(Sala[[#This Row],[Cobrada]]="Sí",Sala[[#This Row],[Monto total]],0))+Sala[[#This Row],[Propina real]]</f>
        <v>81.62</v>
      </c>
    </row>
    <row r="225" spans="1:26" x14ac:dyDescent="0.25">
      <c r="A225">
        <v>7</v>
      </c>
      <c r="B225" t="s">
        <v>253</v>
      </c>
      <c r="C225">
        <v>6</v>
      </c>
      <c r="D225" s="2">
        <v>45018</v>
      </c>
      <c r="E225" s="3">
        <v>8.819444444444445E-2</v>
      </c>
      <c r="F225" s="2">
        <v>45018</v>
      </c>
      <c r="G225" s="3">
        <v>0.24097222222222223</v>
      </c>
      <c r="H225" s="1" t="s">
        <v>7</v>
      </c>
      <c r="I225" t="s">
        <v>8</v>
      </c>
      <c r="J225" t="s">
        <v>601</v>
      </c>
      <c r="K225" s="9">
        <v>17.61</v>
      </c>
      <c r="L225" t="s">
        <v>28</v>
      </c>
      <c r="M225">
        <v>224</v>
      </c>
      <c r="N225" t="s">
        <v>32</v>
      </c>
      <c r="O225" s="3">
        <f>(Sala[[#This Row],[Hora de Salida]]-Sala[[#This Row],[Hora de llegada]])+IF(Sala[[#This Row],[Estado de la Mesa]]="Ocupada",(TEXT((15/(60*24)),"h:mm")),(TEXT(0,"h:mm")))</f>
        <v>0.16319444444444445</v>
      </c>
      <c r="P225" s="43">
        <f>(SUMIF(Cocina[Número de Orden],Sala[[#This Row],[Número de Orden]],Cocina[Tiempo de Preparación]))</f>
        <v>20</v>
      </c>
      <c r="Q225" s="5" t="str">
        <f>TEXT(((SUMIF(Cocina[Número de Orden],Sala[[#This Row],[Número de Orden]],Cocina[Tiempo de Preparación]))/(60*24)),"h:mm")</f>
        <v>0:20</v>
      </c>
      <c r="R225" s="3">
        <f>MAX((Sala[[#This Row],[Tiempo de permanencia]]-Sala[[#This Row],[Tiempo de preparación (h)]]),0)</f>
        <v>0.14930555555555555</v>
      </c>
      <c r="S225" s="8">
        <f>SUMIF(Cocina[Número de Orden],Sala[[#This Row],[Número de Orden]],Cocina[Ganancia bruta])</f>
        <v>52</v>
      </c>
      <c r="T225" s="8">
        <f>SUMIF(Cocina[Número de Orden],Sala[[#This Row],[Número de Orden]],Cocina[Costo Unitario])</f>
        <v>15</v>
      </c>
      <c r="U225" s="2">
        <f>Sala[[#This Row],[Fecha de Salida]]</f>
        <v>45018</v>
      </c>
      <c r="V225" s="7" t="str">
        <f>TEXT(Sala[[#This Row],[Fecha factura]],"dddd")</f>
        <v>domingo</v>
      </c>
      <c r="W225" t="str">
        <f>IF(Sala[[#This Row],[Tiempo de degustación]]&gt;0,"Sí","No")</f>
        <v>Sí</v>
      </c>
      <c r="X225" t="str">
        <f>IF(Sala[[#This Row],[Cobrada]]="Sí",Sala[[#This Row],[Método de Pago]],"Impago")</f>
        <v>Tarjeta de crédito</v>
      </c>
      <c r="Y225">
        <f>IF(Sala[[#This Row],[Cobrada]]="Sí",Sala[[#This Row],[Propina]],0)</f>
        <v>17.61</v>
      </c>
      <c r="Z225">
        <f>(IF(Sala[[#This Row],[Cobrada]]="Sí",Sala[[#This Row],[Monto total]],0))+Sala[[#This Row],[Propina real]]</f>
        <v>69.61</v>
      </c>
    </row>
    <row r="226" spans="1:26" x14ac:dyDescent="0.25">
      <c r="A226">
        <v>19</v>
      </c>
      <c r="B226" t="s">
        <v>254</v>
      </c>
      <c r="C226">
        <v>4</v>
      </c>
      <c r="D226" s="2">
        <v>45018</v>
      </c>
      <c r="E226" s="3">
        <v>9.7222222222222224E-3</v>
      </c>
      <c r="F226" s="2">
        <v>45018</v>
      </c>
      <c r="G226" s="3">
        <v>5.8333333333333334E-2</v>
      </c>
      <c r="H226" s="1" t="s">
        <v>7</v>
      </c>
      <c r="I226" t="s">
        <v>12</v>
      </c>
      <c r="J226" t="s">
        <v>601</v>
      </c>
      <c r="K226" s="9">
        <v>35.020000000000003</v>
      </c>
      <c r="L226" t="s">
        <v>9</v>
      </c>
      <c r="M226">
        <v>225</v>
      </c>
      <c r="N226" t="s">
        <v>593</v>
      </c>
      <c r="O226" s="3">
        <f>(Sala[[#This Row],[Hora de Salida]]-Sala[[#This Row],[Hora de llegada]])+IF(Sala[[#This Row],[Estado de la Mesa]]="Ocupada",(TEXT((15/(60*24)),"h:mm")),(TEXT(0,"h:mm")))</f>
        <v>4.8611111111111112E-2</v>
      </c>
      <c r="P226" s="43">
        <f>(SUMIF(Cocina[Número de Orden],Sala[[#This Row],[Número de Orden]],Cocina[Tiempo de Preparación]))</f>
        <v>94</v>
      </c>
      <c r="Q226" s="5" t="str">
        <f>TEXT(((SUMIF(Cocina[Número de Orden],Sala[[#This Row],[Número de Orden]],Cocina[Tiempo de Preparación]))/(60*24)),"h:mm")</f>
        <v>1:34</v>
      </c>
      <c r="R226" s="3">
        <f>MAX((Sala[[#This Row],[Tiempo de permanencia]]-Sala[[#This Row],[Tiempo de preparación (h)]]),0)</f>
        <v>0</v>
      </c>
      <c r="S226" s="8">
        <f>SUMIF(Cocina[Número de Orden],Sala[[#This Row],[Número de Orden]],Cocina[Ganancia bruta])</f>
        <v>168</v>
      </c>
      <c r="T226" s="8">
        <f>SUMIF(Cocina[Número de Orden],Sala[[#This Row],[Número de Orden]],Cocina[Costo Unitario])</f>
        <v>34</v>
      </c>
      <c r="U226" s="2">
        <f>Sala[[#This Row],[Fecha de Salida]]</f>
        <v>45018</v>
      </c>
      <c r="V226" s="7" t="str">
        <f>TEXT(Sala[[#This Row],[Fecha factura]],"dddd")</f>
        <v>domingo</v>
      </c>
      <c r="W226" t="str">
        <f>IF(Sala[[#This Row],[Tiempo de degustación]]&gt;0,"Sí","No")</f>
        <v>No</v>
      </c>
      <c r="X226" t="str">
        <f>IF(Sala[[#This Row],[Cobrada]]="Sí",Sala[[#This Row],[Método de Pago]],"Impago")</f>
        <v>Impago</v>
      </c>
      <c r="Y226">
        <f>IF(Sala[[#This Row],[Cobrada]]="Sí",Sala[[#This Row],[Propina]],0)</f>
        <v>0</v>
      </c>
      <c r="Z226">
        <f>(IF(Sala[[#This Row],[Cobrada]]="Sí",Sala[[#This Row],[Monto total]],0))+Sala[[#This Row],[Propina real]]</f>
        <v>0</v>
      </c>
    </row>
    <row r="227" spans="1:26" x14ac:dyDescent="0.25">
      <c r="A227">
        <v>7</v>
      </c>
      <c r="B227" t="s">
        <v>255</v>
      </c>
      <c r="C227">
        <v>6</v>
      </c>
      <c r="D227" s="2">
        <v>45018</v>
      </c>
      <c r="E227" s="3">
        <v>4.027777777777778E-2</v>
      </c>
      <c r="F227" s="2">
        <v>45018</v>
      </c>
      <c r="G227" s="3">
        <v>0.17291666666666666</v>
      </c>
      <c r="H227" s="1" t="s">
        <v>11</v>
      </c>
      <c r="I227" t="s">
        <v>25</v>
      </c>
      <c r="J227" t="s">
        <v>601</v>
      </c>
      <c r="K227" s="9">
        <v>39.479999999999997</v>
      </c>
      <c r="L227" t="s">
        <v>9</v>
      </c>
      <c r="M227">
        <v>226</v>
      </c>
      <c r="N227" t="s">
        <v>29</v>
      </c>
      <c r="O227" s="3">
        <f>(Sala[[#This Row],[Hora de Salida]]-Sala[[#This Row],[Hora de llegada]])+IF(Sala[[#This Row],[Estado de la Mesa]]="Ocupada",(TEXT((15/(60*24)),"h:mm")),(TEXT(0,"h:mm")))</f>
        <v>0.13263888888888889</v>
      </c>
      <c r="P227" s="43">
        <f>(SUMIF(Cocina[Número de Orden],Sala[[#This Row],[Número de Orden]],Cocina[Tiempo de Preparación]))</f>
        <v>146</v>
      </c>
      <c r="Q227" s="5" t="str">
        <f>TEXT(((SUMIF(Cocina[Número de Orden],Sala[[#This Row],[Número de Orden]],Cocina[Tiempo de Preparación]))/(60*24)),"h:mm")</f>
        <v>2:26</v>
      </c>
      <c r="R227" s="3">
        <f>MAX((Sala[[#This Row],[Tiempo de permanencia]]-Sala[[#This Row],[Tiempo de preparación (h)]]),0)</f>
        <v>3.125E-2</v>
      </c>
      <c r="S227" s="8">
        <f>SUMIF(Cocina[Número de Orden],Sala[[#This Row],[Número de Orden]],Cocina[Ganancia bruta])</f>
        <v>171</v>
      </c>
      <c r="T227" s="8">
        <f>SUMIF(Cocina[Número de Orden],Sala[[#This Row],[Número de Orden]],Cocina[Costo Unitario])</f>
        <v>58</v>
      </c>
      <c r="U227" s="2">
        <f>Sala[[#This Row],[Fecha de Salida]]</f>
        <v>45018</v>
      </c>
      <c r="V227" s="7" t="str">
        <f>TEXT(Sala[[#This Row],[Fecha factura]],"dddd")</f>
        <v>domingo</v>
      </c>
      <c r="W227" t="str">
        <f>IF(Sala[[#This Row],[Tiempo de degustación]]&gt;0,"Sí","No")</f>
        <v>Sí</v>
      </c>
      <c r="X227" t="str">
        <f>IF(Sala[[#This Row],[Cobrada]]="Sí",Sala[[#This Row],[Método de Pago]],"Impago")</f>
        <v>Tarjeta de crédito</v>
      </c>
      <c r="Y227">
        <f>IF(Sala[[#This Row],[Cobrada]]="Sí",Sala[[#This Row],[Propina]],0)</f>
        <v>39.479999999999997</v>
      </c>
      <c r="Z227">
        <f>(IF(Sala[[#This Row],[Cobrada]]="Sí",Sala[[#This Row],[Monto total]],0))+Sala[[#This Row],[Propina real]]</f>
        <v>210.48</v>
      </c>
    </row>
    <row r="228" spans="1:26" x14ac:dyDescent="0.25">
      <c r="A228">
        <v>17</v>
      </c>
      <c r="B228" t="s">
        <v>127</v>
      </c>
      <c r="C228">
        <v>6</v>
      </c>
      <c r="D228" s="2">
        <v>45018</v>
      </c>
      <c r="E228" s="3">
        <v>7.5694444444444439E-2</v>
      </c>
      <c r="F228" s="2">
        <v>45018</v>
      </c>
      <c r="G228" s="3">
        <v>0.20277777777777778</v>
      </c>
      <c r="H228" s="1" t="s">
        <v>20</v>
      </c>
      <c r="I228" t="s">
        <v>8</v>
      </c>
      <c r="J228" t="s">
        <v>601</v>
      </c>
      <c r="K228" s="9">
        <v>41.05</v>
      </c>
      <c r="L228" t="s">
        <v>17</v>
      </c>
      <c r="M228">
        <v>227</v>
      </c>
      <c r="N228" t="s">
        <v>47</v>
      </c>
      <c r="O228" s="3">
        <f>(Sala[[#This Row],[Hora de Salida]]-Sala[[#This Row],[Hora de llegada]])+IF(Sala[[#This Row],[Estado de la Mesa]]="Ocupada",(TEXT((15/(60*24)),"h:mm")),(TEXT(0,"h:mm")))</f>
        <v>0.12708333333333333</v>
      </c>
      <c r="P228" s="43">
        <f>(SUMIF(Cocina[Número de Orden],Sala[[#This Row],[Número de Orden]],Cocina[Tiempo de Preparación]))</f>
        <v>119</v>
      </c>
      <c r="Q228" s="5" t="str">
        <f>TEXT(((SUMIF(Cocina[Número de Orden],Sala[[#This Row],[Número de Orden]],Cocina[Tiempo de Preparación]))/(60*24)),"h:mm")</f>
        <v>1:59</v>
      </c>
      <c r="R228" s="3">
        <f>MAX((Sala[[#This Row],[Tiempo de permanencia]]-Sala[[#This Row],[Tiempo de preparación (h)]]),0)</f>
        <v>4.4444444444444439E-2</v>
      </c>
      <c r="S228" s="8">
        <f>SUMIF(Cocina[Número de Orden],Sala[[#This Row],[Número de Orden]],Cocina[Ganancia bruta])</f>
        <v>211</v>
      </c>
      <c r="T228" s="8">
        <f>SUMIF(Cocina[Número de Orden],Sala[[#This Row],[Número de Orden]],Cocina[Costo Unitario])</f>
        <v>69</v>
      </c>
      <c r="U228" s="2">
        <f>Sala[[#This Row],[Fecha de Salida]]</f>
        <v>45018</v>
      </c>
      <c r="V228" s="7" t="str">
        <f>TEXT(Sala[[#This Row],[Fecha factura]],"dddd")</f>
        <v>domingo</v>
      </c>
      <c r="W228" t="str">
        <f>IF(Sala[[#This Row],[Tiempo de degustación]]&gt;0,"Sí","No")</f>
        <v>Sí</v>
      </c>
      <c r="X228" t="str">
        <f>IF(Sala[[#This Row],[Cobrada]]="Sí",Sala[[#This Row],[Método de Pago]],"Impago")</f>
        <v>Tarjeta de crédito</v>
      </c>
      <c r="Y228">
        <f>IF(Sala[[#This Row],[Cobrada]]="Sí",Sala[[#This Row],[Propina]],0)</f>
        <v>41.05</v>
      </c>
      <c r="Z228">
        <f>(IF(Sala[[#This Row],[Cobrada]]="Sí",Sala[[#This Row],[Monto total]],0))+Sala[[#This Row],[Propina real]]</f>
        <v>252.05</v>
      </c>
    </row>
    <row r="229" spans="1:26" x14ac:dyDescent="0.25">
      <c r="A229">
        <v>16</v>
      </c>
      <c r="B229" t="s">
        <v>256</v>
      </c>
      <c r="C229">
        <v>4</v>
      </c>
      <c r="D229" s="2">
        <v>45018</v>
      </c>
      <c r="E229" s="3">
        <v>6.9444444444444448E-2</v>
      </c>
      <c r="F229" s="2">
        <v>45018</v>
      </c>
      <c r="G229" s="3">
        <v>0.16805555555555557</v>
      </c>
      <c r="H229" s="1" t="s">
        <v>7</v>
      </c>
      <c r="I229" t="s">
        <v>8</v>
      </c>
      <c r="J229" t="s">
        <v>601</v>
      </c>
      <c r="K229" s="9">
        <v>10.66</v>
      </c>
      <c r="L229" t="s">
        <v>28</v>
      </c>
      <c r="M229">
        <v>228</v>
      </c>
      <c r="N229" t="s">
        <v>44</v>
      </c>
      <c r="O229" s="3">
        <f>(Sala[[#This Row],[Hora de Salida]]-Sala[[#This Row],[Hora de llegada]])+IF(Sala[[#This Row],[Estado de la Mesa]]="Ocupada",(TEXT((15/(60*24)),"h:mm")),(TEXT(0,"h:mm")))</f>
        <v>0.10902777777777779</v>
      </c>
      <c r="P229" s="43">
        <f>(SUMIF(Cocina[Número de Orden],Sala[[#This Row],[Número de Orden]],Cocina[Tiempo de Preparación]))</f>
        <v>35</v>
      </c>
      <c r="Q229" s="5" t="str">
        <f>TEXT(((SUMIF(Cocina[Número de Orden],Sala[[#This Row],[Número de Orden]],Cocina[Tiempo de Preparación]))/(60*24)),"h:mm")</f>
        <v>0:35</v>
      </c>
      <c r="R229" s="3">
        <f>MAX((Sala[[#This Row],[Tiempo de permanencia]]-Sala[[#This Row],[Tiempo de preparación (h)]]),0)</f>
        <v>8.472222222222224E-2</v>
      </c>
      <c r="S229" s="8">
        <f>SUMIF(Cocina[Número de Orden],Sala[[#This Row],[Número de Orden]],Cocina[Ganancia bruta])</f>
        <v>69</v>
      </c>
      <c r="T229" s="8">
        <f>SUMIF(Cocina[Número de Orden],Sala[[#This Row],[Número de Orden]],Cocina[Costo Unitario])</f>
        <v>14</v>
      </c>
      <c r="U229" s="2">
        <f>Sala[[#This Row],[Fecha de Salida]]</f>
        <v>45018</v>
      </c>
      <c r="V229" s="7" t="str">
        <f>TEXT(Sala[[#This Row],[Fecha factura]],"dddd")</f>
        <v>domingo</v>
      </c>
      <c r="W229" t="str">
        <f>IF(Sala[[#This Row],[Tiempo de degustación]]&gt;0,"Sí","No")</f>
        <v>Sí</v>
      </c>
      <c r="X229" t="str">
        <f>IF(Sala[[#This Row],[Cobrada]]="Sí",Sala[[#This Row],[Método de Pago]],"Impago")</f>
        <v>Tarjeta de crédito</v>
      </c>
      <c r="Y229">
        <f>IF(Sala[[#This Row],[Cobrada]]="Sí",Sala[[#This Row],[Propina]],0)</f>
        <v>10.66</v>
      </c>
      <c r="Z229">
        <f>(IF(Sala[[#This Row],[Cobrada]]="Sí",Sala[[#This Row],[Monto total]],0))+Sala[[#This Row],[Propina real]]</f>
        <v>79.66</v>
      </c>
    </row>
    <row r="230" spans="1:26" x14ac:dyDescent="0.25">
      <c r="A230">
        <v>14</v>
      </c>
      <c r="B230" t="s">
        <v>257</v>
      </c>
      <c r="C230">
        <v>3</v>
      </c>
      <c r="D230" s="2">
        <v>45018</v>
      </c>
      <c r="E230" s="3">
        <v>0.10694444444444444</v>
      </c>
      <c r="F230" s="2">
        <v>45018</v>
      </c>
      <c r="G230" s="3">
        <v>0.1875</v>
      </c>
      <c r="H230" s="1" t="s">
        <v>16</v>
      </c>
      <c r="I230" t="s">
        <v>25</v>
      </c>
      <c r="J230" t="s">
        <v>601</v>
      </c>
      <c r="K230" s="9">
        <v>28.58</v>
      </c>
      <c r="L230" t="s">
        <v>9</v>
      </c>
      <c r="M230">
        <v>229</v>
      </c>
      <c r="N230" t="s">
        <v>32</v>
      </c>
      <c r="O230" s="3">
        <f>(Sala[[#This Row],[Hora de Salida]]-Sala[[#This Row],[Hora de llegada]])+IF(Sala[[#This Row],[Estado de la Mesa]]="Ocupada",(TEXT((15/(60*24)),"h:mm")),(TEXT(0,"h:mm")))</f>
        <v>8.0555555555555561E-2</v>
      </c>
      <c r="P230" s="43">
        <f>(SUMIF(Cocina[Número de Orden],Sala[[#This Row],[Número de Orden]],Cocina[Tiempo de Preparación]))</f>
        <v>117</v>
      </c>
      <c r="Q230" s="5" t="str">
        <f>TEXT(((SUMIF(Cocina[Número de Orden],Sala[[#This Row],[Número de Orden]],Cocina[Tiempo de Preparación]))/(60*24)),"h:mm")</f>
        <v>1:57</v>
      </c>
      <c r="R230" s="3">
        <f>MAX((Sala[[#This Row],[Tiempo de permanencia]]-Sala[[#This Row],[Tiempo de preparación (h)]]),0)</f>
        <v>0</v>
      </c>
      <c r="S230" s="8">
        <f>SUMIF(Cocina[Número de Orden],Sala[[#This Row],[Número de Orden]],Cocina[Ganancia bruta])</f>
        <v>124</v>
      </c>
      <c r="T230" s="8">
        <f>SUMIF(Cocina[Número de Orden],Sala[[#This Row],[Número de Orden]],Cocina[Costo Unitario])</f>
        <v>74</v>
      </c>
      <c r="U230" s="2">
        <f>Sala[[#This Row],[Fecha de Salida]]</f>
        <v>45018</v>
      </c>
      <c r="V230" s="7" t="str">
        <f>TEXT(Sala[[#This Row],[Fecha factura]],"dddd")</f>
        <v>domingo</v>
      </c>
      <c r="W230" t="str">
        <f>IF(Sala[[#This Row],[Tiempo de degustación]]&gt;0,"Sí","No")</f>
        <v>No</v>
      </c>
      <c r="X230" t="str">
        <f>IF(Sala[[#This Row],[Cobrada]]="Sí",Sala[[#This Row],[Método de Pago]],"Impago")</f>
        <v>Impago</v>
      </c>
      <c r="Y230">
        <f>IF(Sala[[#This Row],[Cobrada]]="Sí",Sala[[#This Row],[Propina]],0)</f>
        <v>0</v>
      </c>
      <c r="Z230">
        <f>(IF(Sala[[#This Row],[Cobrada]]="Sí",Sala[[#This Row],[Monto total]],0))+Sala[[#This Row],[Propina real]]</f>
        <v>0</v>
      </c>
    </row>
    <row r="231" spans="1:26" x14ac:dyDescent="0.25">
      <c r="A231">
        <v>5</v>
      </c>
      <c r="B231" t="s">
        <v>71</v>
      </c>
      <c r="C231">
        <v>5</v>
      </c>
      <c r="D231" s="2">
        <v>45018</v>
      </c>
      <c r="E231" s="3">
        <v>9.375E-2</v>
      </c>
      <c r="F231" s="2">
        <v>45018</v>
      </c>
      <c r="G231" s="3">
        <v>0.2</v>
      </c>
      <c r="H231" s="1" t="s">
        <v>16</v>
      </c>
      <c r="I231" t="s">
        <v>8</v>
      </c>
      <c r="J231" t="s">
        <v>601</v>
      </c>
      <c r="K231" s="9">
        <v>15.84</v>
      </c>
      <c r="L231" t="s">
        <v>17</v>
      </c>
      <c r="M231">
        <v>230</v>
      </c>
      <c r="N231" t="s">
        <v>29</v>
      </c>
      <c r="O231" s="3">
        <f>(Sala[[#This Row],[Hora de Salida]]-Sala[[#This Row],[Hora de llegada]])+IF(Sala[[#This Row],[Estado de la Mesa]]="Ocupada",(TEXT((15/(60*24)),"h:mm")),(TEXT(0,"h:mm")))</f>
        <v>0.10625000000000001</v>
      </c>
      <c r="P231" s="43">
        <f>(SUMIF(Cocina[Número de Orden],Sala[[#This Row],[Número de Orden]],Cocina[Tiempo de Preparación]))</f>
        <v>91</v>
      </c>
      <c r="Q231" s="5" t="str">
        <f>TEXT(((SUMIF(Cocina[Número de Orden],Sala[[#This Row],[Número de Orden]],Cocina[Tiempo de Preparación]))/(60*24)),"h:mm")</f>
        <v>1:31</v>
      </c>
      <c r="R231" s="3">
        <f>MAX((Sala[[#This Row],[Tiempo de permanencia]]-Sala[[#This Row],[Tiempo de preparación (h)]]),0)</f>
        <v>4.3055555555555569E-2</v>
      </c>
      <c r="S231" s="8">
        <f>SUMIF(Cocina[Número de Orden],Sala[[#This Row],[Número de Orden]],Cocina[Ganancia bruta])</f>
        <v>214</v>
      </c>
      <c r="T231" s="8">
        <f>SUMIF(Cocina[Número de Orden],Sala[[#This Row],[Número de Orden]],Cocina[Costo Unitario])</f>
        <v>54</v>
      </c>
      <c r="U231" s="2">
        <f>Sala[[#This Row],[Fecha de Salida]]</f>
        <v>45018</v>
      </c>
      <c r="V231" s="7" t="str">
        <f>TEXT(Sala[[#This Row],[Fecha factura]],"dddd")</f>
        <v>domingo</v>
      </c>
      <c r="W231" t="str">
        <f>IF(Sala[[#This Row],[Tiempo de degustación]]&gt;0,"Sí","No")</f>
        <v>Sí</v>
      </c>
      <c r="X231" t="str">
        <f>IF(Sala[[#This Row],[Cobrada]]="Sí",Sala[[#This Row],[Método de Pago]],"Impago")</f>
        <v>Tarjeta de crédito</v>
      </c>
      <c r="Y231">
        <f>IF(Sala[[#This Row],[Cobrada]]="Sí",Sala[[#This Row],[Propina]],0)</f>
        <v>15.84</v>
      </c>
      <c r="Z231">
        <f>(IF(Sala[[#This Row],[Cobrada]]="Sí",Sala[[#This Row],[Monto total]],0))+Sala[[#This Row],[Propina real]]</f>
        <v>229.84</v>
      </c>
    </row>
    <row r="232" spans="1:26" x14ac:dyDescent="0.25">
      <c r="A232">
        <v>8</v>
      </c>
      <c r="B232" t="s">
        <v>258</v>
      </c>
      <c r="C232">
        <v>2</v>
      </c>
      <c r="D232" s="2">
        <v>45018</v>
      </c>
      <c r="E232" s="3">
        <v>0.05</v>
      </c>
      <c r="F232" s="2">
        <v>45018</v>
      </c>
      <c r="G232" s="3">
        <v>0.13194444444444445</v>
      </c>
      <c r="H232" s="1" t="s">
        <v>16</v>
      </c>
      <c r="I232" t="s">
        <v>8</v>
      </c>
      <c r="J232" t="s">
        <v>601</v>
      </c>
      <c r="K232" s="9">
        <v>49.1</v>
      </c>
      <c r="L232" t="s">
        <v>28</v>
      </c>
      <c r="M232">
        <v>231</v>
      </c>
      <c r="N232" t="s">
        <v>593</v>
      </c>
      <c r="O232" s="3">
        <f>(Sala[[#This Row],[Hora de Salida]]-Sala[[#This Row],[Hora de llegada]])+IF(Sala[[#This Row],[Estado de la Mesa]]="Ocupada",(TEXT((15/(60*24)),"h:mm")),(TEXT(0,"h:mm")))</f>
        <v>9.2361111111111116E-2</v>
      </c>
      <c r="P232" s="43">
        <f>(SUMIF(Cocina[Número de Orden],Sala[[#This Row],[Número de Orden]],Cocina[Tiempo de Preparación]))</f>
        <v>150</v>
      </c>
      <c r="Q232" s="5" t="str">
        <f>TEXT(((SUMIF(Cocina[Número de Orden],Sala[[#This Row],[Número de Orden]],Cocina[Tiempo de Preparación]))/(60*24)),"h:mm")</f>
        <v>2:30</v>
      </c>
      <c r="R232" s="3">
        <f>MAX((Sala[[#This Row],[Tiempo de permanencia]]-Sala[[#This Row],[Tiempo de preparación (h)]]),0)</f>
        <v>0</v>
      </c>
      <c r="S232" s="8">
        <f>SUMIF(Cocina[Número de Orden],Sala[[#This Row],[Número de Orden]],Cocina[Ganancia bruta])</f>
        <v>208</v>
      </c>
      <c r="T232" s="8">
        <f>SUMIF(Cocina[Número de Orden],Sala[[#This Row],[Número de Orden]],Cocina[Costo Unitario])</f>
        <v>72</v>
      </c>
      <c r="U232" s="2">
        <f>Sala[[#This Row],[Fecha de Salida]]</f>
        <v>45018</v>
      </c>
      <c r="V232" s="7" t="str">
        <f>TEXT(Sala[[#This Row],[Fecha factura]],"dddd")</f>
        <v>domingo</v>
      </c>
      <c r="W232" t="str">
        <f>IF(Sala[[#This Row],[Tiempo de degustación]]&gt;0,"Sí","No")</f>
        <v>No</v>
      </c>
      <c r="X232" t="str">
        <f>IF(Sala[[#This Row],[Cobrada]]="Sí",Sala[[#This Row],[Método de Pago]],"Impago")</f>
        <v>Impago</v>
      </c>
      <c r="Y232">
        <f>IF(Sala[[#This Row],[Cobrada]]="Sí",Sala[[#This Row],[Propina]],0)</f>
        <v>0</v>
      </c>
      <c r="Z232">
        <f>(IF(Sala[[#This Row],[Cobrada]]="Sí",Sala[[#This Row],[Monto total]],0))+Sala[[#This Row],[Propina real]]</f>
        <v>0</v>
      </c>
    </row>
    <row r="233" spans="1:26" x14ac:dyDescent="0.25">
      <c r="A233">
        <v>2</v>
      </c>
      <c r="B233" t="s">
        <v>259</v>
      </c>
      <c r="C233">
        <v>2</v>
      </c>
      <c r="D233" s="2">
        <v>45018</v>
      </c>
      <c r="E233" s="3">
        <v>8.611111111111111E-2</v>
      </c>
      <c r="F233" s="2">
        <v>45018</v>
      </c>
      <c r="G233" s="3">
        <v>0.1423611111111111</v>
      </c>
      <c r="H233" s="1" t="s">
        <v>11</v>
      </c>
      <c r="I233" t="s">
        <v>8</v>
      </c>
      <c r="J233" t="s">
        <v>601</v>
      </c>
      <c r="K233" s="9">
        <v>15.43</v>
      </c>
      <c r="L233" t="s">
        <v>9</v>
      </c>
      <c r="M233">
        <v>232</v>
      </c>
      <c r="N233" t="s">
        <v>59</v>
      </c>
      <c r="O233" s="3">
        <f>(Sala[[#This Row],[Hora de Salida]]-Sala[[#This Row],[Hora de llegada]])+IF(Sala[[#This Row],[Estado de la Mesa]]="Ocupada",(TEXT((15/(60*24)),"h:mm")),(TEXT(0,"h:mm")))</f>
        <v>5.6249999999999994E-2</v>
      </c>
      <c r="P233" s="43">
        <f>(SUMIF(Cocina[Número de Orden],Sala[[#This Row],[Número de Orden]],Cocina[Tiempo de Preparación]))</f>
        <v>139</v>
      </c>
      <c r="Q233" s="5" t="str">
        <f>TEXT(((SUMIF(Cocina[Número de Orden],Sala[[#This Row],[Número de Orden]],Cocina[Tiempo de Preparación]))/(60*24)),"h:mm")</f>
        <v>2:19</v>
      </c>
      <c r="R233" s="3">
        <f>MAX((Sala[[#This Row],[Tiempo de permanencia]]-Sala[[#This Row],[Tiempo de preparación (h)]]),0)</f>
        <v>0</v>
      </c>
      <c r="S233" s="8">
        <f>SUMIF(Cocina[Número de Orden],Sala[[#This Row],[Número de Orden]],Cocina[Ganancia bruta])</f>
        <v>190</v>
      </c>
      <c r="T233" s="8">
        <f>SUMIF(Cocina[Número de Orden],Sala[[#This Row],[Número de Orden]],Cocina[Costo Unitario])</f>
        <v>63</v>
      </c>
      <c r="U233" s="2">
        <f>Sala[[#This Row],[Fecha de Salida]]</f>
        <v>45018</v>
      </c>
      <c r="V233" s="7" t="str">
        <f>TEXT(Sala[[#This Row],[Fecha factura]],"dddd")</f>
        <v>domingo</v>
      </c>
      <c r="W233" t="str">
        <f>IF(Sala[[#This Row],[Tiempo de degustación]]&gt;0,"Sí","No")</f>
        <v>No</v>
      </c>
      <c r="X233" t="str">
        <f>IF(Sala[[#This Row],[Cobrada]]="Sí",Sala[[#This Row],[Método de Pago]],"Impago")</f>
        <v>Impago</v>
      </c>
      <c r="Y233">
        <f>IF(Sala[[#This Row],[Cobrada]]="Sí",Sala[[#This Row],[Propina]],0)</f>
        <v>0</v>
      </c>
      <c r="Z233">
        <f>(IF(Sala[[#This Row],[Cobrada]]="Sí",Sala[[#This Row],[Monto total]],0))+Sala[[#This Row],[Propina real]]</f>
        <v>0</v>
      </c>
    </row>
    <row r="234" spans="1:26" x14ac:dyDescent="0.25">
      <c r="A234">
        <v>8</v>
      </c>
      <c r="B234" t="s">
        <v>35</v>
      </c>
      <c r="C234">
        <v>1</v>
      </c>
      <c r="D234" s="2">
        <v>45018</v>
      </c>
      <c r="E234" s="3">
        <v>3.6111111111111108E-2</v>
      </c>
      <c r="F234" s="2">
        <v>45018</v>
      </c>
      <c r="G234" s="3">
        <v>0.11041666666666666</v>
      </c>
      <c r="H234" s="1" t="s">
        <v>16</v>
      </c>
      <c r="I234" t="s">
        <v>12</v>
      </c>
      <c r="J234" t="s">
        <v>600</v>
      </c>
      <c r="K234" s="9">
        <v>45.64</v>
      </c>
      <c r="L234" t="s">
        <v>17</v>
      </c>
      <c r="M234">
        <v>233</v>
      </c>
      <c r="N234" t="s">
        <v>59</v>
      </c>
      <c r="O234" s="3">
        <f>(Sala[[#This Row],[Hora de Salida]]-Sala[[#This Row],[Hora de llegada]])+IF(Sala[[#This Row],[Estado de la Mesa]]="Ocupada",(TEXT((15/(60*24)),"h:mm")),(TEXT(0,"h:mm")))</f>
        <v>7.4305555555555555E-2</v>
      </c>
      <c r="P234" s="43">
        <f>(SUMIF(Cocina[Número de Orden],Sala[[#This Row],[Número de Orden]],Cocina[Tiempo de Preparación]))</f>
        <v>31</v>
      </c>
      <c r="Q234" s="5" t="str">
        <f>TEXT(((SUMIF(Cocina[Número de Orden],Sala[[#This Row],[Número de Orden]],Cocina[Tiempo de Preparación]))/(60*24)),"h:mm")</f>
        <v>0:31</v>
      </c>
      <c r="R234" s="3">
        <f>MAX((Sala[[#This Row],[Tiempo de permanencia]]-Sala[[#This Row],[Tiempo de preparación (h)]]),0)</f>
        <v>5.2777777777777778E-2</v>
      </c>
      <c r="S234" s="8">
        <f>SUMIF(Cocina[Número de Orden],Sala[[#This Row],[Número de Orden]],Cocina[Ganancia bruta])</f>
        <v>38</v>
      </c>
      <c r="T234" s="8">
        <f>SUMIF(Cocina[Número de Orden],Sala[[#This Row],[Número de Orden]],Cocina[Costo Unitario])</f>
        <v>11</v>
      </c>
      <c r="U234" s="2">
        <f>Sala[[#This Row],[Fecha de Salida]]</f>
        <v>45018</v>
      </c>
      <c r="V234" s="7" t="str">
        <f>TEXT(Sala[[#This Row],[Fecha factura]],"dddd")</f>
        <v>domingo</v>
      </c>
      <c r="W234" t="str">
        <f>IF(Sala[[#This Row],[Tiempo de degustación]]&gt;0,"Sí","No")</f>
        <v>Sí</v>
      </c>
      <c r="X234" t="str">
        <f>IF(Sala[[#This Row],[Cobrada]]="Sí",Sala[[#This Row],[Método de Pago]],"Impago")</f>
        <v>Tarjeta de débito</v>
      </c>
      <c r="Y234">
        <f>IF(Sala[[#This Row],[Cobrada]]="Sí",Sala[[#This Row],[Propina]],0)</f>
        <v>45.64</v>
      </c>
      <c r="Z234">
        <f>(IF(Sala[[#This Row],[Cobrada]]="Sí",Sala[[#This Row],[Monto total]],0))+Sala[[#This Row],[Propina real]]</f>
        <v>83.64</v>
      </c>
    </row>
    <row r="235" spans="1:26" x14ac:dyDescent="0.25">
      <c r="A235">
        <v>17</v>
      </c>
      <c r="B235" t="s">
        <v>260</v>
      </c>
      <c r="C235">
        <v>6</v>
      </c>
      <c r="D235" s="2">
        <v>45018</v>
      </c>
      <c r="E235" s="3">
        <v>0.11527777777777778</v>
      </c>
      <c r="F235" s="2">
        <v>45018</v>
      </c>
      <c r="G235" s="3">
        <v>0.22777777777777777</v>
      </c>
      <c r="H235" s="1" t="s">
        <v>7</v>
      </c>
      <c r="I235" t="s">
        <v>12</v>
      </c>
      <c r="J235" t="s">
        <v>601</v>
      </c>
      <c r="K235" s="9">
        <v>10.220000000000001</v>
      </c>
      <c r="L235" t="s">
        <v>17</v>
      </c>
      <c r="M235">
        <v>234</v>
      </c>
      <c r="N235" t="s">
        <v>18</v>
      </c>
      <c r="O235" s="3">
        <f>(Sala[[#This Row],[Hora de Salida]]-Sala[[#This Row],[Hora de llegada]])+IF(Sala[[#This Row],[Estado de la Mesa]]="Ocupada",(TEXT((15/(60*24)),"h:mm")),(TEXT(0,"h:mm")))</f>
        <v>0.11249999999999999</v>
      </c>
      <c r="P235" s="43">
        <f>(SUMIF(Cocina[Número de Orden],Sala[[#This Row],[Número de Orden]],Cocina[Tiempo de Preparación]))</f>
        <v>99</v>
      </c>
      <c r="Q235" s="5" t="str">
        <f>TEXT(((SUMIF(Cocina[Número de Orden],Sala[[#This Row],[Número de Orden]],Cocina[Tiempo de Preparación]))/(60*24)),"h:mm")</f>
        <v>1:39</v>
      </c>
      <c r="R235" s="3">
        <f>MAX((Sala[[#This Row],[Tiempo de permanencia]]-Sala[[#This Row],[Tiempo de preparación (h)]]),0)</f>
        <v>4.3749999999999983E-2</v>
      </c>
      <c r="S235" s="8">
        <f>SUMIF(Cocina[Número de Orden],Sala[[#This Row],[Número de Orden]],Cocina[Ganancia bruta])</f>
        <v>225</v>
      </c>
      <c r="T235" s="8">
        <f>SUMIF(Cocina[Número de Orden],Sala[[#This Row],[Número de Orden]],Cocina[Costo Unitario])</f>
        <v>51</v>
      </c>
      <c r="U235" s="2">
        <f>Sala[[#This Row],[Fecha de Salida]]</f>
        <v>45018</v>
      </c>
      <c r="V235" s="7" t="str">
        <f>TEXT(Sala[[#This Row],[Fecha factura]],"dddd")</f>
        <v>domingo</v>
      </c>
      <c r="W235" t="str">
        <f>IF(Sala[[#This Row],[Tiempo de degustación]]&gt;0,"Sí","No")</f>
        <v>Sí</v>
      </c>
      <c r="X235" t="str">
        <f>IF(Sala[[#This Row],[Cobrada]]="Sí",Sala[[#This Row],[Método de Pago]],"Impago")</f>
        <v>Tarjeta de crédito</v>
      </c>
      <c r="Y235">
        <f>IF(Sala[[#This Row],[Cobrada]]="Sí",Sala[[#This Row],[Propina]],0)</f>
        <v>10.220000000000001</v>
      </c>
      <c r="Z235">
        <f>(IF(Sala[[#This Row],[Cobrada]]="Sí",Sala[[#This Row],[Monto total]],0))+Sala[[#This Row],[Propina real]]</f>
        <v>235.22</v>
      </c>
    </row>
    <row r="236" spans="1:26" x14ac:dyDescent="0.25">
      <c r="A236">
        <v>13</v>
      </c>
      <c r="B236" t="s">
        <v>76</v>
      </c>
      <c r="C236">
        <v>5</v>
      </c>
      <c r="D236" s="2">
        <v>45018</v>
      </c>
      <c r="E236" s="3">
        <v>1.5277777777777777E-2</v>
      </c>
      <c r="F236" s="2">
        <v>45018</v>
      </c>
      <c r="G236" s="3">
        <v>0.11666666666666667</v>
      </c>
      <c r="H236" s="1" t="s">
        <v>7</v>
      </c>
      <c r="I236" t="s">
        <v>25</v>
      </c>
      <c r="J236" t="s">
        <v>601</v>
      </c>
      <c r="K236" s="9">
        <v>26.37</v>
      </c>
      <c r="L236" t="s">
        <v>9</v>
      </c>
      <c r="M236">
        <v>235</v>
      </c>
      <c r="N236" t="s">
        <v>594</v>
      </c>
      <c r="O236" s="3">
        <f>(Sala[[#This Row],[Hora de Salida]]-Sala[[#This Row],[Hora de llegada]])+IF(Sala[[#This Row],[Estado de la Mesa]]="Ocupada",(TEXT((15/(60*24)),"h:mm")),(TEXT(0,"h:mm")))</f>
        <v>0.10138888888888889</v>
      </c>
      <c r="P236" s="43">
        <f>(SUMIF(Cocina[Número de Orden],Sala[[#This Row],[Número de Orden]],Cocina[Tiempo de Preparación]))</f>
        <v>25</v>
      </c>
      <c r="Q236" s="5" t="str">
        <f>TEXT(((SUMIF(Cocina[Número de Orden],Sala[[#This Row],[Número de Orden]],Cocina[Tiempo de Preparación]))/(60*24)),"h:mm")</f>
        <v>0:25</v>
      </c>
      <c r="R236" s="3">
        <f>MAX((Sala[[#This Row],[Tiempo de permanencia]]-Sala[[#This Row],[Tiempo de preparación (h)]]),0)</f>
        <v>8.4027777777777785E-2</v>
      </c>
      <c r="S236" s="8">
        <f>SUMIF(Cocina[Número de Orden],Sala[[#This Row],[Número de Orden]],Cocina[Ganancia bruta])</f>
        <v>33</v>
      </c>
      <c r="T236" s="8">
        <f>SUMIF(Cocina[Número de Orden],Sala[[#This Row],[Número de Orden]],Cocina[Costo Unitario])</f>
        <v>20</v>
      </c>
      <c r="U236" s="2">
        <f>Sala[[#This Row],[Fecha de Salida]]</f>
        <v>45018</v>
      </c>
      <c r="V236" s="7" t="str">
        <f>TEXT(Sala[[#This Row],[Fecha factura]],"dddd")</f>
        <v>domingo</v>
      </c>
      <c r="W236" t="str">
        <f>IF(Sala[[#This Row],[Tiempo de degustación]]&gt;0,"Sí","No")</f>
        <v>Sí</v>
      </c>
      <c r="X236" t="str">
        <f>IF(Sala[[#This Row],[Cobrada]]="Sí",Sala[[#This Row],[Método de Pago]],"Impago")</f>
        <v>Tarjeta de crédito</v>
      </c>
      <c r="Y236">
        <f>IF(Sala[[#This Row],[Cobrada]]="Sí",Sala[[#This Row],[Propina]],0)</f>
        <v>26.37</v>
      </c>
      <c r="Z236">
        <f>(IF(Sala[[#This Row],[Cobrada]]="Sí",Sala[[#This Row],[Monto total]],0))+Sala[[#This Row],[Propina real]]</f>
        <v>59.370000000000005</v>
      </c>
    </row>
    <row r="237" spans="1:26" x14ac:dyDescent="0.25">
      <c r="A237">
        <v>12</v>
      </c>
      <c r="B237" t="s">
        <v>262</v>
      </c>
      <c r="C237">
        <v>2</v>
      </c>
      <c r="D237" s="2">
        <v>45018</v>
      </c>
      <c r="E237" s="3">
        <v>3.6111111111111108E-2</v>
      </c>
      <c r="F237" s="2">
        <v>45018</v>
      </c>
      <c r="G237" s="3">
        <v>0.10138888888888889</v>
      </c>
      <c r="H237" s="1" t="s">
        <v>7</v>
      </c>
      <c r="I237" t="s">
        <v>8</v>
      </c>
      <c r="J237" t="s">
        <v>601</v>
      </c>
      <c r="K237" s="9">
        <v>39.81</v>
      </c>
      <c r="L237" t="s">
        <v>17</v>
      </c>
      <c r="M237">
        <v>236</v>
      </c>
      <c r="N237" t="s">
        <v>59</v>
      </c>
      <c r="O237" s="3">
        <f>(Sala[[#This Row],[Hora de Salida]]-Sala[[#This Row],[Hora de llegada]])+IF(Sala[[#This Row],[Estado de la Mesa]]="Ocupada",(TEXT((15/(60*24)),"h:mm")),(TEXT(0,"h:mm")))</f>
        <v>6.5277777777777782E-2</v>
      </c>
      <c r="P237" s="43">
        <f>(SUMIF(Cocina[Número de Orden],Sala[[#This Row],[Número de Orden]],Cocina[Tiempo de Preparación]))</f>
        <v>101</v>
      </c>
      <c r="Q237" s="5" t="str">
        <f>TEXT(((SUMIF(Cocina[Número de Orden],Sala[[#This Row],[Número de Orden]],Cocina[Tiempo de Preparación]))/(60*24)),"h:mm")</f>
        <v>1:41</v>
      </c>
      <c r="R237" s="3">
        <f>MAX((Sala[[#This Row],[Tiempo de permanencia]]-Sala[[#This Row],[Tiempo de preparación (h)]]),0)</f>
        <v>0</v>
      </c>
      <c r="S237" s="8">
        <f>SUMIF(Cocina[Número de Orden],Sala[[#This Row],[Número de Orden]],Cocina[Ganancia bruta])</f>
        <v>255</v>
      </c>
      <c r="T237" s="8">
        <f>SUMIF(Cocina[Número de Orden],Sala[[#This Row],[Número de Orden]],Cocina[Costo Unitario])</f>
        <v>73</v>
      </c>
      <c r="U237" s="2">
        <f>Sala[[#This Row],[Fecha de Salida]]</f>
        <v>45018</v>
      </c>
      <c r="V237" s="7" t="str">
        <f>TEXT(Sala[[#This Row],[Fecha factura]],"dddd")</f>
        <v>domingo</v>
      </c>
      <c r="W237" t="str">
        <f>IF(Sala[[#This Row],[Tiempo de degustación]]&gt;0,"Sí","No")</f>
        <v>No</v>
      </c>
      <c r="X237" t="str">
        <f>IF(Sala[[#This Row],[Cobrada]]="Sí",Sala[[#This Row],[Método de Pago]],"Impago")</f>
        <v>Impago</v>
      </c>
      <c r="Y237">
        <f>IF(Sala[[#This Row],[Cobrada]]="Sí",Sala[[#This Row],[Propina]],0)</f>
        <v>0</v>
      </c>
      <c r="Z237">
        <f>(IF(Sala[[#This Row],[Cobrada]]="Sí",Sala[[#This Row],[Monto total]],0))+Sala[[#This Row],[Propina real]]</f>
        <v>0</v>
      </c>
    </row>
    <row r="238" spans="1:26" x14ac:dyDescent="0.25">
      <c r="A238">
        <v>4</v>
      </c>
      <c r="B238" t="s">
        <v>214</v>
      </c>
      <c r="C238">
        <v>6</v>
      </c>
      <c r="D238" s="2">
        <v>45018</v>
      </c>
      <c r="E238" s="3">
        <v>0.11458333333333333</v>
      </c>
      <c r="F238" s="2">
        <v>45018</v>
      </c>
      <c r="G238" s="3">
        <v>0.25</v>
      </c>
      <c r="H238" s="1" t="s">
        <v>16</v>
      </c>
      <c r="I238" t="s">
        <v>8</v>
      </c>
      <c r="J238" t="s">
        <v>601</v>
      </c>
      <c r="K238" s="9">
        <v>13.15</v>
      </c>
      <c r="L238" t="s">
        <v>28</v>
      </c>
      <c r="M238">
        <v>237</v>
      </c>
      <c r="N238" t="s">
        <v>593</v>
      </c>
      <c r="O238" s="3">
        <f>(Sala[[#This Row],[Hora de Salida]]-Sala[[#This Row],[Hora de llegada]])+IF(Sala[[#This Row],[Estado de la Mesa]]="Ocupada",(TEXT((15/(60*24)),"h:mm")),(TEXT(0,"h:mm")))</f>
        <v>0.14583333333333334</v>
      </c>
      <c r="P238" s="43">
        <f>(SUMIF(Cocina[Número de Orden],Sala[[#This Row],[Número de Orden]],Cocina[Tiempo de Preparación]))</f>
        <v>37</v>
      </c>
      <c r="Q238" s="5" t="str">
        <f>TEXT(((SUMIF(Cocina[Número de Orden],Sala[[#This Row],[Número de Orden]],Cocina[Tiempo de Preparación]))/(60*24)),"h:mm")</f>
        <v>0:37</v>
      </c>
      <c r="R238" s="3">
        <f>MAX((Sala[[#This Row],[Tiempo de permanencia]]-Sala[[#This Row],[Tiempo de preparación (h)]]),0)</f>
        <v>0.12013888888888891</v>
      </c>
      <c r="S238" s="8">
        <f>SUMIF(Cocina[Número de Orden],Sala[[#This Row],[Número de Orden]],Cocina[Ganancia bruta])</f>
        <v>106</v>
      </c>
      <c r="T238" s="8">
        <f>SUMIF(Cocina[Número de Orden],Sala[[#This Row],[Número de Orden]],Cocina[Costo Unitario])</f>
        <v>32</v>
      </c>
      <c r="U238" s="2">
        <f>Sala[[#This Row],[Fecha de Salida]]</f>
        <v>45018</v>
      </c>
      <c r="V238" s="7" t="str">
        <f>TEXT(Sala[[#This Row],[Fecha factura]],"dddd")</f>
        <v>domingo</v>
      </c>
      <c r="W238" t="str">
        <f>IF(Sala[[#This Row],[Tiempo de degustación]]&gt;0,"Sí","No")</f>
        <v>Sí</v>
      </c>
      <c r="X238" t="str">
        <f>IF(Sala[[#This Row],[Cobrada]]="Sí",Sala[[#This Row],[Método de Pago]],"Impago")</f>
        <v>Tarjeta de crédito</v>
      </c>
      <c r="Y238">
        <f>IF(Sala[[#This Row],[Cobrada]]="Sí",Sala[[#This Row],[Propina]],0)</f>
        <v>13.15</v>
      </c>
      <c r="Z238">
        <f>(IF(Sala[[#This Row],[Cobrada]]="Sí",Sala[[#This Row],[Monto total]],0))+Sala[[#This Row],[Propina real]]</f>
        <v>119.15</v>
      </c>
    </row>
    <row r="239" spans="1:26" x14ac:dyDescent="0.25">
      <c r="A239">
        <v>13</v>
      </c>
      <c r="B239" t="s">
        <v>263</v>
      </c>
      <c r="C239">
        <v>6</v>
      </c>
      <c r="D239" s="2">
        <v>45018</v>
      </c>
      <c r="E239" s="3">
        <v>9.5138888888888884E-2</v>
      </c>
      <c r="F239" s="2">
        <v>45018</v>
      </c>
      <c r="G239" s="3">
        <v>0.20555555555555555</v>
      </c>
      <c r="H239" s="1" t="s">
        <v>16</v>
      </c>
      <c r="I239" t="s">
        <v>12</v>
      </c>
      <c r="J239" t="s">
        <v>601</v>
      </c>
      <c r="K239" s="9">
        <v>33.020000000000003</v>
      </c>
      <c r="L239" t="s">
        <v>17</v>
      </c>
      <c r="M239">
        <v>238</v>
      </c>
      <c r="N239" t="s">
        <v>18</v>
      </c>
      <c r="O239" s="3">
        <f>(Sala[[#This Row],[Hora de Salida]]-Sala[[#This Row],[Hora de llegada]])+IF(Sala[[#This Row],[Estado de la Mesa]]="Ocupada",(TEXT((15/(60*24)),"h:mm")),(TEXT(0,"h:mm")))</f>
        <v>0.11041666666666666</v>
      </c>
      <c r="P239" s="43">
        <f>(SUMIF(Cocina[Número de Orden],Sala[[#This Row],[Número de Orden]],Cocina[Tiempo de Preparación]))</f>
        <v>45</v>
      </c>
      <c r="Q239" s="5" t="str">
        <f>TEXT(((SUMIF(Cocina[Número de Orden],Sala[[#This Row],[Número de Orden]],Cocina[Tiempo de Preparación]))/(60*24)),"h:mm")</f>
        <v>0:45</v>
      </c>
      <c r="R239" s="3">
        <f>MAX((Sala[[#This Row],[Tiempo de permanencia]]-Sala[[#This Row],[Tiempo de preparación (h)]]),0)</f>
        <v>7.9166666666666663E-2</v>
      </c>
      <c r="S239" s="8">
        <f>SUMIF(Cocina[Número de Orden],Sala[[#This Row],[Número de Orden]],Cocina[Ganancia bruta])</f>
        <v>72</v>
      </c>
      <c r="T239" s="8">
        <f>SUMIF(Cocina[Número de Orden],Sala[[#This Row],[Número de Orden]],Cocina[Costo Unitario])</f>
        <v>22</v>
      </c>
      <c r="U239" s="2">
        <f>Sala[[#This Row],[Fecha de Salida]]</f>
        <v>45018</v>
      </c>
      <c r="V239" s="7" t="str">
        <f>TEXT(Sala[[#This Row],[Fecha factura]],"dddd")</f>
        <v>domingo</v>
      </c>
      <c r="W239" t="str">
        <f>IF(Sala[[#This Row],[Tiempo de degustación]]&gt;0,"Sí","No")</f>
        <v>Sí</v>
      </c>
      <c r="X239" t="str">
        <f>IF(Sala[[#This Row],[Cobrada]]="Sí",Sala[[#This Row],[Método de Pago]],"Impago")</f>
        <v>Tarjeta de crédito</v>
      </c>
      <c r="Y239">
        <f>IF(Sala[[#This Row],[Cobrada]]="Sí",Sala[[#This Row],[Propina]],0)</f>
        <v>33.020000000000003</v>
      </c>
      <c r="Z239">
        <f>(IF(Sala[[#This Row],[Cobrada]]="Sí",Sala[[#This Row],[Monto total]],0))+Sala[[#This Row],[Propina real]]</f>
        <v>105.02000000000001</v>
      </c>
    </row>
    <row r="240" spans="1:26" x14ac:dyDescent="0.25">
      <c r="A240">
        <v>12</v>
      </c>
      <c r="B240" t="s">
        <v>264</v>
      </c>
      <c r="C240">
        <v>6</v>
      </c>
      <c r="D240" s="2">
        <v>45018</v>
      </c>
      <c r="E240" s="3">
        <v>0.11527777777777778</v>
      </c>
      <c r="F240" s="2">
        <v>45018</v>
      </c>
      <c r="G240" s="3">
        <v>0.25486111111111109</v>
      </c>
      <c r="H240" s="1" t="s">
        <v>23</v>
      </c>
      <c r="I240" t="s">
        <v>8</v>
      </c>
      <c r="J240" t="s">
        <v>13</v>
      </c>
      <c r="K240" s="9">
        <v>11.76</v>
      </c>
      <c r="L240" t="s">
        <v>9</v>
      </c>
      <c r="M240">
        <v>239</v>
      </c>
      <c r="N240" t="s">
        <v>18</v>
      </c>
      <c r="O240" s="3">
        <f>(Sala[[#This Row],[Hora de Salida]]-Sala[[#This Row],[Hora de llegada]])+IF(Sala[[#This Row],[Estado de la Mesa]]="Ocupada",(TEXT((15/(60*24)),"h:mm")),(TEXT(0,"h:mm")))</f>
        <v>0.13958333333333331</v>
      </c>
      <c r="P240" s="43">
        <f>(SUMIF(Cocina[Número de Orden],Sala[[#This Row],[Número de Orden]],Cocina[Tiempo de Preparación]))</f>
        <v>73</v>
      </c>
      <c r="Q240" s="5" t="str">
        <f>TEXT(((SUMIF(Cocina[Número de Orden],Sala[[#This Row],[Número de Orden]],Cocina[Tiempo de Preparación]))/(60*24)),"h:mm")</f>
        <v>1:13</v>
      </c>
      <c r="R240" s="3">
        <f>MAX((Sala[[#This Row],[Tiempo de permanencia]]-Sala[[#This Row],[Tiempo de preparación (h)]]),0)</f>
        <v>8.8888888888888865E-2</v>
      </c>
      <c r="S240" s="8">
        <f>SUMIF(Cocina[Número de Orden],Sala[[#This Row],[Número de Orden]],Cocina[Ganancia bruta])</f>
        <v>74</v>
      </c>
      <c r="T240" s="8">
        <f>SUMIF(Cocina[Número de Orden],Sala[[#This Row],[Número de Orden]],Cocina[Costo Unitario])</f>
        <v>29</v>
      </c>
      <c r="U240" s="2">
        <f>Sala[[#This Row],[Fecha de Salida]]</f>
        <v>45018</v>
      </c>
      <c r="V240" s="7" t="str">
        <f>TEXT(Sala[[#This Row],[Fecha factura]],"dddd")</f>
        <v>domingo</v>
      </c>
      <c r="W240" t="str">
        <f>IF(Sala[[#This Row],[Tiempo de degustación]]&gt;0,"Sí","No")</f>
        <v>Sí</v>
      </c>
      <c r="X240" t="str">
        <f>IF(Sala[[#This Row],[Cobrada]]="Sí",Sala[[#This Row],[Método de Pago]],"Impago")</f>
        <v>Efectivo</v>
      </c>
      <c r="Y240">
        <f>IF(Sala[[#This Row],[Cobrada]]="Sí",Sala[[#This Row],[Propina]],0)</f>
        <v>11.76</v>
      </c>
      <c r="Z240">
        <f>(IF(Sala[[#This Row],[Cobrada]]="Sí",Sala[[#This Row],[Monto total]],0))+Sala[[#This Row],[Propina real]]</f>
        <v>85.76</v>
      </c>
    </row>
    <row r="241" spans="1:26" x14ac:dyDescent="0.25">
      <c r="A241">
        <v>9</v>
      </c>
      <c r="B241" t="s">
        <v>265</v>
      </c>
      <c r="C241">
        <v>1</v>
      </c>
      <c r="D241" s="2">
        <v>45018</v>
      </c>
      <c r="E241" s="3">
        <v>1.1111111111111112E-2</v>
      </c>
      <c r="F241" s="2">
        <v>45018</v>
      </c>
      <c r="G241" s="3">
        <v>0.13194444444444445</v>
      </c>
      <c r="H241" s="1" t="s">
        <v>7</v>
      </c>
      <c r="I241" t="s">
        <v>8</v>
      </c>
      <c r="J241" t="s">
        <v>600</v>
      </c>
      <c r="K241" s="9">
        <v>33.81</v>
      </c>
      <c r="L241" t="s">
        <v>17</v>
      </c>
      <c r="M241">
        <v>240</v>
      </c>
      <c r="N241" t="s">
        <v>593</v>
      </c>
      <c r="O241" s="3">
        <f>(Sala[[#This Row],[Hora de Salida]]-Sala[[#This Row],[Hora de llegada]])+IF(Sala[[#This Row],[Estado de la Mesa]]="Ocupada",(TEXT((15/(60*24)),"h:mm")),(TEXT(0,"h:mm")))</f>
        <v>0.12083333333333333</v>
      </c>
      <c r="P241" s="43">
        <f>(SUMIF(Cocina[Número de Orden],Sala[[#This Row],[Número de Orden]],Cocina[Tiempo de Preparación]))</f>
        <v>129</v>
      </c>
      <c r="Q241" s="5" t="str">
        <f>TEXT(((SUMIF(Cocina[Número de Orden],Sala[[#This Row],[Número de Orden]],Cocina[Tiempo de Preparación]))/(60*24)),"h:mm")</f>
        <v>2:09</v>
      </c>
      <c r="R241" s="3">
        <f>MAX((Sala[[#This Row],[Tiempo de permanencia]]-Sala[[#This Row],[Tiempo de preparación (h)]]),0)</f>
        <v>3.125E-2</v>
      </c>
      <c r="S241" s="8">
        <f>SUMIF(Cocina[Número de Orden],Sala[[#This Row],[Número de Orden]],Cocina[Ganancia bruta])</f>
        <v>294</v>
      </c>
      <c r="T241" s="8">
        <f>SUMIF(Cocina[Número de Orden],Sala[[#This Row],[Número de Orden]],Cocina[Costo Unitario])</f>
        <v>62</v>
      </c>
      <c r="U241" s="2">
        <f>Sala[[#This Row],[Fecha de Salida]]</f>
        <v>45018</v>
      </c>
      <c r="V241" s="7" t="str">
        <f>TEXT(Sala[[#This Row],[Fecha factura]],"dddd")</f>
        <v>domingo</v>
      </c>
      <c r="W241" t="str">
        <f>IF(Sala[[#This Row],[Tiempo de degustación]]&gt;0,"Sí","No")</f>
        <v>Sí</v>
      </c>
      <c r="X241" t="str">
        <f>IF(Sala[[#This Row],[Cobrada]]="Sí",Sala[[#This Row],[Método de Pago]],"Impago")</f>
        <v>Tarjeta de débito</v>
      </c>
      <c r="Y241">
        <f>IF(Sala[[#This Row],[Cobrada]]="Sí",Sala[[#This Row],[Propina]],0)</f>
        <v>33.81</v>
      </c>
      <c r="Z241">
        <f>(IF(Sala[[#This Row],[Cobrada]]="Sí",Sala[[#This Row],[Monto total]],0))+Sala[[#This Row],[Propina real]]</f>
        <v>327.81</v>
      </c>
    </row>
    <row r="242" spans="1:26" x14ac:dyDescent="0.25">
      <c r="A242">
        <v>12</v>
      </c>
      <c r="B242" t="s">
        <v>266</v>
      </c>
      <c r="C242">
        <v>4</v>
      </c>
      <c r="D242" s="2">
        <v>45018</v>
      </c>
      <c r="E242" s="3">
        <v>2.7777777777777779E-3</v>
      </c>
      <c r="F242" s="2">
        <v>45018</v>
      </c>
      <c r="G242" s="3">
        <v>4.4444444444444446E-2</v>
      </c>
      <c r="H242" s="1" t="s">
        <v>20</v>
      </c>
      <c r="I242" t="s">
        <v>8</v>
      </c>
      <c r="J242" t="s">
        <v>601</v>
      </c>
      <c r="K242" s="9">
        <v>38.97</v>
      </c>
      <c r="L242" t="s">
        <v>28</v>
      </c>
      <c r="M242">
        <v>241</v>
      </c>
      <c r="N242" t="s">
        <v>18</v>
      </c>
      <c r="O242" s="3">
        <f>(Sala[[#This Row],[Hora de Salida]]-Sala[[#This Row],[Hora de llegada]])+IF(Sala[[#This Row],[Estado de la Mesa]]="Ocupada",(TEXT((15/(60*24)),"h:mm")),(TEXT(0,"h:mm")))</f>
        <v>5.2083333333333336E-2</v>
      </c>
      <c r="P242" s="43">
        <f>(SUMIF(Cocina[Número de Orden],Sala[[#This Row],[Número de Orden]],Cocina[Tiempo de Preparación]))</f>
        <v>11</v>
      </c>
      <c r="Q242" s="5" t="str">
        <f>TEXT(((SUMIF(Cocina[Número de Orden],Sala[[#This Row],[Número de Orden]],Cocina[Tiempo de Preparación]))/(60*24)),"h:mm")</f>
        <v>0:11</v>
      </c>
      <c r="R242" s="3">
        <f>MAX((Sala[[#This Row],[Tiempo de permanencia]]-Sala[[#This Row],[Tiempo de preparación (h)]]),0)</f>
        <v>4.4444444444444446E-2</v>
      </c>
      <c r="S242" s="8">
        <f>SUMIF(Cocina[Número de Orden],Sala[[#This Row],[Número de Orden]],Cocina[Ganancia bruta])</f>
        <v>18</v>
      </c>
      <c r="T242" s="8">
        <f>SUMIF(Cocina[Número de Orden],Sala[[#This Row],[Número de Orden]],Cocina[Costo Unitario])</f>
        <v>10</v>
      </c>
      <c r="U242" s="2">
        <f>Sala[[#This Row],[Fecha de Salida]]</f>
        <v>45018</v>
      </c>
      <c r="V242" s="7" t="str">
        <f>TEXT(Sala[[#This Row],[Fecha factura]],"dddd")</f>
        <v>domingo</v>
      </c>
      <c r="W242" t="str">
        <f>IF(Sala[[#This Row],[Tiempo de degustación]]&gt;0,"Sí","No")</f>
        <v>Sí</v>
      </c>
      <c r="X242" t="str">
        <f>IF(Sala[[#This Row],[Cobrada]]="Sí",Sala[[#This Row],[Método de Pago]],"Impago")</f>
        <v>Tarjeta de crédito</v>
      </c>
      <c r="Y242">
        <f>IF(Sala[[#This Row],[Cobrada]]="Sí",Sala[[#This Row],[Propina]],0)</f>
        <v>38.97</v>
      </c>
      <c r="Z242">
        <f>(IF(Sala[[#This Row],[Cobrada]]="Sí",Sala[[#This Row],[Monto total]],0))+Sala[[#This Row],[Propina real]]</f>
        <v>56.97</v>
      </c>
    </row>
    <row r="243" spans="1:26" x14ac:dyDescent="0.25">
      <c r="A243">
        <v>12</v>
      </c>
      <c r="B243" t="s">
        <v>267</v>
      </c>
      <c r="C243">
        <v>2</v>
      </c>
      <c r="D243" s="2">
        <v>45018</v>
      </c>
      <c r="E243" s="3">
        <v>0.15416666666666667</v>
      </c>
      <c r="F243" s="2">
        <v>45018</v>
      </c>
      <c r="G243" s="3">
        <v>0.21458333333333332</v>
      </c>
      <c r="H243" s="1" t="s">
        <v>16</v>
      </c>
      <c r="I243" t="s">
        <v>8</v>
      </c>
      <c r="J243" t="s">
        <v>601</v>
      </c>
      <c r="K243" s="9">
        <v>31.29</v>
      </c>
      <c r="L243" t="s">
        <v>9</v>
      </c>
      <c r="M243">
        <v>242</v>
      </c>
      <c r="N243" t="s">
        <v>29</v>
      </c>
      <c r="O243" s="3">
        <f>(Sala[[#This Row],[Hora de Salida]]-Sala[[#This Row],[Hora de llegada]])+IF(Sala[[#This Row],[Estado de la Mesa]]="Ocupada",(TEXT((15/(60*24)),"h:mm")),(TEXT(0,"h:mm")))</f>
        <v>6.0416666666666646E-2</v>
      </c>
      <c r="P243" s="43">
        <f>(SUMIF(Cocina[Número de Orden],Sala[[#This Row],[Número de Orden]],Cocina[Tiempo de Preparación]))</f>
        <v>99</v>
      </c>
      <c r="Q243" s="5" t="str">
        <f>TEXT(((SUMIF(Cocina[Número de Orden],Sala[[#This Row],[Número de Orden]],Cocina[Tiempo de Preparación]))/(60*24)),"h:mm")</f>
        <v>1:39</v>
      </c>
      <c r="R243" s="3">
        <f>MAX((Sala[[#This Row],[Tiempo de permanencia]]-Sala[[#This Row],[Tiempo de preparación (h)]]),0)</f>
        <v>0</v>
      </c>
      <c r="S243" s="8">
        <f>SUMIF(Cocina[Número de Orden],Sala[[#This Row],[Número de Orden]],Cocina[Ganancia bruta])</f>
        <v>134</v>
      </c>
      <c r="T243" s="8">
        <f>SUMIF(Cocina[Número de Orden],Sala[[#This Row],[Número de Orden]],Cocina[Costo Unitario])</f>
        <v>50</v>
      </c>
      <c r="U243" s="2">
        <f>Sala[[#This Row],[Fecha de Salida]]</f>
        <v>45018</v>
      </c>
      <c r="V243" s="7" t="str">
        <f>TEXT(Sala[[#This Row],[Fecha factura]],"dddd")</f>
        <v>domingo</v>
      </c>
      <c r="W243" t="str">
        <f>IF(Sala[[#This Row],[Tiempo de degustación]]&gt;0,"Sí","No")</f>
        <v>No</v>
      </c>
      <c r="X243" t="str">
        <f>IF(Sala[[#This Row],[Cobrada]]="Sí",Sala[[#This Row],[Método de Pago]],"Impago")</f>
        <v>Impago</v>
      </c>
      <c r="Y243">
        <f>IF(Sala[[#This Row],[Cobrada]]="Sí",Sala[[#This Row],[Propina]],0)</f>
        <v>0</v>
      </c>
      <c r="Z243">
        <f>(IF(Sala[[#This Row],[Cobrada]]="Sí",Sala[[#This Row],[Monto total]],0))+Sala[[#This Row],[Propina real]]</f>
        <v>0</v>
      </c>
    </row>
    <row r="244" spans="1:26" x14ac:dyDescent="0.25">
      <c r="A244">
        <v>4</v>
      </c>
      <c r="B244" t="s">
        <v>268</v>
      </c>
      <c r="C244">
        <v>4</v>
      </c>
      <c r="D244" s="2">
        <v>45018</v>
      </c>
      <c r="E244" s="3">
        <v>2.9166666666666667E-2</v>
      </c>
      <c r="F244" s="2">
        <v>45018</v>
      </c>
      <c r="G244" s="3">
        <v>0.17430555555555555</v>
      </c>
      <c r="H244" s="1" t="s">
        <v>16</v>
      </c>
      <c r="I244" t="s">
        <v>8</v>
      </c>
      <c r="J244" t="s">
        <v>601</v>
      </c>
      <c r="K244" s="9">
        <v>21.45</v>
      </c>
      <c r="L244" t="s">
        <v>17</v>
      </c>
      <c r="M244">
        <v>243</v>
      </c>
      <c r="N244" t="s">
        <v>594</v>
      </c>
      <c r="O244" s="3">
        <f>(Sala[[#This Row],[Hora de Salida]]-Sala[[#This Row],[Hora de llegada]])+IF(Sala[[#This Row],[Estado de la Mesa]]="Ocupada",(TEXT((15/(60*24)),"h:mm")),(TEXT(0,"h:mm")))</f>
        <v>0.14513888888888887</v>
      </c>
      <c r="P244" s="43">
        <f>(SUMIF(Cocina[Número de Orden],Sala[[#This Row],[Número de Orden]],Cocina[Tiempo de Preparación]))</f>
        <v>22</v>
      </c>
      <c r="Q244" s="5" t="str">
        <f>TEXT(((SUMIF(Cocina[Número de Orden],Sala[[#This Row],[Número de Orden]],Cocina[Tiempo de Preparación]))/(60*24)),"h:mm")</f>
        <v>0:22</v>
      </c>
      <c r="R244" s="3">
        <f>MAX((Sala[[#This Row],[Tiempo de permanencia]]-Sala[[#This Row],[Tiempo de preparación (h)]]),0)</f>
        <v>0.12986111111111109</v>
      </c>
      <c r="S244" s="8">
        <f>SUMIF(Cocina[Número de Orden],Sala[[#This Row],[Número de Orden]],Cocina[Ganancia bruta])</f>
        <v>120</v>
      </c>
      <c r="T244" s="8">
        <f>SUMIF(Cocina[Número de Orden],Sala[[#This Row],[Número de Orden]],Cocina[Costo Unitario])</f>
        <v>25</v>
      </c>
      <c r="U244" s="2">
        <f>Sala[[#This Row],[Fecha de Salida]]</f>
        <v>45018</v>
      </c>
      <c r="V244" s="7" t="str">
        <f>TEXT(Sala[[#This Row],[Fecha factura]],"dddd")</f>
        <v>domingo</v>
      </c>
      <c r="W244" t="str">
        <f>IF(Sala[[#This Row],[Tiempo de degustación]]&gt;0,"Sí","No")</f>
        <v>Sí</v>
      </c>
      <c r="X244" t="str">
        <f>IF(Sala[[#This Row],[Cobrada]]="Sí",Sala[[#This Row],[Método de Pago]],"Impago")</f>
        <v>Tarjeta de crédito</v>
      </c>
      <c r="Y244">
        <f>IF(Sala[[#This Row],[Cobrada]]="Sí",Sala[[#This Row],[Propina]],0)</f>
        <v>21.45</v>
      </c>
      <c r="Z244">
        <f>(IF(Sala[[#This Row],[Cobrada]]="Sí",Sala[[#This Row],[Monto total]],0))+Sala[[#This Row],[Propina real]]</f>
        <v>141.44999999999999</v>
      </c>
    </row>
    <row r="245" spans="1:26" x14ac:dyDescent="0.25">
      <c r="A245">
        <v>17</v>
      </c>
      <c r="B245" t="s">
        <v>89</v>
      </c>
      <c r="C245">
        <v>6</v>
      </c>
      <c r="D245" s="2">
        <v>45018</v>
      </c>
      <c r="E245" s="3">
        <v>0.15555555555555556</v>
      </c>
      <c r="F245" s="2">
        <v>45018</v>
      </c>
      <c r="G245" s="3">
        <v>0.25069444444444444</v>
      </c>
      <c r="H245" s="1" t="s">
        <v>7</v>
      </c>
      <c r="I245" t="s">
        <v>8</v>
      </c>
      <c r="J245" t="s">
        <v>13</v>
      </c>
      <c r="K245" s="9">
        <v>17.649999999999999</v>
      </c>
      <c r="L245" t="s">
        <v>9</v>
      </c>
      <c r="M245">
        <v>244</v>
      </c>
      <c r="N245" t="s">
        <v>593</v>
      </c>
      <c r="O245" s="3">
        <f>(Sala[[#This Row],[Hora de Salida]]-Sala[[#This Row],[Hora de llegada]])+IF(Sala[[#This Row],[Estado de la Mesa]]="Ocupada",(TEXT((15/(60*24)),"h:mm")),(TEXT(0,"h:mm")))</f>
        <v>9.5138888888888884E-2</v>
      </c>
      <c r="P245" s="43">
        <f>(SUMIF(Cocina[Número de Orden],Sala[[#This Row],[Número de Orden]],Cocina[Tiempo de Preparación]))</f>
        <v>89</v>
      </c>
      <c r="Q245" s="5" t="str">
        <f>TEXT(((SUMIF(Cocina[Número de Orden],Sala[[#This Row],[Número de Orden]],Cocina[Tiempo de Preparación]))/(60*24)),"h:mm")</f>
        <v>1:29</v>
      </c>
      <c r="R245" s="3">
        <f>MAX((Sala[[#This Row],[Tiempo de permanencia]]-Sala[[#This Row],[Tiempo de preparación (h)]]),0)</f>
        <v>3.3333333333333326E-2</v>
      </c>
      <c r="S245" s="8">
        <f>SUMIF(Cocina[Número de Orden],Sala[[#This Row],[Número de Orden]],Cocina[Ganancia bruta])</f>
        <v>158</v>
      </c>
      <c r="T245" s="8">
        <f>SUMIF(Cocina[Número de Orden],Sala[[#This Row],[Número de Orden]],Cocina[Costo Unitario])</f>
        <v>36</v>
      </c>
      <c r="U245" s="2">
        <f>Sala[[#This Row],[Fecha de Salida]]</f>
        <v>45018</v>
      </c>
      <c r="V245" s="7" t="str">
        <f>TEXT(Sala[[#This Row],[Fecha factura]],"dddd")</f>
        <v>domingo</v>
      </c>
      <c r="W245" t="str">
        <f>IF(Sala[[#This Row],[Tiempo de degustación]]&gt;0,"Sí","No")</f>
        <v>Sí</v>
      </c>
      <c r="X245" t="str">
        <f>IF(Sala[[#This Row],[Cobrada]]="Sí",Sala[[#This Row],[Método de Pago]],"Impago")</f>
        <v>Efectivo</v>
      </c>
      <c r="Y245">
        <f>IF(Sala[[#This Row],[Cobrada]]="Sí",Sala[[#This Row],[Propina]],0)</f>
        <v>17.649999999999999</v>
      </c>
      <c r="Z245">
        <f>(IF(Sala[[#This Row],[Cobrada]]="Sí",Sala[[#This Row],[Monto total]],0))+Sala[[#This Row],[Propina real]]</f>
        <v>175.65</v>
      </c>
    </row>
    <row r="246" spans="1:26" x14ac:dyDescent="0.25">
      <c r="A246">
        <v>11</v>
      </c>
      <c r="B246" t="s">
        <v>269</v>
      </c>
      <c r="C246">
        <v>1</v>
      </c>
      <c r="D246" s="2">
        <v>45018</v>
      </c>
      <c r="E246" s="3">
        <v>0.14652777777777778</v>
      </c>
      <c r="F246" s="2">
        <v>45018</v>
      </c>
      <c r="G246" s="3">
        <v>0.28958333333333336</v>
      </c>
      <c r="H246" s="1" t="s">
        <v>11</v>
      </c>
      <c r="I246" t="s">
        <v>8</v>
      </c>
      <c r="J246" t="s">
        <v>601</v>
      </c>
      <c r="K246" s="9">
        <v>14.82</v>
      </c>
      <c r="L246" t="s">
        <v>9</v>
      </c>
      <c r="M246">
        <v>245</v>
      </c>
      <c r="N246" t="s">
        <v>32</v>
      </c>
      <c r="O246" s="3">
        <f>(Sala[[#This Row],[Hora de Salida]]-Sala[[#This Row],[Hora de llegada]])+IF(Sala[[#This Row],[Estado de la Mesa]]="Ocupada",(TEXT((15/(60*24)),"h:mm")),(TEXT(0,"h:mm")))</f>
        <v>0.14305555555555557</v>
      </c>
      <c r="P246" s="43">
        <f>(SUMIF(Cocina[Número de Orden],Sala[[#This Row],[Número de Orden]],Cocina[Tiempo de Preparación]))</f>
        <v>116</v>
      </c>
      <c r="Q246" s="5" t="str">
        <f>TEXT(((SUMIF(Cocina[Número de Orden],Sala[[#This Row],[Número de Orden]],Cocina[Tiempo de Preparación]))/(60*24)),"h:mm")</f>
        <v>1:56</v>
      </c>
      <c r="R246" s="3">
        <f>MAX((Sala[[#This Row],[Tiempo de permanencia]]-Sala[[#This Row],[Tiempo de preparación (h)]]),0)</f>
        <v>6.2500000000000014E-2</v>
      </c>
      <c r="S246" s="8">
        <f>SUMIF(Cocina[Número de Orden],Sala[[#This Row],[Número de Orden]],Cocina[Ganancia bruta])</f>
        <v>273</v>
      </c>
      <c r="T246" s="8">
        <f>SUMIF(Cocina[Número de Orden],Sala[[#This Row],[Número de Orden]],Cocina[Costo Unitario])</f>
        <v>76</v>
      </c>
      <c r="U246" s="2">
        <f>Sala[[#This Row],[Fecha de Salida]]</f>
        <v>45018</v>
      </c>
      <c r="V246" s="7" t="str">
        <f>TEXT(Sala[[#This Row],[Fecha factura]],"dddd")</f>
        <v>domingo</v>
      </c>
      <c r="W246" t="str">
        <f>IF(Sala[[#This Row],[Tiempo de degustación]]&gt;0,"Sí","No")</f>
        <v>Sí</v>
      </c>
      <c r="X246" t="str">
        <f>IF(Sala[[#This Row],[Cobrada]]="Sí",Sala[[#This Row],[Método de Pago]],"Impago")</f>
        <v>Tarjeta de crédito</v>
      </c>
      <c r="Y246">
        <f>IF(Sala[[#This Row],[Cobrada]]="Sí",Sala[[#This Row],[Propina]],0)</f>
        <v>14.82</v>
      </c>
      <c r="Z246">
        <f>(IF(Sala[[#This Row],[Cobrada]]="Sí",Sala[[#This Row],[Monto total]],0))+Sala[[#This Row],[Propina real]]</f>
        <v>287.82</v>
      </c>
    </row>
    <row r="247" spans="1:26" x14ac:dyDescent="0.25">
      <c r="A247">
        <v>2</v>
      </c>
      <c r="B247" t="s">
        <v>267</v>
      </c>
      <c r="C247">
        <v>6</v>
      </c>
      <c r="D247" s="2">
        <v>45018</v>
      </c>
      <c r="E247" s="3">
        <v>7.6388888888888895E-2</v>
      </c>
      <c r="F247" s="2">
        <v>45018</v>
      </c>
      <c r="G247" s="3">
        <v>0.17291666666666666</v>
      </c>
      <c r="H247" s="1" t="s">
        <v>16</v>
      </c>
      <c r="I247" t="s">
        <v>8</v>
      </c>
      <c r="J247" t="s">
        <v>601</v>
      </c>
      <c r="K247" s="9">
        <v>42.75</v>
      </c>
      <c r="L247" t="s">
        <v>17</v>
      </c>
      <c r="M247">
        <v>246</v>
      </c>
      <c r="N247" t="s">
        <v>32</v>
      </c>
      <c r="O247" s="3">
        <f>(Sala[[#This Row],[Hora de Salida]]-Sala[[#This Row],[Hora de llegada]])+IF(Sala[[#This Row],[Estado de la Mesa]]="Ocupada",(TEXT((15/(60*24)),"h:mm")),(TEXT(0,"h:mm")))</f>
        <v>9.6527777777777768E-2</v>
      </c>
      <c r="P247" s="43">
        <f>(SUMIF(Cocina[Número de Orden],Sala[[#This Row],[Número de Orden]],Cocina[Tiempo de Preparación]))</f>
        <v>146</v>
      </c>
      <c r="Q247" s="5" t="str">
        <f>TEXT(((SUMIF(Cocina[Número de Orden],Sala[[#This Row],[Número de Orden]],Cocina[Tiempo de Preparación]))/(60*24)),"h:mm")</f>
        <v>2:26</v>
      </c>
      <c r="R247" s="3">
        <f>MAX((Sala[[#This Row],[Tiempo de permanencia]]-Sala[[#This Row],[Tiempo de preparación (h)]]),0)</f>
        <v>0</v>
      </c>
      <c r="S247" s="8">
        <f>SUMIF(Cocina[Número de Orden],Sala[[#This Row],[Número de Orden]],Cocina[Ganancia bruta])</f>
        <v>327</v>
      </c>
      <c r="T247" s="8">
        <f>SUMIF(Cocina[Número de Orden],Sala[[#This Row],[Número de Orden]],Cocina[Costo Unitario])</f>
        <v>70</v>
      </c>
      <c r="U247" s="2">
        <f>Sala[[#This Row],[Fecha de Salida]]</f>
        <v>45018</v>
      </c>
      <c r="V247" s="7" t="str">
        <f>TEXT(Sala[[#This Row],[Fecha factura]],"dddd")</f>
        <v>domingo</v>
      </c>
      <c r="W247" t="str">
        <f>IF(Sala[[#This Row],[Tiempo de degustación]]&gt;0,"Sí","No")</f>
        <v>No</v>
      </c>
      <c r="X247" t="str">
        <f>IF(Sala[[#This Row],[Cobrada]]="Sí",Sala[[#This Row],[Método de Pago]],"Impago")</f>
        <v>Impago</v>
      </c>
      <c r="Y247">
        <f>IF(Sala[[#This Row],[Cobrada]]="Sí",Sala[[#This Row],[Propina]],0)</f>
        <v>0</v>
      </c>
      <c r="Z247">
        <f>(IF(Sala[[#This Row],[Cobrada]]="Sí",Sala[[#This Row],[Monto total]],0))+Sala[[#This Row],[Propina real]]</f>
        <v>0</v>
      </c>
    </row>
    <row r="248" spans="1:26" x14ac:dyDescent="0.25">
      <c r="A248">
        <v>11</v>
      </c>
      <c r="B248" t="s">
        <v>193</v>
      </c>
      <c r="C248">
        <v>6</v>
      </c>
      <c r="D248" s="2">
        <v>45018</v>
      </c>
      <c r="E248" s="3">
        <v>0.10694444444444444</v>
      </c>
      <c r="F248" s="2">
        <v>45018</v>
      </c>
      <c r="G248" s="3">
        <v>0.22291666666666668</v>
      </c>
      <c r="H248" s="1" t="s">
        <v>16</v>
      </c>
      <c r="I248" t="s">
        <v>8</v>
      </c>
      <c r="J248" t="s">
        <v>601</v>
      </c>
      <c r="K248" s="9">
        <v>49.07</v>
      </c>
      <c r="L248" t="s">
        <v>28</v>
      </c>
      <c r="M248">
        <v>247</v>
      </c>
      <c r="N248" t="s">
        <v>44</v>
      </c>
      <c r="O248" s="3">
        <f>(Sala[[#This Row],[Hora de Salida]]-Sala[[#This Row],[Hora de llegada]])+IF(Sala[[#This Row],[Estado de la Mesa]]="Ocupada",(TEXT((15/(60*24)),"h:mm")),(TEXT(0,"h:mm")))</f>
        <v>0.12638888888888891</v>
      </c>
      <c r="P248" s="43">
        <f>(SUMIF(Cocina[Número de Orden],Sala[[#This Row],[Número de Orden]],Cocina[Tiempo de Preparación]))</f>
        <v>59</v>
      </c>
      <c r="Q248" s="5" t="str">
        <f>TEXT(((SUMIF(Cocina[Número de Orden],Sala[[#This Row],[Número de Orden]],Cocina[Tiempo de Preparación]))/(60*24)),"h:mm")</f>
        <v>0:59</v>
      </c>
      <c r="R248" s="3">
        <f>MAX((Sala[[#This Row],[Tiempo de permanencia]]-Sala[[#This Row],[Tiempo de preparación (h)]]),0)</f>
        <v>8.5416666666666696E-2</v>
      </c>
      <c r="S248" s="8">
        <f>SUMIF(Cocina[Número de Orden],Sala[[#This Row],[Número de Orden]],Cocina[Ganancia bruta])</f>
        <v>66</v>
      </c>
      <c r="T248" s="8">
        <f>SUMIF(Cocina[Número de Orden],Sala[[#This Row],[Número de Orden]],Cocina[Costo Unitario])</f>
        <v>20</v>
      </c>
      <c r="U248" s="2">
        <f>Sala[[#This Row],[Fecha de Salida]]</f>
        <v>45018</v>
      </c>
      <c r="V248" s="7" t="str">
        <f>TEXT(Sala[[#This Row],[Fecha factura]],"dddd")</f>
        <v>domingo</v>
      </c>
      <c r="W248" t="str">
        <f>IF(Sala[[#This Row],[Tiempo de degustación]]&gt;0,"Sí","No")</f>
        <v>Sí</v>
      </c>
      <c r="X248" t="str">
        <f>IF(Sala[[#This Row],[Cobrada]]="Sí",Sala[[#This Row],[Método de Pago]],"Impago")</f>
        <v>Tarjeta de crédito</v>
      </c>
      <c r="Y248">
        <f>IF(Sala[[#This Row],[Cobrada]]="Sí",Sala[[#This Row],[Propina]],0)</f>
        <v>49.07</v>
      </c>
      <c r="Z248">
        <f>(IF(Sala[[#This Row],[Cobrada]]="Sí",Sala[[#This Row],[Monto total]],0))+Sala[[#This Row],[Propina real]]</f>
        <v>115.07</v>
      </c>
    </row>
    <row r="249" spans="1:26" x14ac:dyDescent="0.25">
      <c r="A249">
        <v>12</v>
      </c>
      <c r="B249" t="s">
        <v>270</v>
      </c>
      <c r="C249">
        <v>6</v>
      </c>
      <c r="D249" s="2">
        <v>45018</v>
      </c>
      <c r="E249" s="3">
        <v>1.8055555555555554E-2</v>
      </c>
      <c r="F249" s="2">
        <v>45018</v>
      </c>
      <c r="G249" s="3">
        <v>9.583333333333334E-2</v>
      </c>
      <c r="H249" s="1" t="s">
        <v>16</v>
      </c>
      <c r="I249" t="s">
        <v>8</v>
      </c>
      <c r="J249" t="s">
        <v>600</v>
      </c>
      <c r="K249" s="9">
        <v>18.690000000000001</v>
      </c>
      <c r="L249" t="s">
        <v>28</v>
      </c>
      <c r="M249">
        <v>248</v>
      </c>
      <c r="N249" t="s">
        <v>47</v>
      </c>
      <c r="O249" s="3">
        <f>(Sala[[#This Row],[Hora de Salida]]-Sala[[#This Row],[Hora de llegada]])+IF(Sala[[#This Row],[Estado de la Mesa]]="Ocupada",(TEXT((15/(60*24)),"h:mm")),(TEXT(0,"h:mm")))</f>
        <v>8.819444444444445E-2</v>
      </c>
      <c r="P249" s="43">
        <f>(SUMIF(Cocina[Número de Orden],Sala[[#This Row],[Número de Orden]],Cocina[Tiempo de Preparación]))</f>
        <v>120</v>
      </c>
      <c r="Q249" s="5" t="str">
        <f>TEXT(((SUMIF(Cocina[Número de Orden],Sala[[#This Row],[Número de Orden]],Cocina[Tiempo de Preparación]))/(60*24)),"h:mm")</f>
        <v>2:00</v>
      </c>
      <c r="R249" s="3">
        <f>MAX((Sala[[#This Row],[Tiempo de permanencia]]-Sala[[#This Row],[Tiempo de preparación (h)]]),0)</f>
        <v>4.8611111111111216E-3</v>
      </c>
      <c r="S249" s="8">
        <f>SUMIF(Cocina[Número de Orden],Sala[[#This Row],[Número de Orden]],Cocina[Ganancia bruta])</f>
        <v>225</v>
      </c>
      <c r="T249" s="8">
        <f>SUMIF(Cocina[Número de Orden],Sala[[#This Row],[Número de Orden]],Cocina[Costo Unitario])</f>
        <v>68</v>
      </c>
      <c r="U249" s="2">
        <f>Sala[[#This Row],[Fecha de Salida]]</f>
        <v>45018</v>
      </c>
      <c r="V249" s="7" t="str">
        <f>TEXT(Sala[[#This Row],[Fecha factura]],"dddd")</f>
        <v>domingo</v>
      </c>
      <c r="W249" t="str">
        <f>IF(Sala[[#This Row],[Tiempo de degustación]]&gt;0,"Sí","No")</f>
        <v>Sí</v>
      </c>
      <c r="X249" t="str">
        <f>IF(Sala[[#This Row],[Cobrada]]="Sí",Sala[[#This Row],[Método de Pago]],"Impago")</f>
        <v>Tarjeta de débito</v>
      </c>
      <c r="Y249">
        <f>IF(Sala[[#This Row],[Cobrada]]="Sí",Sala[[#This Row],[Propina]],0)</f>
        <v>18.690000000000001</v>
      </c>
      <c r="Z249">
        <f>(IF(Sala[[#This Row],[Cobrada]]="Sí",Sala[[#This Row],[Monto total]],0))+Sala[[#This Row],[Propina real]]</f>
        <v>243.69</v>
      </c>
    </row>
    <row r="250" spans="1:26" x14ac:dyDescent="0.25">
      <c r="A250">
        <v>8</v>
      </c>
      <c r="B250" t="s">
        <v>271</v>
      </c>
      <c r="C250">
        <v>6</v>
      </c>
      <c r="D250" s="2">
        <v>45018</v>
      </c>
      <c r="E250" s="3">
        <v>4.027777777777778E-2</v>
      </c>
      <c r="F250" s="2">
        <v>45018</v>
      </c>
      <c r="G250" s="3">
        <v>0.16319444444444445</v>
      </c>
      <c r="H250" s="1" t="s">
        <v>16</v>
      </c>
      <c r="I250" t="s">
        <v>25</v>
      </c>
      <c r="J250" t="s">
        <v>601</v>
      </c>
      <c r="K250" s="9">
        <v>47.71</v>
      </c>
      <c r="L250" t="s">
        <v>28</v>
      </c>
      <c r="M250">
        <v>249</v>
      </c>
      <c r="N250" t="s">
        <v>594</v>
      </c>
      <c r="O250" s="3">
        <f>(Sala[[#This Row],[Hora de Salida]]-Sala[[#This Row],[Hora de llegada]])+IF(Sala[[#This Row],[Estado de la Mesa]]="Ocupada",(TEXT((15/(60*24)),"h:mm")),(TEXT(0,"h:mm")))</f>
        <v>0.13333333333333333</v>
      </c>
      <c r="P250" s="43">
        <f>(SUMIF(Cocina[Número de Orden],Sala[[#This Row],[Número de Orden]],Cocina[Tiempo de Preparación]))</f>
        <v>109</v>
      </c>
      <c r="Q250" s="5" t="str">
        <f>TEXT(((SUMIF(Cocina[Número de Orden],Sala[[#This Row],[Número de Orden]],Cocina[Tiempo de Preparación]))/(60*24)),"h:mm")</f>
        <v>1:49</v>
      </c>
      <c r="R250" s="3">
        <f>MAX((Sala[[#This Row],[Tiempo de permanencia]]-Sala[[#This Row],[Tiempo de preparación (h)]]),0)</f>
        <v>5.7638888888888892E-2</v>
      </c>
      <c r="S250" s="8">
        <f>SUMIF(Cocina[Número de Orden],Sala[[#This Row],[Número de Orden]],Cocina[Ganancia bruta])</f>
        <v>80</v>
      </c>
      <c r="T250" s="8">
        <f>SUMIF(Cocina[Número de Orden],Sala[[#This Row],[Número de Orden]],Cocina[Costo Unitario])</f>
        <v>23</v>
      </c>
      <c r="U250" s="2">
        <f>Sala[[#This Row],[Fecha de Salida]]</f>
        <v>45018</v>
      </c>
      <c r="V250" s="7" t="str">
        <f>TEXT(Sala[[#This Row],[Fecha factura]],"dddd")</f>
        <v>domingo</v>
      </c>
      <c r="W250" t="str">
        <f>IF(Sala[[#This Row],[Tiempo de degustación]]&gt;0,"Sí","No")</f>
        <v>Sí</v>
      </c>
      <c r="X250" t="str">
        <f>IF(Sala[[#This Row],[Cobrada]]="Sí",Sala[[#This Row],[Método de Pago]],"Impago")</f>
        <v>Tarjeta de crédito</v>
      </c>
      <c r="Y250">
        <f>IF(Sala[[#This Row],[Cobrada]]="Sí",Sala[[#This Row],[Propina]],0)</f>
        <v>47.71</v>
      </c>
      <c r="Z250">
        <f>(IF(Sala[[#This Row],[Cobrada]]="Sí",Sala[[#This Row],[Monto total]],0))+Sala[[#This Row],[Propina real]]</f>
        <v>127.71000000000001</v>
      </c>
    </row>
    <row r="251" spans="1:26" x14ac:dyDescent="0.25">
      <c r="A251">
        <v>8</v>
      </c>
      <c r="B251" t="s">
        <v>272</v>
      </c>
      <c r="C251">
        <v>2</v>
      </c>
      <c r="D251" s="2">
        <v>45018</v>
      </c>
      <c r="E251" s="3">
        <v>0.12222222222222222</v>
      </c>
      <c r="F251" s="2">
        <v>45018</v>
      </c>
      <c r="G251" s="3">
        <v>0.27291666666666664</v>
      </c>
      <c r="H251" s="1" t="s">
        <v>23</v>
      </c>
      <c r="I251" t="s">
        <v>8</v>
      </c>
      <c r="J251" t="s">
        <v>601</v>
      </c>
      <c r="K251" s="9">
        <v>23.21</v>
      </c>
      <c r="L251" t="s">
        <v>17</v>
      </c>
      <c r="M251">
        <v>250</v>
      </c>
      <c r="N251" t="s">
        <v>594</v>
      </c>
      <c r="O251" s="3">
        <f>(Sala[[#This Row],[Hora de Salida]]-Sala[[#This Row],[Hora de llegada]])+IF(Sala[[#This Row],[Estado de la Mesa]]="Ocupada",(TEXT((15/(60*24)),"h:mm")),(TEXT(0,"h:mm")))</f>
        <v>0.15069444444444441</v>
      </c>
      <c r="P251" s="43">
        <f>(SUMIF(Cocina[Número de Orden],Sala[[#This Row],[Número de Orden]],Cocina[Tiempo de Preparación]))</f>
        <v>29</v>
      </c>
      <c r="Q251" s="5" t="str">
        <f>TEXT(((SUMIF(Cocina[Número de Orden],Sala[[#This Row],[Número de Orden]],Cocina[Tiempo de Preparación]))/(60*24)),"h:mm")</f>
        <v>0:29</v>
      </c>
      <c r="R251" s="3">
        <f>MAX((Sala[[#This Row],[Tiempo de permanencia]]-Sala[[#This Row],[Tiempo de preparación (h)]]),0)</f>
        <v>0.13055555555555551</v>
      </c>
      <c r="S251" s="8">
        <f>SUMIF(Cocina[Número de Orden],Sala[[#This Row],[Número de Orden]],Cocina[Ganancia bruta])</f>
        <v>20</v>
      </c>
      <c r="T251" s="8">
        <f>SUMIF(Cocina[Número de Orden],Sala[[#This Row],[Número de Orden]],Cocina[Costo Unitario])</f>
        <v>12</v>
      </c>
      <c r="U251" s="2">
        <f>Sala[[#This Row],[Fecha de Salida]]</f>
        <v>45018</v>
      </c>
      <c r="V251" s="7" t="str">
        <f>TEXT(Sala[[#This Row],[Fecha factura]],"dddd")</f>
        <v>domingo</v>
      </c>
      <c r="W251" t="str">
        <f>IF(Sala[[#This Row],[Tiempo de degustación]]&gt;0,"Sí","No")</f>
        <v>Sí</v>
      </c>
      <c r="X251" t="str">
        <f>IF(Sala[[#This Row],[Cobrada]]="Sí",Sala[[#This Row],[Método de Pago]],"Impago")</f>
        <v>Tarjeta de crédito</v>
      </c>
      <c r="Y251">
        <f>IF(Sala[[#This Row],[Cobrada]]="Sí",Sala[[#This Row],[Propina]],0)</f>
        <v>23.21</v>
      </c>
      <c r="Z251">
        <f>(IF(Sala[[#This Row],[Cobrada]]="Sí",Sala[[#This Row],[Monto total]],0))+Sala[[#This Row],[Propina real]]</f>
        <v>43.21</v>
      </c>
    </row>
    <row r="252" spans="1:26" x14ac:dyDescent="0.25">
      <c r="A252">
        <v>12</v>
      </c>
      <c r="B252" t="s">
        <v>273</v>
      </c>
      <c r="C252">
        <v>6</v>
      </c>
      <c r="D252" s="2">
        <v>45018</v>
      </c>
      <c r="E252" s="3">
        <v>5.5555555555555552E-2</v>
      </c>
      <c r="F252" s="2">
        <v>45018</v>
      </c>
      <c r="G252" s="3">
        <v>0.18333333333333332</v>
      </c>
      <c r="H252" s="1" t="s">
        <v>11</v>
      </c>
      <c r="I252" t="s">
        <v>8</v>
      </c>
      <c r="J252" t="s">
        <v>601</v>
      </c>
      <c r="K252" s="9">
        <v>13.69</v>
      </c>
      <c r="L252" t="s">
        <v>28</v>
      </c>
      <c r="M252">
        <v>251</v>
      </c>
      <c r="N252" t="s">
        <v>34</v>
      </c>
      <c r="O252" s="3">
        <f>(Sala[[#This Row],[Hora de Salida]]-Sala[[#This Row],[Hora de llegada]])+IF(Sala[[#This Row],[Estado de la Mesa]]="Ocupada",(TEXT((15/(60*24)),"h:mm")),(TEXT(0,"h:mm")))</f>
        <v>0.13819444444444443</v>
      </c>
      <c r="P252" s="43">
        <f>(SUMIF(Cocina[Número de Orden],Sala[[#This Row],[Número de Orden]],Cocina[Tiempo de Preparación]))</f>
        <v>122</v>
      </c>
      <c r="Q252" s="5" t="str">
        <f>TEXT(((SUMIF(Cocina[Número de Orden],Sala[[#This Row],[Número de Orden]],Cocina[Tiempo de Preparación]))/(60*24)),"h:mm")</f>
        <v>2:02</v>
      </c>
      <c r="R252" s="3">
        <f>MAX((Sala[[#This Row],[Tiempo de permanencia]]-Sala[[#This Row],[Tiempo de preparación (h)]]),0)</f>
        <v>5.3472222222222199E-2</v>
      </c>
      <c r="S252" s="8">
        <f>SUMIF(Cocina[Número de Orden],Sala[[#This Row],[Número de Orden]],Cocina[Ganancia bruta])</f>
        <v>109</v>
      </c>
      <c r="T252" s="8">
        <f>SUMIF(Cocina[Número de Orden],Sala[[#This Row],[Número de Orden]],Cocina[Costo Unitario])</f>
        <v>53</v>
      </c>
      <c r="U252" s="2">
        <f>Sala[[#This Row],[Fecha de Salida]]</f>
        <v>45018</v>
      </c>
      <c r="V252" s="7" t="str">
        <f>TEXT(Sala[[#This Row],[Fecha factura]],"dddd")</f>
        <v>domingo</v>
      </c>
      <c r="W252" t="str">
        <f>IF(Sala[[#This Row],[Tiempo de degustación]]&gt;0,"Sí","No")</f>
        <v>Sí</v>
      </c>
      <c r="X252" t="str">
        <f>IF(Sala[[#This Row],[Cobrada]]="Sí",Sala[[#This Row],[Método de Pago]],"Impago")</f>
        <v>Tarjeta de crédito</v>
      </c>
      <c r="Y252">
        <f>IF(Sala[[#This Row],[Cobrada]]="Sí",Sala[[#This Row],[Propina]],0)</f>
        <v>13.69</v>
      </c>
      <c r="Z252">
        <f>(IF(Sala[[#This Row],[Cobrada]]="Sí",Sala[[#This Row],[Monto total]],0))+Sala[[#This Row],[Propina real]]</f>
        <v>122.69</v>
      </c>
    </row>
    <row r="253" spans="1:26" x14ac:dyDescent="0.25">
      <c r="A253">
        <v>4</v>
      </c>
      <c r="B253" t="s">
        <v>274</v>
      </c>
      <c r="C253">
        <v>3</v>
      </c>
      <c r="D253" s="2">
        <v>45018</v>
      </c>
      <c r="E253" s="3">
        <v>2.7083333333333334E-2</v>
      </c>
      <c r="F253" s="2">
        <v>45018</v>
      </c>
      <c r="G253" s="3">
        <v>0.18333333333333332</v>
      </c>
      <c r="H253" s="1" t="s">
        <v>23</v>
      </c>
      <c r="I253" t="s">
        <v>8</v>
      </c>
      <c r="J253" t="s">
        <v>601</v>
      </c>
      <c r="K253" s="9">
        <v>43.81</v>
      </c>
      <c r="L253" t="s">
        <v>17</v>
      </c>
      <c r="M253">
        <v>252</v>
      </c>
      <c r="N253" t="s">
        <v>14</v>
      </c>
      <c r="O253" s="3">
        <f>(Sala[[#This Row],[Hora de Salida]]-Sala[[#This Row],[Hora de llegada]])+IF(Sala[[#This Row],[Estado de la Mesa]]="Ocupada",(TEXT((15/(60*24)),"h:mm")),(TEXT(0,"h:mm")))</f>
        <v>0.15625</v>
      </c>
      <c r="P253" s="43">
        <f>(SUMIF(Cocina[Número de Orden],Sala[[#This Row],[Número de Orden]],Cocina[Tiempo de Preparación]))</f>
        <v>84</v>
      </c>
      <c r="Q253" s="5" t="str">
        <f>TEXT(((SUMIF(Cocina[Número de Orden],Sala[[#This Row],[Número de Orden]],Cocina[Tiempo de Preparación]))/(60*24)),"h:mm")</f>
        <v>1:24</v>
      </c>
      <c r="R253" s="3">
        <f>MAX((Sala[[#This Row],[Tiempo de permanencia]]-Sala[[#This Row],[Tiempo de preparación (h)]]),0)</f>
        <v>9.7916666666666666E-2</v>
      </c>
      <c r="S253" s="8">
        <f>SUMIF(Cocina[Número de Orden],Sala[[#This Row],[Número de Orden]],Cocina[Ganancia bruta])</f>
        <v>102</v>
      </c>
      <c r="T253" s="8">
        <f>SUMIF(Cocina[Número de Orden],Sala[[#This Row],[Número de Orden]],Cocina[Costo Unitario])</f>
        <v>30</v>
      </c>
      <c r="U253" s="2">
        <f>Sala[[#This Row],[Fecha de Salida]]</f>
        <v>45018</v>
      </c>
      <c r="V253" s="7" t="str">
        <f>TEXT(Sala[[#This Row],[Fecha factura]],"dddd")</f>
        <v>domingo</v>
      </c>
      <c r="W253" t="str">
        <f>IF(Sala[[#This Row],[Tiempo de degustación]]&gt;0,"Sí","No")</f>
        <v>Sí</v>
      </c>
      <c r="X253" t="str">
        <f>IF(Sala[[#This Row],[Cobrada]]="Sí",Sala[[#This Row],[Método de Pago]],"Impago")</f>
        <v>Tarjeta de crédito</v>
      </c>
      <c r="Y253">
        <f>IF(Sala[[#This Row],[Cobrada]]="Sí",Sala[[#This Row],[Propina]],0)</f>
        <v>43.81</v>
      </c>
      <c r="Z253">
        <f>(IF(Sala[[#This Row],[Cobrada]]="Sí",Sala[[#This Row],[Monto total]],0))+Sala[[#This Row],[Propina real]]</f>
        <v>145.81</v>
      </c>
    </row>
    <row r="254" spans="1:26" x14ac:dyDescent="0.25">
      <c r="A254">
        <v>8</v>
      </c>
      <c r="B254" t="s">
        <v>275</v>
      </c>
      <c r="C254">
        <v>2</v>
      </c>
      <c r="D254" s="2">
        <v>45018</v>
      </c>
      <c r="E254" s="3">
        <v>3.7499999999999999E-2</v>
      </c>
      <c r="F254" s="2">
        <v>45018</v>
      </c>
      <c r="G254" s="3">
        <v>0.15625</v>
      </c>
      <c r="H254" s="1" t="s">
        <v>7</v>
      </c>
      <c r="I254" t="s">
        <v>25</v>
      </c>
      <c r="J254" t="s">
        <v>601</v>
      </c>
      <c r="K254" s="9">
        <v>34.69</v>
      </c>
      <c r="L254" t="s">
        <v>28</v>
      </c>
      <c r="M254">
        <v>253</v>
      </c>
      <c r="N254" t="s">
        <v>59</v>
      </c>
      <c r="O254" s="3">
        <f>(Sala[[#This Row],[Hora de Salida]]-Sala[[#This Row],[Hora de llegada]])+IF(Sala[[#This Row],[Estado de la Mesa]]="Ocupada",(TEXT((15/(60*24)),"h:mm")),(TEXT(0,"h:mm")))</f>
        <v>0.12916666666666665</v>
      </c>
      <c r="P254" s="43">
        <f>(SUMIF(Cocina[Número de Orden],Sala[[#This Row],[Número de Orden]],Cocina[Tiempo de Preparación]))</f>
        <v>55</v>
      </c>
      <c r="Q254" s="5" t="str">
        <f>TEXT(((SUMIF(Cocina[Número de Orden],Sala[[#This Row],[Número de Orden]],Cocina[Tiempo de Preparación]))/(60*24)),"h:mm")</f>
        <v>0:55</v>
      </c>
      <c r="R254" s="3">
        <f>MAX((Sala[[#This Row],[Tiempo de permanencia]]-Sala[[#This Row],[Tiempo de preparación (h)]]),0)</f>
        <v>9.0972222222222204E-2</v>
      </c>
      <c r="S254" s="8">
        <f>SUMIF(Cocina[Número de Orden],Sala[[#This Row],[Número de Orden]],Cocina[Ganancia bruta])</f>
        <v>154</v>
      </c>
      <c r="T254" s="8">
        <f>SUMIF(Cocina[Número de Orden],Sala[[#This Row],[Número de Orden]],Cocina[Costo Unitario])</f>
        <v>45</v>
      </c>
      <c r="U254" s="2">
        <f>Sala[[#This Row],[Fecha de Salida]]</f>
        <v>45018</v>
      </c>
      <c r="V254" s="7" t="str">
        <f>TEXT(Sala[[#This Row],[Fecha factura]],"dddd")</f>
        <v>domingo</v>
      </c>
      <c r="W254" t="str">
        <f>IF(Sala[[#This Row],[Tiempo de degustación]]&gt;0,"Sí","No")</f>
        <v>Sí</v>
      </c>
      <c r="X254" t="str">
        <f>IF(Sala[[#This Row],[Cobrada]]="Sí",Sala[[#This Row],[Método de Pago]],"Impago")</f>
        <v>Tarjeta de crédito</v>
      </c>
      <c r="Y254">
        <f>IF(Sala[[#This Row],[Cobrada]]="Sí",Sala[[#This Row],[Propina]],0)</f>
        <v>34.69</v>
      </c>
      <c r="Z254">
        <f>(IF(Sala[[#This Row],[Cobrada]]="Sí",Sala[[#This Row],[Monto total]],0))+Sala[[#This Row],[Propina real]]</f>
        <v>188.69</v>
      </c>
    </row>
    <row r="255" spans="1:26" x14ac:dyDescent="0.25">
      <c r="A255">
        <v>10</v>
      </c>
      <c r="B255" t="s">
        <v>276</v>
      </c>
      <c r="C255">
        <v>6</v>
      </c>
      <c r="D255" s="2">
        <v>45018</v>
      </c>
      <c r="E255" s="3">
        <v>0.12847222222222221</v>
      </c>
      <c r="F255" s="2">
        <v>45018</v>
      </c>
      <c r="G255" s="3">
        <v>0.24097222222222223</v>
      </c>
      <c r="H255" s="1" t="s">
        <v>11</v>
      </c>
      <c r="I255" t="s">
        <v>25</v>
      </c>
      <c r="J255" t="s">
        <v>601</v>
      </c>
      <c r="K255" s="9">
        <v>36.43</v>
      </c>
      <c r="L255" t="s">
        <v>9</v>
      </c>
      <c r="M255">
        <v>254</v>
      </c>
      <c r="N255" t="s">
        <v>21</v>
      </c>
      <c r="O255" s="3">
        <f>(Sala[[#This Row],[Hora de Salida]]-Sala[[#This Row],[Hora de llegada]])+IF(Sala[[#This Row],[Estado de la Mesa]]="Ocupada",(TEXT((15/(60*24)),"h:mm")),(TEXT(0,"h:mm")))</f>
        <v>0.11250000000000002</v>
      </c>
      <c r="P255" s="43">
        <f>(SUMIF(Cocina[Número de Orden],Sala[[#This Row],[Número de Orden]],Cocina[Tiempo de Preparación]))</f>
        <v>141</v>
      </c>
      <c r="Q255" s="5" t="str">
        <f>TEXT(((SUMIF(Cocina[Número de Orden],Sala[[#This Row],[Número de Orden]],Cocina[Tiempo de Preparación]))/(60*24)),"h:mm")</f>
        <v>2:21</v>
      </c>
      <c r="R255" s="3">
        <f>MAX((Sala[[#This Row],[Tiempo de permanencia]]-Sala[[#This Row],[Tiempo de preparación (h)]]),0)</f>
        <v>1.4583333333333351E-2</v>
      </c>
      <c r="S255" s="8">
        <f>SUMIF(Cocina[Número de Orden],Sala[[#This Row],[Número de Orden]],Cocina[Ganancia bruta])</f>
        <v>297</v>
      </c>
      <c r="T255" s="8">
        <f>SUMIF(Cocina[Número de Orden],Sala[[#This Row],[Número de Orden]],Cocina[Costo Unitario])</f>
        <v>70</v>
      </c>
      <c r="U255" s="2">
        <f>Sala[[#This Row],[Fecha de Salida]]</f>
        <v>45018</v>
      </c>
      <c r="V255" s="7" t="str">
        <f>TEXT(Sala[[#This Row],[Fecha factura]],"dddd")</f>
        <v>domingo</v>
      </c>
      <c r="W255" t="str">
        <f>IF(Sala[[#This Row],[Tiempo de degustación]]&gt;0,"Sí","No")</f>
        <v>Sí</v>
      </c>
      <c r="X255" t="str">
        <f>IF(Sala[[#This Row],[Cobrada]]="Sí",Sala[[#This Row],[Método de Pago]],"Impago")</f>
        <v>Tarjeta de crédito</v>
      </c>
      <c r="Y255">
        <f>IF(Sala[[#This Row],[Cobrada]]="Sí",Sala[[#This Row],[Propina]],0)</f>
        <v>36.43</v>
      </c>
      <c r="Z255">
        <f>(IF(Sala[[#This Row],[Cobrada]]="Sí",Sala[[#This Row],[Monto total]],0))+Sala[[#This Row],[Propina real]]</f>
        <v>333.43</v>
      </c>
    </row>
    <row r="256" spans="1:26" x14ac:dyDescent="0.25">
      <c r="A256">
        <v>8</v>
      </c>
      <c r="B256" t="s">
        <v>277</v>
      </c>
      <c r="C256">
        <v>4</v>
      </c>
      <c r="D256" s="2">
        <v>45018</v>
      </c>
      <c r="E256" s="3">
        <v>9.930555555555555E-2</v>
      </c>
      <c r="F256" s="2">
        <v>45018</v>
      </c>
      <c r="G256" s="3">
        <v>0.16597222222222222</v>
      </c>
      <c r="H256" s="1" t="s">
        <v>16</v>
      </c>
      <c r="I256" t="s">
        <v>25</v>
      </c>
      <c r="J256" t="s">
        <v>13</v>
      </c>
      <c r="K256" s="9">
        <v>13.34</v>
      </c>
      <c r="L256" t="s">
        <v>9</v>
      </c>
      <c r="M256">
        <v>255</v>
      </c>
      <c r="N256" t="s">
        <v>34</v>
      </c>
      <c r="O256" s="3">
        <f>(Sala[[#This Row],[Hora de Salida]]-Sala[[#This Row],[Hora de llegada]])+IF(Sala[[#This Row],[Estado de la Mesa]]="Ocupada",(TEXT((15/(60*24)),"h:mm")),(TEXT(0,"h:mm")))</f>
        <v>6.6666666666666666E-2</v>
      </c>
      <c r="P256" s="43">
        <f>(SUMIF(Cocina[Número de Orden],Sala[[#This Row],[Número de Orden]],Cocina[Tiempo de Preparación]))</f>
        <v>37</v>
      </c>
      <c r="Q256" s="5" t="str">
        <f>TEXT(((SUMIF(Cocina[Número de Orden],Sala[[#This Row],[Número de Orden]],Cocina[Tiempo de Preparación]))/(60*24)),"h:mm")</f>
        <v>0:37</v>
      </c>
      <c r="R256" s="3">
        <f>MAX((Sala[[#This Row],[Tiempo de permanencia]]-Sala[[#This Row],[Tiempo de preparación (h)]]),0)</f>
        <v>4.0972222222222222E-2</v>
      </c>
      <c r="S256" s="8">
        <f>SUMIF(Cocina[Número de Orden],Sala[[#This Row],[Número de Orden]],Cocina[Ganancia bruta])</f>
        <v>25</v>
      </c>
      <c r="T256" s="8">
        <f>SUMIF(Cocina[Número de Orden],Sala[[#This Row],[Número de Orden]],Cocina[Costo Unitario])</f>
        <v>15</v>
      </c>
      <c r="U256" s="2">
        <f>Sala[[#This Row],[Fecha de Salida]]</f>
        <v>45018</v>
      </c>
      <c r="V256" s="7" t="str">
        <f>TEXT(Sala[[#This Row],[Fecha factura]],"dddd")</f>
        <v>domingo</v>
      </c>
      <c r="W256" t="str">
        <f>IF(Sala[[#This Row],[Tiempo de degustación]]&gt;0,"Sí","No")</f>
        <v>Sí</v>
      </c>
      <c r="X256" t="str">
        <f>IF(Sala[[#This Row],[Cobrada]]="Sí",Sala[[#This Row],[Método de Pago]],"Impago")</f>
        <v>Efectivo</v>
      </c>
      <c r="Y256">
        <f>IF(Sala[[#This Row],[Cobrada]]="Sí",Sala[[#This Row],[Propina]],0)</f>
        <v>13.34</v>
      </c>
      <c r="Z256">
        <f>(IF(Sala[[#This Row],[Cobrada]]="Sí",Sala[[#This Row],[Monto total]],0))+Sala[[#This Row],[Propina real]]</f>
        <v>38.340000000000003</v>
      </c>
    </row>
    <row r="257" spans="1:26" x14ac:dyDescent="0.25">
      <c r="A257">
        <v>5</v>
      </c>
      <c r="B257" t="s">
        <v>278</v>
      </c>
      <c r="C257">
        <v>2</v>
      </c>
      <c r="D257" s="2">
        <v>45018</v>
      </c>
      <c r="E257" s="3">
        <v>1.5972222222222221E-2</v>
      </c>
      <c r="F257" s="2">
        <v>45018</v>
      </c>
      <c r="G257" s="3">
        <v>0.14374999999999999</v>
      </c>
      <c r="H257" s="1" t="s">
        <v>20</v>
      </c>
      <c r="I257" t="s">
        <v>12</v>
      </c>
      <c r="J257" t="s">
        <v>13</v>
      </c>
      <c r="K257" s="9">
        <v>49.88</v>
      </c>
      <c r="L257" t="s">
        <v>9</v>
      </c>
      <c r="M257">
        <v>256</v>
      </c>
      <c r="N257" t="s">
        <v>59</v>
      </c>
      <c r="O257" s="3">
        <f>(Sala[[#This Row],[Hora de Salida]]-Sala[[#This Row],[Hora de llegada]])+IF(Sala[[#This Row],[Estado de la Mesa]]="Ocupada",(TEXT((15/(60*24)),"h:mm")),(TEXT(0,"h:mm")))</f>
        <v>0.12777777777777777</v>
      </c>
      <c r="P257" s="43">
        <f>(SUMIF(Cocina[Número de Orden],Sala[[#This Row],[Número de Orden]],Cocina[Tiempo de Preparación]))</f>
        <v>16</v>
      </c>
      <c r="Q257" s="5" t="str">
        <f>TEXT(((SUMIF(Cocina[Número de Orden],Sala[[#This Row],[Número de Orden]],Cocina[Tiempo de Preparación]))/(60*24)),"h:mm")</f>
        <v>0:16</v>
      </c>
      <c r="R257" s="3">
        <f>MAX((Sala[[#This Row],[Tiempo de permanencia]]-Sala[[#This Row],[Tiempo de preparación (h)]]),0)</f>
        <v>0.11666666666666665</v>
      </c>
      <c r="S257" s="8">
        <f>SUMIF(Cocina[Número de Orden],Sala[[#This Row],[Número de Orden]],Cocina[Ganancia bruta])</f>
        <v>21</v>
      </c>
      <c r="T257" s="8">
        <f>SUMIF(Cocina[Número de Orden],Sala[[#This Row],[Número de Orden]],Cocina[Costo Unitario])</f>
        <v>13</v>
      </c>
      <c r="U257" s="2">
        <f>Sala[[#This Row],[Fecha de Salida]]</f>
        <v>45018</v>
      </c>
      <c r="V257" s="7" t="str">
        <f>TEXT(Sala[[#This Row],[Fecha factura]],"dddd")</f>
        <v>domingo</v>
      </c>
      <c r="W257" t="str">
        <f>IF(Sala[[#This Row],[Tiempo de degustación]]&gt;0,"Sí","No")</f>
        <v>Sí</v>
      </c>
      <c r="X257" t="str">
        <f>IF(Sala[[#This Row],[Cobrada]]="Sí",Sala[[#This Row],[Método de Pago]],"Impago")</f>
        <v>Efectivo</v>
      </c>
      <c r="Y257">
        <f>IF(Sala[[#This Row],[Cobrada]]="Sí",Sala[[#This Row],[Propina]],0)</f>
        <v>49.88</v>
      </c>
      <c r="Z257">
        <f>(IF(Sala[[#This Row],[Cobrada]]="Sí",Sala[[#This Row],[Monto total]],0))+Sala[[#This Row],[Propina real]]</f>
        <v>70.88</v>
      </c>
    </row>
    <row r="258" spans="1:26" x14ac:dyDescent="0.25">
      <c r="A258">
        <v>12</v>
      </c>
      <c r="B258" t="s">
        <v>279</v>
      </c>
      <c r="C258">
        <v>5</v>
      </c>
      <c r="D258" s="2">
        <v>45018</v>
      </c>
      <c r="E258" s="3">
        <v>8.8888888888888892E-2</v>
      </c>
      <c r="F258" s="2">
        <v>45018</v>
      </c>
      <c r="G258" s="3">
        <v>0.13680555555555557</v>
      </c>
      <c r="H258" s="1" t="s">
        <v>16</v>
      </c>
      <c r="I258" t="s">
        <v>8</v>
      </c>
      <c r="J258" t="s">
        <v>601</v>
      </c>
      <c r="K258" s="9">
        <v>26.78</v>
      </c>
      <c r="L258" t="s">
        <v>9</v>
      </c>
      <c r="M258">
        <v>257</v>
      </c>
      <c r="N258" t="s">
        <v>44</v>
      </c>
      <c r="O258" s="3">
        <f>(Sala[[#This Row],[Hora de Salida]]-Sala[[#This Row],[Hora de llegada]])+IF(Sala[[#This Row],[Estado de la Mesa]]="Ocupada",(TEXT((15/(60*24)),"h:mm")),(TEXT(0,"h:mm")))</f>
        <v>4.7916666666666677E-2</v>
      </c>
      <c r="P258" s="43">
        <f>(SUMIF(Cocina[Número de Orden],Sala[[#This Row],[Número de Orden]],Cocina[Tiempo de Preparación]))</f>
        <v>28</v>
      </c>
      <c r="Q258" s="5" t="str">
        <f>TEXT(((SUMIF(Cocina[Número de Orden],Sala[[#This Row],[Número de Orden]],Cocina[Tiempo de Preparación]))/(60*24)),"h:mm")</f>
        <v>0:28</v>
      </c>
      <c r="R258" s="3">
        <f>MAX((Sala[[#This Row],[Tiempo de permanencia]]-Sala[[#This Row],[Tiempo de preparación (h)]]),0)</f>
        <v>2.8472222222222232E-2</v>
      </c>
      <c r="S258" s="8">
        <f>SUMIF(Cocina[Número de Orden],Sala[[#This Row],[Número de Orden]],Cocina[Ganancia bruta])</f>
        <v>46</v>
      </c>
      <c r="T258" s="8">
        <f>SUMIF(Cocina[Número de Orden],Sala[[#This Row],[Número de Orden]],Cocina[Costo Unitario])</f>
        <v>14</v>
      </c>
      <c r="U258" s="2">
        <f>Sala[[#This Row],[Fecha de Salida]]</f>
        <v>45018</v>
      </c>
      <c r="V258" s="7" t="str">
        <f>TEXT(Sala[[#This Row],[Fecha factura]],"dddd")</f>
        <v>domingo</v>
      </c>
      <c r="W258" t="str">
        <f>IF(Sala[[#This Row],[Tiempo de degustación]]&gt;0,"Sí","No")</f>
        <v>Sí</v>
      </c>
      <c r="X258" t="str">
        <f>IF(Sala[[#This Row],[Cobrada]]="Sí",Sala[[#This Row],[Método de Pago]],"Impago")</f>
        <v>Tarjeta de crédito</v>
      </c>
      <c r="Y258">
        <f>IF(Sala[[#This Row],[Cobrada]]="Sí",Sala[[#This Row],[Propina]],0)</f>
        <v>26.78</v>
      </c>
      <c r="Z258">
        <f>(IF(Sala[[#This Row],[Cobrada]]="Sí",Sala[[#This Row],[Monto total]],0))+Sala[[#This Row],[Propina real]]</f>
        <v>72.78</v>
      </c>
    </row>
    <row r="259" spans="1:26" x14ac:dyDescent="0.25">
      <c r="A259">
        <v>12</v>
      </c>
      <c r="B259" t="s">
        <v>280</v>
      </c>
      <c r="C259">
        <v>1</v>
      </c>
      <c r="D259" s="2">
        <v>45018</v>
      </c>
      <c r="E259" s="3">
        <v>2.7083333333333334E-2</v>
      </c>
      <c r="F259" s="2">
        <v>45018</v>
      </c>
      <c r="G259" s="3">
        <v>0.18888888888888888</v>
      </c>
      <c r="H259" s="1" t="s">
        <v>16</v>
      </c>
      <c r="I259" t="s">
        <v>12</v>
      </c>
      <c r="J259" t="s">
        <v>601</v>
      </c>
      <c r="K259" s="9">
        <v>47.99</v>
      </c>
      <c r="L259" t="s">
        <v>9</v>
      </c>
      <c r="M259">
        <v>258</v>
      </c>
      <c r="N259" t="s">
        <v>32</v>
      </c>
      <c r="O259" s="3">
        <f>(Sala[[#This Row],[Hora de Salida]]-Sala[[#This Row],[Hora de llegada]])+IF(Sala[[#This Row],[Estado de la Mesa]]="Ocupada",(TEXT((15/(60*24)),"h:mm")),(TEXT(0,"h:mm")))</f>
        <v>0.16180555555555554</v>
      </c>
      <c r="P259" s="43">
        <f>(SUMIF(Cocina[Número de Orden],Sala[[#This Row],[Número de Orden]],Cocina[Tiempo de Preparación]))</f>
        <v>105</v>
      </c>
      <c r="Q259" s="5" t="str">
        <f>TEXT(((SUMIF(Cocina[Número de Orden],Sala[[#This Row],[Número de Orden]],Cocina[Tiempo de Preparación]))/(60*24)),"h:mm")</f>
        <v>1:45</v>
      </c>
      <c r="R259" s="3">
        <f>MAX((Sala[[#This Row],[Tiempo de permanencia]]-Sala[[#This Row],[Tiempo de preparación (h)]]),0)</f>
        <v>8.8888888888888865E-2</v>
      </c>
      <c r="S259" s="8">
        <f>SUMIF(Cocina[Número de Orden],Sala[[#This Row],[Número de Orden]],Cocina[Ganancia bruta])</f>
        <v>117</v>
      </c>
      <c r="T259" s="8">
        <f>SUMIF(Cocina[Número de Orden],Sala[[#This Row],[Número de Orden]],Cocina[Costo Unitario])</f>
        <v>71</v>
      </c>
      <c r="U259" s="2">
        <f>Sala[[#This Row],[Fecha de Salida]]</f>
        <v>45018</v>
      </c>
      <c r="V259" s="7" t="str">
        <f>TEXT(Sala[[#This Row],[Fecha factura]],"dddd")</f>
        <v>domingo</v>
      </c>
      <c r="W259" t="str">
        <f>IF(Sala[[#This Row],[Tiempo de degustación]]&gt;0,"Sí","No")</f>
        <v>Sí</v>
      </c>
      <c r="X259" t="str">
        <f>IF(Sala[[#This Row],[Cobrada]]="Sí",Sala[[#This Row],[Método de Pago]],"Impago")</f>
        <v>Tarjeta de crédito</v>
      </c>
      <c r="Y259">
        <f>IF(Sala[[#This Row],[Cobrada]]="Sí",Sala[[#This Row],[Propina]],0)</f>
        <v>47.99</v>
      </c>
      <c r="Z259">
        <f>(IF(Sala[[#This Row],[Cobrada]]="Sí",Sala[[#This Row],[Monto total]],0))+Sala[[#This Row],[Propina real]]</f>
        <v>164.99</v>
      </c>
    </row>
    <row r="260" spans="1:26" x14ac:dyDescent="0.25">
      <c r="A260">
        <v>10</v>
      </c>
      <c r="B260" t="s">
        <v>94</v>
      </c>
      <c r="C260">
        <v>5</v>
      </c>
      <c r="D260" s="2">
        <v>45018</v>
      </c>
      <c r="E260" s="3">
        <v>0.14374999999999999</v>
      </c>
      <c r="F260" s="2">
        <v>45018</v>
      </c>
      <c r="G260" s="3">
        <v>0.26111111111111113</v>
      </c>
      <c r="H260" s="1" t="s">
        <v>11</v>
      </c>
      <c r="I260" t="s">
        <v>8</v>
      </c>
      <c r="J260" t="s">
        <v>601</v>
      </c>
      <c r="K260" s="9">
        <v>46.72</v>
      </c>
      <c r="L260" t="s">
        <v>28</v>
      </c>
      <c r="M260">
        <v>259</v>
      </c>
      <c r="N260" t="s">
        <v>29</v>
      </c>
      <c r="O260" s="3">
        <f>(Sala[[#This Row],[Hora de Salida]]-Sala[[#This Row],[Hora de llegada]])+IF(Sala[[#This Row],[Estado de la Mesa]]="Ocupada",(TEXT((15/(60*24)),"h:mm")),(TEXT(0,"h:mm")))</f>
        <v>0.1277777777777778</v>
      </c>
      <c r="P260" s="43">
        <f>(SUMIF(Cocina[Número de Orden],Sala[[#This Row],[Número de Orden]],Cocina[Tiempo de Preparación]))</f>
        <v>11</v>
      </c>
      <c r="Q260" s="5" t="str">
        <f>TEXT(((SUMIF(Cocina[Número de Orden],Sala[[#This Row],[Número de Orden]],Cocina[Tiempo de Preparación]))/(60*24)),"h:mm")</f>
        <v>0:11</v>
      </c>
      <c r="R260" s="3">
        <f>MAX((Sala[[#This Row],[Tiempo de permanencia]]-Sala[[#This Row],[Tiempo de preparación (h)]]),0)</f>
        <v>0.12013888888888891</v>
      </c>
      <c r="S260" s="8">
        <f>SUMIF(Cocina[Número de Orden],Sala[[#This Row],[Número de Orden]],Cocina[Ganancia bruta])</f>
        <v>81</v>
      </c>
      <c r="T260" s="8">
        <f>SUMIF(Cocina[Número de Orden],Sala[[#This Row],[Número de Orden]],Cocina[Costo Unitario])</f>
        <v>16</v>
      </c>
      <c r="U260" s="2">
        <f>Sala[[#This Row],[Fecha de Salida]]</f>
        <v>45018</v>
      </c>
      <c r="V260" s="7" t="str">
        <f>TEXT(Sala[[#This Row],[Fecha factura]],"dddd")</f>
        <v>domingo</v>
      </c>
      <c r="W260" t="str">
        <f>IF(Sala[[#This Row],[Tiempo de degustación]]&gt;0,"Sí","No")</f>
        <v>Sí</v>
      </c>
      <c r="X260" t="str">
        <f>IF(Sala[[#This Row],[Cobrada]]="Sí",Sala[[#This Row],[Método de Pago]],"Impago")</f>
        <v>Tarjeta de crédito</v>
      </c>
      <c r="Y260">
        <f>IF(Sala[[#This Row],[Cobrada]]="Sí",Sala[[#This Row],[Propina]],0)</f>
        <v>46.72</v>
      </c>
      <c r="Z260">
        <f>(IF(Sala[[#This Row],[Cobrada]]="Sí",Sala[[#This Row],[Monto total]],0))+Sala[[#This Row],[Propina real]]</f>
        <v>127.72</v>
      </c>
    </row>
    <row r="261" spans="1:26" x14ac:dyDescent="0.25">
      <c r="A261">
        <v>20</v>
      </c>
      <c r="B261" t="s">
        <v>281</v>
      </c>
      <c r="C261">
        <v>6</v>
      </c>
      <c r="D261" s="2">
        <v>45018</v>
      </c>
      <c r="E261" s="3">
        <v>5.7638888888888892E-2</v>
      </c>
      <c r="F261" s="2">
        <v>45018</v>
      </c>
      <c r="G261" s="3">
        <v>0.19305555555555556</v>
      </c>
      <c r="H261" s="1" t="s">
        <v>20</v>
      </c>
      <c r="I261" t="s">
        <v>8</v>
      </c>
      <c r="J261" t="s">
        <v>13</v>
      </c>
      <c r="K261" s="9">
        <v>47.55</v>
      </c>
      <c r="L261" t="s">
        <v>28</v>
      </c>
      <c r="M261">
        <v>260</v>
      </c>
      <c r="N261" t="s">
        <v>34</v>
      </c>
      <c r="O261" s="3">
        <f>(Sala[[#This Row],[Hora de Salida]]-Sala[[#This Row],[Hora de llegada]])+IF(Sala[[#This Row],[Estado de la Mesa]]="Ocupada",(TEXT((15/(60*24)),"h:mm")),(TEXT(0,"h:mm")))</f>
        <v>0.14583333333333334</v>
      </c>
      <c r="P261" s="43">
        <f>(SUMIF(Cocina[Número de Orden],Sala[[#This Row],[Número de Orden]],Cocina[Tiempo de Preparación]))</f>
        <v>49</v>
      </c>
      <c r="Q261" s="5" t="str">
        <f>TEXT(((SUMIF(Cocina[Número de Orden],Sala[[#This Row],[Número de Orden]],Cocina[Tiempo de Preparación]))/(60*24)),"h:mm")</f>
        <v>0:49</v>
      </c>
      <c r="R261" s="3">
        <f>MAX((Sala[[#This Row],[Tiempo de permanencia]]-Sala[[#This Row],[Tiempo de preparación (h)]]),0)</f>
        <v>0.11180555555555557</v>
      </c>
      <c r="S261" s="8">
        <f>SUMIF(Cocina[Número de Orden],Sala[[#This Row],[Número de Orden]],Cocina[Ganancia bruta])</f>
        <v>69</v>
      </c>
      <c r="T261" s="8">
        <f>SUMIF(Cocina[Número de Orden],Sala[[#This Row],[Número de Orden]],Cocina[Costo Unitario])</f>
        <v>14</v>
      </c>
      <c r="U261" s="2">
        <f>Sala[[#This Row],[Fecha de Salida]]</f>
        <v>45018</v>
      </c>
      <c r="V261" s="7" t="str">
        <f>TEXT(Sala[[#This Row],[Fecha factura]],"dddd")</f>
        <v>domingo</v>
      </c>
      <c r="W261" t="str">
        <f>IF(Sala[[#This Row],[Tiempo de degustación]]&gt;0,"Sí","No")</f>
        <v>Sí</v>
      </c>
      <c r="X261" t="str">
        <f>IF(Sala[[#This Row],[Cobrada]]="Sí",Sala[[#This Row],[Método de Pago]],"Impago")</f>
        <v>Efectivo</v>
      </c>
      <c r="Y261">
        <f>IF(Sala[[#This Row],[Cobrada]]="Sí",Sala[[#This Row],[Propina]],0)</f>
        <v>47.55</v>
      </c>
      <c r="Z261">
        <f>(IF(Sala[[#This Row],[Cobrada]]="Sí",Sala[[#This Row],[Monto total]],0))+Sala[[#This Row],[Propina real]]</f>
        <v>116.55</v>
      </c>
    </row>
    <row r="262" spans="1:26" x14ac:dyDescent="0.25">
      <c r="A262">
        <v>8</v>
      </c>
      <c r="B262" t="s">
        <v>282</v>
      </c>
      <c r="C262">
        <v>1</v>
      </c>
      <c r="D262" s="2">
        <v>45018</v>
      </c>
      <c r="E262" s="3">
        <v>4.7222222222222221E-2</v>
      </c>
      <c r="F262" s="2">
        <v>45018</v>
      </c>
      <c r="G262" s="3">
        <v>0.12152777777777778</v>
      </c>
      <c r="H262" s="1" t="s">
        <v>23</v>
      </c>
      <c r="I262" t="s">
        <v>8</v>
      </c>
      <c r="J262" t="s">
        <v>601</v>
      </c>
      <c r="K262" s="9">
        <v>32.42</v>
      </c>
      <c r="L262" t="s">
        <v>28</v>
      </c>
      <c r="M262">
        <v>261</v>
      </c>
      <c r="N262" t="s">
        <v>47</v>
      </c>
      <c r="O262" s="3">
        <f>(Sala[[#This Row],[Hora de Salida]]-Sala[[#This Row],[Hora de llegada]])+IF(Sala[[#This Row],[Estado de la Mesa]]="Ocupada",(TEXT((15/(60*24)),"h:mm")),(TEXT(0,"h:mm")))</f>
        <v>8.4722222222222227E-2</v>
      </c>
      <c r="P262" s="43">
        <f>(SUMIF(Cocina[Número de Orden],Sala[[#This Row],[Número de Orden]],Cocina[Tiempo de Preparación]))</f>
        <v>55</v>
      </c>
      <c r="Q262" s="5" t="str">
        <f>TEXT(((SUMIF(Cocina[Número de Orden],Sala[[#This Row],[Número de Orden]],Cocina[Tiempo de Preparación]))/(60*24)),"h:mm")</f>
        <v>0:55</v>
      </c>
      <c r="R262" s="3">
        <f>MAX((Sala[[#This Row],[Tiempo de permanencia]]-Sala[[#This Row],[Tiempo de preparación (h)]]),0)</f>
        <v>4.6527777777777779E-2</v>
      </c>
      <c r="S262" s="8">
        <f>SUMIF(Cocina[Número de Orden],Sala[[#This Row],[Número de Orden]],Cocina[Ganancia bruta])</f>
        <v>154</v>
      </c>
      <c r="T262" s="8">
        <f>SUMIF(Cocina[Número de Orden],Sala[[#This Row],[Número de Orden]],Cocina[Costo Unitario])</f>
        <v>36</v>
      </c>
      <c r="U262" s="2">
        <f>Sala[[#This Row],[Fecha de Salida]]</f>
        <v>45018</v>
      </c>
      <c r="V262" s="7" t="str">
        <f>TEXT(Sala[[#This Row],[Fecha factura]],"dddd")</f>
        <v>domingo</v>
      </c>
      <c r="W262" t="str">
        <f>IF(Sala[[#This Row],[Tiempo de degustación]]&gt;0,"Sí","No")</f>
        <v>Sí</v>
      </c>
      <c r="X262" t="str">
        <f>IF(Sala[[#This Row],[Cobrada]]="Sí",Sala[[#This Row],[Método de Pago]],"Impago")</f>
        <v>Tarjeta de crédito</v>
      </c>
      <c r="Y262">
        <f>IF(Sala[[#This Row],[Cobrada]]="Sí",Sala[[#This Row],[Propina]],0)</f>
        <v>32.42</v>
      </c>
      <c r="Z262">
        <f>(IF(Sala[[#This Row],[Cobrada]]="Sí",Sala[[#This Row],[Monto total]],0))+Sala[[#This Row],[Propina real]]</f>
        <v>186.42000000000002</v>
      </c>
    </row>
    <row r="263" spans="1:26" x14ac:dyDescent="0.25">
      <c r="A263">
        <v>18</v>
      </c>
      <c r="B263" t="s">
        <v>283</v>
      </c>
      <c r="C263">
        <v>4</v>
      </c>
      <c r="D263" s="2">
        <v>45018</v>
      </c>
      <c r="E263" s="3">
        <v>0.15555555555555556</v>
      </c>
      <c r="F263" s="2">
        <v>45018</v>
      </c>
      <c r="G263" s="3">
        <v>0.30625000000000002</v>
      </c>
      <c r="H263" s="1" t="s">
        <v>16</v>
      </c>
      <c r="I263" t="s">
        <v>8</v>
      </c>
      <c r="J263" t="s">
        <v>601</v>
      </c>
      <c r="K263" s="9">
        <v>42.83</v>
      </c>
      <c r="L263" t="s">
        <v>28</v>
      </c>
      <c r="M263">
        <v>262</v>
      </c>
      <c r="N263" t="s">
        <v>29</v>
      </c>
      <c r="O263" s="3">
        <f>(Sala[[#This Row],[Hora de Salida]]-Sala[[#This Row],[Hora de llegada]])+IF(Sala[[#This Row],[Estado de la Mesa]]="Ocupada",(TEXT((15/(60*24)),"h:mm")),(TEXT(0,"h:mm")))</f>
        <v>0.16111111111111112</v>
      </c>
      <c r="P263" s="43">
        <f>(SUMIF(Cocina[Número de Orden],Sala[[#This Row],[Número de Orden]],Cocina[Tiempo de Preparación]))</f>
        <v>48</v>
      </c>
      <c r="Q263" s="5" t="str">
        <f>TEXT(((SUMIF(Cocina[Número de Orden],Sala[[#This Row],[Número de Orden]],Cocina[Tiempo de Preparación]))/(60*24)),"h:mm")</f>
        <v>0:48</v>
      </c>
      <c r="R263" s="3">
        <f>MAX((Sala[[#This Row],[Tiempo de permanencia]]-Sala[[#This Row],[Tiempo de preparación (h)]]),0)</f>
        <v>0.1277777777777778</v>
      </c>
      <c r="S263" s="8">
        <f>SUMIF(Cocina[Número de Orden],Sala[[#This Row],[Número de Orden]],Cocina[Ganancia bruta])</f>
        <v>115</v>
      </c>
      <c r="T263" s="8">
        <f>SUMIF(Cocina[Número de Orden],Sala[[#This Row],[Número de Orden]],Cocina[Costo Unitario])</f>
        <v>32</v>
      </c>
      <c r="U263" s="2">
        <f>Sala[[#This Row],[Fecha de Salida]]</f>
        <v>45018</v>
      </c>
      <c r="V263" s="7" t="str">
        <f>TEXT(Sala[[#This Row],[Fecha factura]],"dddd")</f>
        <v>domingo</v>
      </c>
      <c r="W263" t="str">
        <f>IF(Sala[[#This Row],[Tiempo de degustación]]&gt;0,"Sí","No")</f>
        <v>Sí</v>
      </c>
      <c r="X263" t="str">
        <f>IF(Sala[[#This Row],[Cobrada]]="Sí",Sala[[#This Row],[Método de Pago]],"Impago")</f>
        <v>Tarjeta de crédito</v>
      </c>
      <c r="Y263">
        <f>IF(Sala[[#This Row],[Cobrada]]="Sí",Sala[[#This Row],[Propina]],0)</f>
        <v>42.83</v>
      </c>
      <c r="Z263">
        <f>(IF(Sala[[#This Row],[Cobrada]]="Sí",Sala[[#This Row],[Monto total]],0))+Sala[[#This Row],[Propina real]]</f>
        <v>157.82999999999998</v>
      </c>
    </row>
    <row r="264" spans="1:26" x14ac:dyDescent="0.25">
      <c r="A264">
        <v>5</v>
      </c>
      <c r="B264" t="s">
        <v>160</v>
      </c>
      <c r="C264">
        <v>1</v>
      </c>
      <c r="D264" s="2">
        <v>45018</v>
      </c>
      <c r="E264" s="3">
        <v>0.12013888888888889</v>
      </c>
      <c r="F264" s="2">
        <v>45018</v>
      </c>
      <c r="G264" s="3">
        <v>0.22638888888888889</v>
      </c>
      <c r="H264" s="1" t="s">
        <v>11</v>
      </c>
      <c r="I264" t="s">
        <v>12</v>
      </c>
      <c r="J264" t="s">
        <v>601</v>
      </c>
      <c r="K264" s="9">
        <v>42.96</v>
      </c>
      <c r="L264" t="s">
        <v>17</v>
      </c>
      <c r="M264">
        <v>263</v>
      </c>
      <c r="N264" t="s">
        <v>34</v>
      </c>
      <c r="O264" s="3">
        <f>(Sala[[#This Row],[Hora de Salida]]-Sala[[#This Row],[Hora de llegada]])+IF(Sala[[#This Row],[Estado de la Mesa]]="Ocupada",(TEXT((15/(60*24)),"h:mm")),(TEXT(0,"h:mm")))</f>
        <v>0.10625</v>
      </c>
      <c r="P264" s="43">
        <f>(SUMIF(Cocina[Número de Orden],Sala[[#This Row],[Número de Orden]],Cocina[Tiempo de Preparación]))</f>
        <v>149</v>
      </c>
      <c r="Q264" s="5" t="str">
        <f>TEXT(((SUMIF(Cocina[Número de Orden],Sala[[#This Row],[Número de Orden]],Cocina[Tiempo de Preparación]))/(60*24)),"h:mm")</f>
        <v>2:29</v>
      </c>
      <c r="R264" s="3">
        <f>MAX((Sala[[#This Row],[Tiempo de permanencia]]-Sala[[#This Row],[Tiempo de preparación (h)]]),0)</f>
        <v>2.7777777777777818E-3</v>
      </c>
      <c r="S264" s="8">
        <f>SUMIF(Cocina[Número de Orden],Sala[[#This Row],[Número de Orden]],Cocina[Ganancia bruta])</f>
        <v>121</v>
      </c>
      <c r="T264" s="8">
        <f>SUMIF(Cocina[Número de Orden],Sala[[#This Row],[Número de Orden]],Cocina[Costo Unitario])</f>
        <v>72</v>
      </c>
      <c r="U264" s="2">
        <f>Sala[[#This Row],[Fecha de Salida]]</f>
        <v>45018</v>
      </c>
      <c r="V264" s="7" t="str">
        <f>TEXT(Sala[[#This Row],[Fecha factura]],"dddd")</f>
        <v>domingo</v>
      </c>
      <c r="W264" t="str">
        <f>IF(Sala[[#This Row],[Tiempo de degustación]]&gt;0,"Sí","No")</f>
        <v>Sí</v>
      </c>
      <c r="X264" t="str">
        <f>IF(Sala[[#This Row],[Cobrada]]="Sí",Sala[[#This Row],[Método de Pago]],"Impago")</f>
        <v>Tarjeta de crédito</v>
      </c>
      <c r="Y264">
        <f>IF(Sala[[#This Row],[Cobrada]]="Sí",Sala[[#This Row],[Propina]],0)</f>
        <v>42.96</v>
      </c>
      <c r="Z264">
        <f>(IF(Sala[[#This Row],[Cobrada]]="Sí",Sala[[#This Row],[Monto total]],0))+Sala[[#This Row],[Propina real]]</f>
        <v>163.96</v>
      </c>
    </row>
    <row r="265" spans="1:26" x14ac:dyDescent="0.25">
      <c r="A265">
        <v>2</v>
      </c>
      <c r="B265" t="s">
        <v>284</v>
      </c>
      <c r="C265">
        <v>1</v>
      </c>
      <c r="D265" s="2">
        <v>45018</v>
      </c>
      <c r="E265" s="3">
        <v>0.13263888888888889</v>
      </c>
      <c r="F265" s="2">
        <v>45018</v>
      </c>
      <c r="G265" s="3">
        <v>0.18472222222222223</v>
      </c>
      <c r="H265" s="1" t="s">
        <v>11</v>
      </c>
      <c r="I265" t="s">
        <v>8</v>
      </c>
      <c r="J265" t="s">
        <v>601</v>
      </c>
      <c r="K265" s="9">
        <v>49.21</v>
      </c>
      <c r="L265" t="s">
        <v>17</v>
      </c>
      <c r="M265">
        <v>264</v>
      </c>
      <c r="N265" t="s">
        <v>32</v>
      </c>
      <c r="O265" s="3">
        <f>(Sala[[#This Row],[Hora de Salida]]-Sala[[#This Row],[Hora de llegada]])+IF(Sala[[#This Row],[Estado de la Mesa]]="Ocupada",(TEXT((15/(60*24)),"h:mm")),(TEXT(0,"h:mm")))</f>
        <v>5.2083333333333343E-2</v>
      </c>
      <c r="P265" s="43">
        <f>(SUMIF(Cocina[Número de Orden],Sala[[#This Row],[Número de Orden]],Cocina[Tiempo de Preparación]))</f>
        <v>117</v>
      </c>
      <c r="Q265" s="5" t="str">
        <f>TEXT(((SUMIF(Cocina[Número de Orden],Sala[[#This Row],[Número de Orden]],Cocina[Tiempo de Preparación]))/(60*24)),"h:mm")</f>
        <v>1:57</v>
      </c>
      <c r="R265" s="3">
        <f>MAX((Sala[[#This Row],[Tiempo de permanencia]]-Sala[[#This Row],[Tiempo de preparación (h)]]),0)</f>
        <v>0</v>
      </c>
      <c r="S265" s="8">
        <f>SUMIF(Cocina[Número de Orden],Sala[[#This Row],[Número de Orden]],Cocina[Ganancia bruta])</f>
        <v>182</v>
      </c>
      <c r="T265" s="8">
        <f>SUMIF(Cocina[Número de Orden],Sala[[#This Row],[Número de Orden]],Cocina[Costo Unitario])</f>
        <v>73</v>
      </c>
      <c r="U265" s="2">
        <f>Sala[[#This Row],[Fecha de Salida]]</f>
        <v>45018</v>
      </c>
      <c r="V265" s="7" t="str">
        <f>TEXT(Sala[[#This Row],[Fecha factura]],"dddd")</f>
        <v>domingo</v>
      </c>
      <c r="W265" t="str">
        <f>IF(Sala[[#This Row],[Tiempo de degustación]]&gt;0,"Sí","No")</f>
        <v>No</v>
      </c>
      <c r="X265" t="str">
        <f>IF(Sala[[#This Row],[Cobrada]]="Sí",Sala[[#This Row],[Método de Pago]],"Impago")</f>
        <v>Impago</v>
      </c>
      <c r="Y265">
        <f>IF(Sala[[#This Row],[Cobrada]]="Sí",Sala[[#This Row],[Propina]],0)</f>
        <v>0</v>
      </c>
      <c r="Z265">
        <f>(IF(Sala[[#This Row],[Cobrada]]="Sí",Sala[[#This Row],[Monto total]],0))+Sala[[#This Row],[Propina real]]</f>
        <v>0</v>
      </c>
    </row>
    <row r="266" spans="1:26" x14ac:dyDescent="0.25">
      <c r="A266">
        <v>6</v>
      </c>
      <c r="B266" t="s">
        <v>285</v>
      </c>
      <c r="C266">
        <v>1</v>
      </c>
      <c r="D266" s="2">
        <v>45018</v>
      </c>
      <c r="E266" s="3">
        <v>0.12083333333333333</v>
      </c>
      <c r="F266" s="2">
        <v>45018</v>
      </c>
      <c r="G266" s="3">
        <v>0.26041666666666669</v>
      </c>
      <c r="H266" s="1" t="s">
        <v>16</v>
      </c>
      <c r="I266" t="s">
        <v>12</v>
      </c>
      <c r="J266" t="s">
        <v>600</v>
      </c>
      <c r="K266" s="9">
        <v>21.48</v>
      </c>
      <c r="L266" t="s">
        <v>17</v>
      </c>
      <c r="M266">
        <v>265</v>
      </c>
      <c r="N266" t="s">
        <v>47</v>
      </c>
      <c r="O266" s="3">
        <f>(Sala[[#This Row],[Hora de Salida]]-Sala[[#This Row],[Hora de llegada]])+IF(Sala[[#This Row],[Estado de la Mesa]]="Ocupada",(TEXT((15/(60*24)),"h:mm")),(TEXT(0,"h:mm")))</f>
        <v>0.13958333333333334</v>
      </c>
      <c r="P266" s="43">
        <f>(SUMIF(Cocina[Número de Orden],Sala[[#This Row],[Número de Orden]],Cocina[Tiempo de Preparación]))</f>
        <v>135</v>
      </c>
      <c r="Q266" s="5" t="str">
        <f>TEXT(((SUMIF(Cocina[Número de Orden],Sala[[#This Row],[Número de Orden]],Cocina[Tiempo de Preparación]))/(60*24)),"h:mm")</f>
        <v>2:15</v>
      </c>
      <c r="R266" s="3">
        <f>MAX((Sala[[#This Row],[Tiempo de permanencia]]-Sala[[#This Row],[Tiempo de preparación (h)]]),0)</f>
        <v>4.5833333333333337E-2</v>
      </c>
      <c r="S266" s="8">
        <f>SUMIF(Cocina[Número de Orden],Sala[[#This Row],[Número de Orden]],Cocina[Ganancia bruta])</f>
        <v>171</v>
      </c>
      <c r="T266" s="8">
        <f>SUMIF(Cocina[Número de Orden],Sala[[#This Row],[Número de Orden]],Cocina[Costo Unitario])</f>
        <v>67</v>
      </c>
      <c r="U266" s="2">
        <f>Sala[[#This Row],[Fecha de Salida]]</f>
        <v>45018</v>
      </c>
      <c r="V266" s="7" t="str">
        <f>TEXT(Sala[[#This Row],[Fecha factura]],"dddd")</f>
        <v>domingo</v>
      </c>
      <c r="W266" t="str">
        <f>IF(Sala[[#This Row],[Tiempo de degustación]]&gt;0,"Sí","No")</f>
        <v>Sí</v>
      </c>
      <c r="X266" t="str">
        <f>IF(Sala[[#This Row],[Cobrada]]="Sí",Sala[[#This Row],[Método de Pago]],"Impago")</f>
        <v>Tarjeta de débito</v>
      </c>
      <c r="Y266">
        <f>IF(Sala[[#This Row],[Cobrada]]="Sí",Sala[[#This Row],[Propina]],0)</f>
        <v>21.48</v>
      </c>
      <c r="Z266">
        <f>(IF(Sala[[#This Row],[Cobrada]]="Sí",Sala[[#This Row],[Monto total]],0))+Sala[[#This Row],[Propina real]]</f>
        <v>192.48</v>
      </c>
    </row>
    <row r="267" spans="1:26" x14ac:dyDescent="0.25">
      <c r="A267">
        <v>4</v>
      </c>
      <c r="B267" t="s">
        <v>286</v>
      </c>
      <c r="C267">
        <v>4</v>
      </c>
      <c r="D267" s="2">
        <v>45018</v>
      </c>
      <c r="E267" s="3">
        <v>2.0833333333333332E-2</v>
      </c>
      <c r="F267" s="2">
        <v>45018</v>
      </c>
      <c r="G267" s="3">
        <v>8.611111111111111E-2</v>
      </c>
      <c r="H267" s="1" t="s">
        <v>16</v>
      </c>
      <c r="I267" t="s">
        <v>8</v>
      </c>
      <c r="J267" t="s">
        <v>601</v>
      </c>
      <c r="K267" s="9">
        <v>24.75</v>
      </c>
      <c r="L267" t="s">
        <v>9</v>
      </c>
      <c r="M267">
        <v>266</v>
      </c>
      <c r="N267" t="s">
        <v>21</v>
      </c>
      <c r="O267" s="3">
        <f>(Sala[[#This Row],[Hora de Salida]]-Sala[[#This Row],[Hora de llegada]])+IF(Sala[[#This Row],[Estado de la Mesa]]="Ocupada",(TEXT((15/(60*24)),"h:mm")),(TEXT(0,"h:mm")))</f>
        <v>6.5277777777777782E-2</v>
      </c>
      <c r="P267" s="43">
        <f>(SUMIF(Cocina[Número de Orden],Sala[[#This Row],[Número de Orden]],Cocina[Tiempo de Preparación]))</f>
        <v>106</v>
      </c>
      <c r="Q267" s="5" t="str">
        <f>TEXT(((SUMIF(Cocina[Número de Orden],Sala[[#This Row],[Número de Orden]],Cocina[Tiempo de Preparación]))/(60*24)),"h:mm")</f>
        <v>1:46</v>
      </c>
      <c r="R267" s="3">
        <f>MAX((Sala[[#This Row],[Tiempo de permanencia]]-Sala[[#This Row],[Tiempo de preparación (h)]]),0)</f>
        <v>0</v>
      </c>
      <c r="S267" s="8">
        <f>SUMIF(Cocina[Número de Orden],Sala[[#This Row],[Número de Orden]],Cocina[Ganancia bruta])</f>
        <v>99</v>
      </c>
      <c r="T267" s="8">
        <f>SUMIF(Cocina[Número de Orden],Sala[[#This Row],[Número de Orden]],Cocina[Costo Unitario])</f>
        <v>29</v>
      </c>
      <c r="U267" s="2">
        <f>Sala[[#This Row],[Fecha de Salida]]</f>
        <v>45018</v>
      </c>
      <c r="V267" s="7" t="str">
        <f>TEXT(Sala[[#This Row],[Fecha factura]],"dddd")</f>
        <v>domingo</v>
      </c>
      <c r="W267" t="str">
        <f>IF(Sala[[#This Row],[Tiempo de degustación]]&gt;0,"Sí","No")</f>
        <v>No</v>
      </c>
      <c r="X267" t="str">
        <f>IF(Sala[[#This Row],[Cobrada]]="Sí",Sala[[#This Row],[Método de Pago]],"Impago")</f>
        <v>Impago</v>
      </c>
      <c r="Y267">
        <f>IF(Sala[[#This Row],[Cobrada]]="Sí",Sala[[#This Row],[Propina]],0)</f>
        <v>0</v>
      </c>
      <c r="Z267">
        <f>(IF(Sala[[#This Row],[Cobrada]]="Sí",Sala[[#This Row],[Monto total]],0))+Sala[[#This Row],[Propina real]]</f>
        <v>0</v>
      </c>
    </row>
    <row r="268" spans="1:26" x14ac:dyDescent="0.25">
      <c r="A268">
        <v>7</v>
      </c>
      <c r="B268" t="s">
        <v>287</v>
      </c>
      <c r="C268">
        <v>5</v>
      </c>
      <c r="D268" s="2">
        <v>45019</v>
      </c>
      <c r="E268" s="3">
        <v>8.819444444444445E-2</v>
      </c>
      <c r="F268" s="2">
        <v>45019</v>
      </c>
      <c r="G268" s="3">
        <v>0.15833333333333333</v>
      </c>
      <c r="H268" s="1" t="s">
        <v>16</v>
      </c>
      <c r="I268" t="s">
        <v>25</v>
      </c>
      <c r="J268" t="s">
        <v>601</v>
      </c>
      <c r="K268" s="9">
        <v>44.66</v>
      </c>
      <c r="L268" t="s">
        <v>28</v>
      </c>
      <c r="M268">
        <v>267</v>
      </c>
      <c r="N268" t="s">
        <v>594</v>
      </c>
      <c r="O268" s="3">
        <f>(Sala[[#This Row],[Hora de Salida]]-Sala[[#This Row],[Hora de llegada]])+IF(Sala[[#This Row],[Estado de la Mesa]]="Ocupada",(TEXT((15/(60*24)),"h:mm")),(TEXT(0,"h:mm")))</f>
        <v>8.0555555555555547E-2</v>
      </c>
      <c r="P268" s="43">
        <f>(SUMIF(Cocina[Número de Orden],Sala[[#This Row],[Número de Orden]],Cocina[Tiempo de Preparación]))</f>
        <v>96</v>
      </c>
      <c r="Q268" s="5" t="str">
        <f>TEXT(((SUMIF(Cocina[Número de Orden],Sala[[#This Row],[Número de Orden]],Cocina[Tiempo de Preparación]))/(60*24)),"h:mm")</f>
        <v>1:36</v>
      </c>
      <c r="R268" s="3">
        <f>MAX((Sala[[#This Row],[Tiempo de permanencia]]-Sala[[#This Row],[Tiempo de preparación (h)]]),0)</f>
        <v>1.3888888888888881E-2</v>
      </c>
      <c r="S268" s="8">
        <f>SUMIF(Cocina[Número de Orden],Sala[[#This Row],[Número de Orden]],Cocina[Ganancia bruta])</f>
        <v>118</v>
      </c>
      <c r="T268" s="8">
        <f>SUMIF(Cocina[Número de Orden],Sala[[#This Row],[Número de Orden]],Cocina[Costo Unitario])</f>
        <v>53</v>
      </c>
      <c r="U268" s="2">
        <f>Sala[[#This Row],[Fecha de Salida]]</f>
        <v>45019</v>
      </c>
      <c r="V268" s="7" t="str">
        <f>TEXT(Sala[[#This Row],[Fecha factura]],"dddd")</f>
        <v>lunes</v>
      </c>
      <c r="W268" t="str">
        <f>IF(Sala[[#This Row],[Tiempo de degustación]]&gt;0,"Sí","No")</f>
        <v>Sí</v>
      </c>
      <c r="X268" t="str">
        <f>IF(Sala[[#This Row],[Cobrada]]="Sí",Sala[[#This Row],[Método de Pago]],"Impago")</f>
        <v>Tarjeta de crédito</v>
      </c>
      <c r="Y268">
        <f>IF(Sala[[#This Row],[Cobrada]]="Sí",Sala[[#This Row],[Propina]],0)</f>
        <v>44.66</v>
      </c>
      <c r="Z268">
        <f>(IF(Sala[[#This Row],[Cobrada]]="Sí",Sala[[#This Row],[Monto total]],0))+Sala[[#This Row],[Propina real]]</f>
        <v>162.66</v>
      </c>
    </row>
    <row r="269" spans="1:26" x14ac:dyDescent="0.25">
      <c r="A269">
        <v>14</v>
      </c>
      <c r="B269" t="s">
        <v>288</v>
      </c>
      <c r="C269">
        <v>1</v>
      </c>
      <c r="D269" s="2">
        <v>45019</v>
      </c>
      <c r="E269" s="3">
        <v>3.1944444444444442E-2</v>
      </c>
      <c r="F269" s="2">
        <v>45019</v>
      </c>
      <c r="G269" s="3">
        <v>0.15555555555555556</v>
      </c>
      <c r="H269" s="1" t="s">
        <v>7</v>
      </c>
      <c r="I269" t="s">
        <v>8</v>
      </c>
      <c r="J269" t="s">
        <v>600</v>
      </c>
      <c r="K269" s="9">
        <v>23.16</v>
      </c>
      <c r="L269" t="s">
        <v>17</v>
      </c>
      <c r="M269">
        <v>268</v>
      </c>
      <c r="N269" t="s">
        <v>34</v>
      </c>
      <c r="O269" s="3">
        <f>(Sala[[#This Row],[Hora de Salida]]-Sala[[#This Row],[Hora de llegada]])+IF(Sala[[#This Row],[Estado de la Mesa]]="Ocupada",(TEXT((15/(60*24)),"h:mm")),(TEXT(0,"h:mm")))</f>
        <v>0.12361111111111112</v>
      </c>
      <c r="P269" s="43">
        <f>(SUMIF(Cocina[Número de Orden],Sala[[#This Row],[Número de Orden]],Cocina[Tiempo de Preparación]))</f>
        <v>83</v>
      </c>
      <c r="Q269" s="5" t="str">
        <f>TEXT(((SUMIF(Cocina[Número de Orden],Sala[[#This Row],[Número de Orden]],Cocina[Tiempo de Preparación]))/(60*24)),"h:mm")</f>
        <v>1:23</v>
      </c>
      <c r="R269" s="3">
        <f>MAX((Sala[[#This Row],[Tiempo de permanencia]]-Sala[[#This Row],[Tiempo de preparación (h)]]),0)</f>
        <v>6.5972222222222224E-2</v>
      </c>
      <c r="S269" s="8">
        <f>SUMIF(Cocina[Número de Orden],Sala[[#This Row],[Número de Orden]],Cocina[Ganancia bruta])</f>
        <v>68</v>
      </c>
      <c r="T269" s="8">
        <f>SUMIF(Cocina[Número de Orden],Sala[[#This Row],[Número de Orden]],Cocina[Costo Unitario])</f>
        <v>27</v>
      </c>
      <c r="U269" s="2">
        <f>Sala[[#This Row],[Fecha de Salida]]</f>
        <v>45019</v>
      </c>
      <c r="V269" s="7" t="str">
        <f>TEXT(Sala[[#This Row],[Fecha factura]],"dddd")</f>
        <v>lunes</v>
      </c>
      <c r="W269" t="str">
        <f>IF(Sala[[#This Row],[Tiempo de degustación]]&gt;0,"Sí","No")</f>
        <v>Sí</v>
      </c>
      <c r="X269" t="str">
        <f>IF(Sala[[#This Row],[Cobrada]]="Sí",Sala[[#This Row],[Método de Pago]],"Impago")</f>
        <v>Tarjeta de débito</v>
      </c>
      <c r="Y269">
        <f>IF(Sala[[#This Row],[Cobrada]]="Sí",Sala[[#This Row],[Propina]],0)</f>
        <v>23.16</v>
      </c>
      <c r="Z269">
        <f>(IF(Sala[[#This Row],[Cobrada]]="Sí",Sala[[#This Row],[Monto total]],0))+Sala[[#This Row],[Propina real]]</f>
        <v>91.16</v>
      </c>
    </row>
    <row r="270" spans="1:26" x14ac:dyDescent="0.25">
      <c r="A270">
        <v>11</v>
      </c>
      <c r="B270" t="s">
        <v>289</v>
      </c>
      <c r="C270">
        <v>2</v>
      </c>
      <c r="D270" s="2">
        <v>45019</v>
      </c>
      <c r="E270" s="3">
        <v>0.12361111111111112</v>
      </c>
      <c r="F270" s="2">
        <v>45019</v>
      </c>
      <c r="G270" s="3">
        <v>0.17708333333333334</v>
      </c>
      <c r="H270" s="1" t="s">
        <v>16</v>
      </c>
      <c r="I270" t="s">
        <v>8</v>
      </c>
      <c r="J270" t="s">
        <v>600</v>
      </c>
      <c r="K270" s="9">
        <v>39.17</v>
      </c>
      <c r="L270" t="s">
        <v>17</v>
      </c>
      <c r="M270">
        <v>269</v>
      </c>
      <c r="N270" t="s">
        <v>29</v>
      </c>
      <c r="O270" s="3">
        <f>(Sala[[#This Row],[Hora de Salida]]-Sala[[#This Row],[Hora de llegada]])+IF(Sala[[#This Row],[Estado de la Mesa]]="Ocupada",(TEXT((15/(60*24)),"h:mm")),(TEXT(0,"h:mm")))</f>
        <v>5.3472222222222227E-2</v>
      </c>
      <c r="P270" s="43">
        <f>(SUMIF(Cocina[Número de Orden],Sala[[#This Row],[Número de Orden]],Cocina[Tiempo de Preparación]))</f>
        <v>101</v>
      </c>
      <c r="Q270" s="5" t="str">
        <f>TEXT(((SUMIF(Cocina[Número de Orden],Sala[[#This Row],[Número de Orden]],Cocina[Tiempo de Preparación]))/(60*24)),"h:mm")</f>
        <v>1:41</v>
      </c>
      <c r="R270" s="3">
        <f>MAX((Sala[[#This Row],[Tiempo de permanencia]]-Sala[[#This Row],[Tiempo de preparación (h)]]),0)</f>
        <v>0</v>
      </c>
      <c r="S270" s="8">
        <f>SUMIF(Cocina[Número de Orden],Sala[[#This Row],[Número de Orden]],Cocina[Ganancia bruta])</f>
        <v>250</v>
      </c>
      <c r="T270" s="8">
        <f>SUMIF(Cocina[Número de Orden],Sala[[#This Row],[Número de Orden]],Cocina[Costo Unitario])</f>
        <v>67</v>
      </c>
      <c r="U270" s="2">
        <f>Sala[[#This Row],[Fecha de Salida]]</f>
        <v>45019</v>
      </c>
      <c r="V270" s="7" t="str">
        <f>TEXT(Sala[[#This Row],[Fecha factura]],"dddd")</f>
        <v>lunes</v>
      </c>
      <c r="W270" t="str">
        <f>IF(Sala[[#This Row],[Tiempo de degustación]]&gt;0,"Sí","No")</f>
        <v>No</v>
      </c>
      <c r="X270" t="str">
        <f>IF(Sala[[#This Row],[Cobrada]]="Sí",Sala[[#This Row],[Método de Pago]],"Impago")</f>
        <v>Impago</v>
      </c>
      <c r="Y270">
        <f>IF(Sala[[#This Row],[Cobrada]]="Sí",Sala[[#This Row],[Propina]],0)</f>
        <v>0</v>
      </c>
      <c r="Z270">
        <f>(IF(Sala[[#This Row],[Cobrada]]="Sí",Sala[[#This Row],[Monto total]],0))+Sala[[#This Row],[Propina real]]</f>
        <v>0</v>
      </c>
    </row>
    <row r="271" spans="1:26" x14ac:dyDescent="0.25">
      <c r="A271">
        <v>10</v>
      </c>
      <c r="B271" t="s">
        <v>57</v>
      </c>
      <c r="C271">
        <v>1</v>
      </c>
      <c r="D271" s="2">
        <v>45019</v>
      </c>
      <c r="E271" s="3">
        <v>4.9305555555555554E-2</v>
      </c>
      <c r="F271" s="2">
        <v>45019</v>
      </c>
      <c r="G271" s="3">
        <v>0.2076388888888889</v>
      </c>
      <c r="H271" s="1" t="s">
        <v>23</v>
      </c>
      <c r="I271" t="s">
        <v>8</v>
      </c>
      <c r="J271" t="s">
        <v>601</v>
      </c>
      <c r="K271" s="9">
        <v>10.130000000000001</v>
      </c>
      <c r="L271" t="s">
        <v>17</v>
      </c>
      <c r="M271">
        <v>270</v>
      </c>
      <c r="N271" t="s">
        <v>44</v>
      </c>
      <c r="O271" s="3">
        <f>(Sala[[#This Row],[Hora de Salida]]-Sala[[#This Row],[Hora de llegada]])+IF(Sala[[#This Row],[Estado de la Mesa]]="Ocupada",(TEXT((15/(60*24)),"h:mm")),(TEXT(0,"h:mm")))</f>
        <v>0.15833333333333335</v>
      </c>
      <c r="P271" s="43">
        <f>(SUMIF(Cocina[Número de Orden],Sala[[#This Row],[Número de Orden]],Cocina[Tiempo de Preparación]))</f>
        <v>26</v>
      </c>
      <c r="Q271" s="5" t="str">
        <f>TEXT(((SUMIF(Cocina[Número de Orden],Sala[[#This Row],[Número de Orden]],Cocina[Tiempo de Preparación]))/(60*24)),"h:mm")</f>
        <v>0:26</v>
      </c>
      <c r="R271" s="3">
        <f>MAX((Sala[[#This Row],[Tiempo de permanencia]]-Sala[[#This Row],[Tiempo de preparación (h)]]),0)</f>
        <v>0.14027777777777781</v>
      </c>
      <c r="S271" s="8">
        <f>SUMIF(Cocina[Número de Orden],Sala[[#This Row],[Número de Orden]],Cocina[Ganancia bruta])</f>
        <v>102</v>
      </c>
      <c r="T271" s="8">
        <f>SUMIF(Cocina[Número de Orden],Sala[[#This Row],[Número de Orden]],Cocina[Costo Unitario])</f>
        <v>20</v>
      </c>
      <c r="U271" s="2">
        <f>Sala[[#This Row],[Fecha de Salida]]</f>
        <v>45019</v>
      </c>
      <c r="V271" s="7" t="str">
        <f>TEXT(Sala[[#This Row],[Fecha factura]],"dddd")</f>
        <v>lunes</v>
      </c>
      <c r="W271" t="str">
        <f>IF(Sala[[#This Row],[Tiempo de degustación]]&gt;0,"Sí","No")</f>
        <v>Sí</v>
      </c>
      <c r="X271" t="str">
        <f>IF(Sala[[#This Row],[Cobrada]]="Sí",Sala[[#This Row],[Método de Pago]],"Impago")</f>
        <v>Tarjeta de crédito</v>
      </c>
      <c r="Y271">
        <f>IF(Sala[[#This Row],[Cobrada]]="Sí",Sala[[#This Row],[Propina]],0)</f>
        <v>10.130000000000001</v>
      </c>
      <c r="Z271">
        <f>(IF(Sala[[#This Row],[Cobrada]]="Sí",Sala[[#This Row],[Monto total]],0))+Sala[[#This Row],[Propina real]]</f>
        <v>112.13</v>
      </c>
    </row>
    <row r="272" spans="1:26" x14ac:dyDescent="0.25">
      <c r="A272">
        <v>3</v>
      </c>
      <c r="B272" t="s">
        <v>290</v>
      </c>
      <c r="C272">
        <v>3</v>
      </c>
      <c r="D272" s="2">
        <v>45019</v>
      </c>
      <c r="E272" s="3">
        <v>6.9444444444444448E-2</v>
      </c>
      <c r="F272" s="2">
        <v>45019</v>
      </c>
      <c r="G272" s="3">
        <v>0.21527777777777779</v>
      </c>
      <c r="H272" s="1" t="s">
        <v>7</v>
      </c>
      <c r="I272" t="s">
        <v>8</v>
      </c>
      <c r="J272" t="s">
        <v>601</v>
      </c>
      <c r="K272" s="9">
        <v>16.11</v>
      </c>
      <c r="L272" t="s">
        <v>28</v>
      </c>
      <c r="M272">
        <v>271</v>
      </c>
      <c r="N272" t="s">
        <v>32</v>
      </c>
      <c r="O272" s="3">
        <f>(Sala[[#This Row],[Hora de Salida]]-Sala[[#This Row],[Hora de llegada]])+IF(Sala[[#This Row],[Estado de la Mesa]]="Ocupada",(TEXT((15/(60*24)),"h:mm")),(TEXT(0,"h:mm")))</f>
        <v>0.15625</v>
      </c>
      <c r="P272" s="43">
        <f>(SUMIF(Cocina[Número de Orden],Sala[[#This Row],[Número de Orden]],Cocina[Tiempo de Preparación]))</f>
        <v>55</v>
      </c>
      <c r="Q272" s="5" t="str">
        <f>TEXT(((SUMIF(Cocina[Número de Orden],Sala[[#This Row],[Número de Orden]],Cocina[Tiempo de Preparación]))/(60*24)),"h:mm")</f>
        <v>0:55</v>
      </c>
      <c r="R272" s="3">
        <f>MAX((Sala[[#This Row],[Tiempo de permanencia]]-Sala[[#This Row],[Tiempo de preparación (h)]]),0)</f>
        <v>0.11805555555555555</v>
      </c>
      <c r="S272" s="8">
        <f>SUMIF(Cocina[Número de Orden],Sala[[#This Row],[Número de Orden]],Cocina[Ganancia bruta])</f>
        <v>44</v>
      </c>
      <c r="T272" s="8">
        <f>SUMIF(Cocina[Número de Orden],Sala[[#This Row],[Número de Orden]],Cocina[Costo Unitario])</f>
        <v>13</v>
      </c>
      <c r="U272" s="2">
        <f>Sala[[#This Row],[Fecha de Salida]]</f>
        <v>45019</v>
      </c>
      <c r="V272" s="7" t="str">
        <f>TEXT(Sala[[#This Row],[Fecha factura]],"dddd")</f>
        <v>lunes</v>
      </c>
      <c r="W272" t="str">
        <f>IF(Sala[[#This Row],[Tiempo de degustación]]&gt;0,"Sí","No")</f>
        <v>Sí</v>
      </c>
      <c r="X272" t="str">
        <f>IF(Sala[[#This Row],[Cobrada]]="Sí",Sala[[#This Row],[Método de Pago]],"Impago")</f>
        <v>Tarjeta de crédito</v>
      </c>
      <c r="Y272">
        <f>IF(Sala[[#This Row],[Cobrada]]="Sí",Sala[[#This Row],[Propina]],0)</f>
        <v>16.11</v>
      </c>
      <c r="Z272">
        <f>(IF(Sala[[#This Row],[Cobrada]]="Sí",Sala[[#This Row],[Monto total]],0))+Sala[[#This Row],[Propina real]]</f>
        <v>60.11</v>
      </c>
    </row>
    <row r="273" spans="1:26" x14ac:dyDescent="0.25">
      <c r="A273">
        <v>7</v>
      </c>
      <c r="B273" t="s">
        <v>291</v>
      </c>
      <c r="C273">
        <v>1</v>
      </c>
      <c r="D273" s="2">
        <v>45019</v>
      </c>
      <c r="E273" s="3">
        <v>2.361111111111111E-2</v>
      </c>
      <c r="F273" s="2">
        <v>45019</v>
      </c>
      <c r="G273" s="3">
        <v>0.18333333333333332</v>
      </c>
      <c r="H273" s="1" t="s">
        <v>23</v>
      </c>
      <c r="I273" t="s">
        <v>8</v>
      </c>
      <c r="J273" t="s">
        <v>601</v>
      </c>
      <c r="K273" s="9">
        <v>42.73</v>
      </c>
      <c r="L273" t="s">
        <v>9</v>
      </c>
      <c r="M273">
        <v>272</v>
      </c>
      <c r="N273" t="s">
        <v>594</v>
      </c>
      <c r="O273" s="3">
        <f>(Sala[[#This Row],[Hora de Salida]]-Sala[[#This Row],[Hora de llegada]])+IF(Sala[[#This Row],[Estado de la Mesa]]="Ocupada",(TEXT((15/(60*24)),"h:mm")),(TEXT(0,"h:mm")))</f>
        <v>0.15972222222222221</v>
      </c>
      <c r="P273" s="43">
        <f>(SUMIF(Cocina[Número de Orden],Sala[[#This Row],[Número de Orden]],Cocina[Tiempo de Preparación]))</f>
        <v>83</v>
      </c>
      <c r="Q273" s="5" t="str">
        <f>TEXT(((SUMIF(Cocina[Número de Orden],Sala[[#This Row],[Número de Orden]],Cocina[Tiempo de Preparación]))/(60*24)),"h:mm")</f>
        <v>1:23</v>
      </c>
      <c r="R273" s="3">
        <f>MAX((Sala[[#This Row],[Tiempo de permanencia]]-Sala[[#This Row],[Tiempo de preparación (h)]]),0)</f>
        <v>0.10208333333333332</v>
      </c>
      <c r="S273" s="8">
        <f>SUMIF(Cocina[Número de Orden],Sala[[#This Row],[Número de Orden]],Cocina[Ganancia bruta])</f>
        <v>83</v>
      </c>
      <c r="T273" s="8">
        <f>SUMIF(Cocina[Número de Orden],Sala[[#This Row],[Número de Orden]],Cocina[Costo Unitario])</f>
        <v>35</v>
      </c>
      <c r="U273" s="2">
        <f>Sala[[#This Row],[Fecha de Salida]]</f>
        <v>45019</v>
      </c>
      <c r="V273" s="7" t="str">
        <f>TEXT(Sala[[#This Row],[Fecha factura]],"dddd")</f>
        <v>lunes</v>
      </c>
      <c r="W273" t="str">
        <f>IF(Sala[[#This Row],[Tiempo de degustación]]&gt;0,"Sí","No")</f>
        <v>Sí</v>
      </c>
      <c r="X273" t="str">
        <f>IF(Sala[[#This Row],[Cobrada]]="Sí",Sala[[#This Row],[Método de Pago]],"Impago")</f>
        <v>Tarjeta de crédito</v>
      </c>
      <c r="Y273">
        <f>IF(Sala[[#This Row],[Cobrada]]="Sí",Sala[[#This Row],[Propina]],0)</f>
        <v>42.73</v>
      </c>
      <c r="Z273">
        <f>(IF(Sala[[#This Row],[Cobrada]]="Sí",Sala[[#This Row],[Monto total]],0))+Sala[[#This Row],[Propina real]]</f>
        <v>125.72999999999999</v>
      </c>
    </row>
    <row r="274" spans="1:26" x14ac:dyDescent="0.25">
      <c r="A274">
        <v>20</v>
      </c>
      <c r="B274" t="s">
        <v>183</v>
      </c>
      <c r="C274">
        <v>5</v>
      </c>
      <c r="D274" s="2">
        <v>45019</v>
      </c>
      <c r="E274" s="3">
        <v>7.4305555555555555E-2</v>
      </c>
      <c r="F274" s="2">
        <v>45019</v>
      </c>
      <c r="G274" s="3">
        <v>0.1451388888888889</v>
      </c>
      <c r="H274" s="1" t="s">
        <v>16</v>
      </c>
      <c r="I274" t="s">
        <v>8</v>
      </c>
      <c r="J274" t="s">
        <v>13</v>
      </c>
      <c r="K274" s="9">
        <v>36.299999999999997</v>
      </c>
      <c r="L274" t="s">
        <v>28</v>
      </c>
      <c r="M274">
        <v>273</v>
      </c>
      <c r="N274" t="s">
        <v>14</v>
      </c>
      <c r="O274" s="3">
        <f>(Sala[[#This Row],[Hora de Salida]]-Sala[[#This Row],[Hora de llegada]])+IF(Sala[[#This Row],[Estado de la Mesa]]="Ocupada",(TEXT((15/(60*24)),"h:mm")),(TEXT(0,"h:mm")))</f>
        <v>8.1250000000000017E-2</v>
      </c>
      <c r="P274" s="43">
        <f>(SUMIF(Cocina[Número de Orden],Sala[[#This Row],[Número de Orden]],Cocina[Tiempo de Preparación]))</f>
        <v>67</v>
      </c>
      <c r="Q274" s="5" t="str">
        <f>TEXT(((SUMIF(Cocina[Número de Orden],Sala[[#This Row],[Número de Orden]],Cocina[Tiempo de Preparación]))/(60*24)),"h:mm")</f>
        <v>1:07</v>
      </c>
      <c r="R274" s="3">
        <f>MAX((Sala[[#This Row],[Tiempo de permanencia]]-Sala[[#This Row],[Tiempo de preparación (h)]]),0)</f>
        <v>3.4722222222222238E-2</v>
      </c>
      <c r="S274" s="8">
        <f>SUMIF(Cocina[Número de Orden],Sala[[#This Row],[Número de Orden]],Cocina[Ganancia bruta])</f>
        <v>123</v>
      </c>
      <c r="T274" s="8">
        <f>SUMIF(Cocina[Número de Orden],Sala[[#This Row],[Número de Orden]],Cocina[Costo Unitario])</f>
        <v>47</v>
      </c>
      <c r="U274" s="2">
        <f>Sala[[#This Row],[Fecha de Salida]]</f>
        <v>45019</v>
      </c>
      <c r="V274" s="7" t="str">
        <f>TEXT(Sala[[#This Row],[Fecha factura]],"dddd")</f>
        <v>lunes</v>
      </c>
      <c r="W274" t="str">
        <f>IF(Sala[[#This Row],[Tiempo de degustación]]&gt;0,"Sí","No")</f>
        <v>Sí</v>
      </c>
      <c r="X274" t="str">
        <f>IF(Sala[[#This Row],[Cobrada]]="Sí",Sala[[#This Row],[Método de Pago]],"Impago")</f>
        <v>Efectivo</v>
      </c>
      <c r="Y274">
        <f>IF(Sala[[#This Row],[Cobrada]]="Sí",Sala[[#This Row],[Propina]],0)</f>
        <v>36.299999999999997</v>
      </c>
      <c r="Z274">
        <f>(IF(Sala[[#This Row],[Cobrada]]="Sí",Sala[[#This Row],[Monto total]],0))+Sala[[#This Row],[Propina real]]</f>
        <v>159.30000000000001</v>
      </c>
    </row>
    <row r="275" spans="1:26" x14ac:dyDescent="0.25">
      <c r="A275">
        <v>7</v>
      </c>
      <c r="B275" t="s">
        <v>292</v>
      </c>
      <c r="C275">
        <v>1</v>
      </c>
      <c r="D275" s="2">
        <v>45019</v>
      </c>
      <c r="E275" s="3">
        <v>0.13541666666666666</v>
      </c>
      <c r="F275" s="2">
        <v>45019</v>
      </c>
      <c r="G275" s="3">
        <v>0.24444444444444444</v>
      </c>
      <c r="H275" s="1" t="s">
        <v>11</v>
      </c>
      <c r="I275" t="s">
        <v>8</v>
      </c>
      <c r="J275" t="s">
        <v>600</v>
      </c>
      <c r="K275" s="9">
        <v>19.93</v>
      </c>
      <c r="L275" t="s">
        <v>28</v>
      </c>
      <c r="M275">
        <v>274</v>
      </c>
      <c r="N275" t="s">
        <v>18</v>
      </c>
      <c r="O275" s="3">
        <f>(Sala[[#This Row],[Hora de Salida]]-Sala[[#This Row],[Hora de llegada]])+IF(Sala[[#This Row],[Estado de la Mesa]]="Ocupada",(TEXT((15/(60*24)),"h:mm")),(TEXT(0,"h:mm")))</f>
        <v>0.11944444444444445</v>
      </c>
      <c r="P275" s="43">
        <f>(SUMIF(Cocina[Número de Orden],Sala[[#This Row],[Número de Orden]],Cocina[Tiempo de Preparación]))</f>
        <v>75</v>
      </c>
      <c r="Q275" s="5" t="str">
        <f>TEXT(((SUMIF(Cocina[Número de Orden],Sala[[#This Row],[Número de Orden]],Cocina[Tiempo de Preparación]))/(60*24)),"h:mm")</f>
        <v>1:15</v>
      </c>
      <c r="R275" s="3">
        <f>MAX((Sala[[#This Row],[Tiempo de permanencia]]-Sala[[#This Row],[Tiempo de preparación (h)]]),0)</f>
        <v>6.7361111111111122E-2</v>
      </c>
      <c r="S275" s="8">
        <f>SUMIF(Cocina[Número de Orden],Sala[[#This Row],[Número de Orden]],Cocina[Ganancia bruta])</f>
        <v>116</v>
      </c>
      <c r="T275" s="8">
        <f>SUMIF(Cocina[Número de Orden],Sala[[#This Row],[Número de Orden]],Cocina[Costo Unitario])</f>
        <v>26</v>
      </c>
      <c r="U275" s="2">
        <f>Sala[[#This Row],[Fecha de Salida]]</f>
        <v>45019</v>
      </c>
      <c r="V275" s="7" t="str">
        <f>TEXT(Sala[[#This Row],[Fecha factura]],"dddd")</f>
        <v>lunes</v>
      </c>
      <c r="W275" t="str">
        <f>IF(Sala[[#This Row],[Tiempo de degustación]]&gt;0,"Sí","No")</f>
        <v>Sí</v>
      </c>
      <c r="X275" t="str">
        <f>IF(Sala[[#This Row],[Cobrada]]="Sí",Sala[[#This Row],[Método de Pago]],"Impago")</f>
        <v>Tarjeta de débito</v>
      </c>
      <c r="Y275">
        <f>IF(Sala[[#This Row],[Cobrada]]="Sí",Sala[[#This Row],[Propina]],0)</f>
        <v>19.93</v>
      </c>
      <c r="Z275">
        <f>(IF(Sala[[#This Row],[Cobrada]]="Sí",Sala[[#This Row],[Monto total]],0))+Sala[[#This Row],[Propina real]]</f>
        <v>135.93</v>
      </c>
    </row>
    <row r="276" spans="1:26" x14ac:dyDescent="0.25">
      <c r="A276">
        <v>5</v>
      </c>
      <c r="B276" t="s">
        <v>231</v>
      </c>
      <c r="C276">
        <v>3</v>
      </c>
      <c r="D276" s="2">
        <v>45019</v>
      </c>
      <c r="E276" s="3">
        <v>9.2361111111111116E-2</v>
      </c>
      <c r="F276" s="2">
        <v>45019</v>
      </c>
      <c r="G276" s="3">
        <v>0.24861111111111112</v>
      </c>
      <c r="H276" s="1" t="s">
        <v>16</v>
      </c>
      <c r="I276" t="s">
        <v>8</v>
      </c>
      <c r="J276" t="s">
        <v>601</v>
      </c>
      <c r="K276" s="9">
        <v>49.67</v>
      </c>
      <c r="L276" t="s">
        <v>9</v>
      </c>
      <c r="M276">
        <v>275</v>
      </c>
      <c r="N276" t="s">
        <v>32</v>
      </c>
      <c r="O276" s="3">
        <f>(Sala[[#This Row],[Hora de Salida]]-Sala[[#This Row],[Hora de llegada]])+IF(Sala[[#This Row],[Estado de la Mesa]]="Ocupada",(TEXT((15/(60*24)),"h:mm")),(TEXT(0,"h:mm")))</f>
        <v>0.15625</v>
      </c>
      <c r="P276" s="43">
        <f>(SUMIF(Cocina[Número de Orden],Sala[[#This Row],[Número de Orden]],Cocina[Tiempo de Preparación]))</f>
        <v>122</v>
      </c>
      <c r="Q276" s="5" t="str">
        <f>TEXT(((SUMIF(Cocina[Número de Orden],Sala[[#This Row],[Número de Orden]],Cocina[Tiempo de Preparación]))/(60*24)),"h:mm")</f>
        <v>2:02</v>
      </c>
      <c r="R276" s="3">
        <f>MAX((Sala[[#This Row],[Tiempo de permanencia]]-Sala[[#This Row],[Tiempo de preparación (h)]]),0)</f>
        <v>7.1527777777777773E-2</v>
      </c>
      <c r="S276" s="8">
        <f>SUMIF(Cocina[Número de Orden],Sala[[#This Row],[Número de Orden]],Cocina[Ganancia bruta])</f>
        <v>121</v>
      </c>
      <c r="T276" s="8">
        <f>SUMIF(Cocina[Número de Orden],Sala[[#This Row],[Número de Orden]],Cocina[Costo Unitario])</f>
        <v>54</v>
      </c>
      <c r="U276" s="2">
        <f>Sala[[#This Row],[Fecha de Salida]]</f>
        <v>45019</v>
      </c>
      <c r="V276" s="7" t="str">
        <f>TEXT(Sala[[#This Row],[Fecha factura]],"dddd")</f>
        <v>lunes</v>
      </c>
      <c r="W276" t="str">
        <f>IF(Sala[[#This Row],[Tiempo de degustación]]&gt;0,"Sí","No")</f>
        <v>Sí</v>
      </c>
      <c r="X276" t="str">
        <f>IF(Sala[[#This Row],[Cobrada]]="Sí",Sala[[#This Row],[Método de Pago]],"Impago")</f>
        <v>Tarjeta de crédito</v>
      </c>
      <c r="Y276">
        <f>IF(Sala[[#This Row],[Cobrada]]="Sí",Sala[[#This Row],[Propina]],0)</f>
        <v>49.67</v>
      </c>
      <c r="Z276">
        <f>(IF(Sala[[#This Row],[Cobrada]]="Sí",Sala[[#This Row],[Monto total]],0))+Sala[[#This Row],[Propina real]]</f>
        <v>170.67000000000002</v>
      </c>
    </row>
    <row r="277" spans="1:26" x14ac:dyDescent="0.25">
      <c r="A277">
        <v>15</v>
      </c>
      <c r="B277" t="s">
        <v>293</v>
      </c>
      <c r="C277">
        <v>6</v>
      </c>
      <c r="D277" s="2">
        <v>45019</v>
      </c>
      <c r="E277" s="3">
        <v>0.1076388888888889</v>
      </c>
      <c r="F277" s="2">
        <v>45019</v>
      </c>
      <c r="G277" s="3">
        <v>0.23194444444444445</v>
      </c>
      <c r="H277" s="1" t="s">
        <v>23</v>
      </c>
      <c r="I277" t="s">
        <v>8</v>
      </c>
      <c r="J277" t="s">
        <v>600</v>
      </c>
      <c r="K277" s="9">
        <v>20.98</v>
      </c>
      <c r="L277" t="s">
        <v>9</v>
      </c>
      <c r="M277">
        <v>276</v>
      </c>
      <c r="N277" t="s">
        <v>44</v>
      </c>
      <c r="O277" s="3">
        <f>(Sala[[#This Row],[Hora de Salida]]-Sala[[#This Row],[Hora de llegada]])+IF(Sala[[#This Row],[Estado de la Mesa]]="Ocupada",(TEXT((15/(60*24)),"h:mm")),(TEXT(0,"h:mm")))</f>
        <v>0.12430555555555556</v>
      </c>
      <c r="P277" s="43">
        <f>(SUMIF(Cocina[Número de Orden],Sala[[#This Row],[Número de Orden]],Cocina[Tiempo de Preparación]))</f>
        <v>85</v>
      </c>
      <c r="Q277" s="5" t="str">
        <f>TEXT(((SUMIF(Cocina[Número de Orden],Sala[[#This Row],[Número de Orden]],Cocina[Tiempo de Preparación]))/(60*24)),"h:mm")</f>
        <v>1:25</v>
      </c>
      <c r="R277" s="3">
        <f>MAX((Sala[[#This Row],[Tiempo de permanencia]]-Sala[[#This Row],[Tiempo de preparación (h)]]),0)</f>
        <v>6.5277777777777782E-2</v>
      </c>
      <c r="S277" s="8">
        <f>SUMIF(Cocina[Número de Orden],Sala[[#This Row],[Número de Orden]],Cocina[Ganancia bruta])</f>
        <v>70</v>
      </c>
      <c r="T277" s="8">
        <f>SUMIF(Cocina[Número de Orden],Sala[[#This Row],[Número de Orden]],Cocina[Costo Unitario])</f>
        <v>28</v>
      </c>
      <c r="U277" s="2">
        <f>Sala[[#This Row],[Fecha de Salida]]</f>
        <v>45019</v>
      </c>
      <c r="V277" s="7" t="str">
        <f>TEXT(Sala[[#This Row],[Fecha factura]],"dddd")</f>
        <v>lunes</v>
      </c>
      <c r="W277" t="str">
        <f>IF(Sala[[#This Row],[Tiempo de degustación]]&gt;0,"Sí","No")</f>
        <v>Sí</v>
      </c>
      <c r="X277" t="str">
        <f>IF(Sala[[#This Row],[Cobrada]]="Sí",Sala[[#This Row],[Método de Pago]],"Impago")</f>
        <v>Tarjeta de débito</v>
      </c>
      <c r="Y277">
        <f>IF(Sala[[#This Row],[Cobrada]]="Sí",Sala[[#This Row],[Propina]],0)</f>
        <v>20.98</v>
      </c>
      <c r="Z277">
        <f>(IF(Sala[[#This Row],[Cobrada]]="Sí",Sala[[#This Row],[Monto total]],0))+Sala[[#This Row],[Propina real]]</f>
        <v>90.98</v>
      </c>
    </row>
    <row r="278" spans="1:26" x14ac:dyDescent="0.25">
      <c r="A278">
        <v>4</v>
      </c>
      <c r="B278" t="s">
        <v>294</v>
      </c>
      <c r="C278">
        <v>2</v>
      </c>
      <c r="D278" s="2">
        <v>45019</v>
      </c>
      <c r="E278" s="3">
        <v>6.1111111111111109E-2</v>
      </c>
      <c r="F278" s="2">
        <v>45019</v>
      </c>
      <c r="G278" s="3">
        <v>0.16388888888888889</v>
      </c>
      <c r="H278" s="1" t="s">
        <v>20</v>
      </c>
      <c r="I278" t="s">
        <v>8</v>
      </c>
      <c r="J278" t="s">
        <v>601</v>
      </c>
      <c r="K278" s="9">
        <v>10.29</v>
      </c>
      <c r="L278" t="s">
        <v>17</v>
      </c>
      <c r="M278">
        <v>277</v>
      </c>
      <c r="N278" t="s">
        <v>594</v>
      </c>
      <c r="O278" s="3">
        <f>(Sala[[#This Row],[Hora de Salida]]-Sala[[#This Row],[Hora de llegada]])+IF(Sala[[#This Row],[Estado de la Mesa]]="Ocupada",(TEXT((15/(60*24)),"h:mm")),(TEXT(0,"h:mm")))</f>
        <v>0.10277777777777777</v>
      </c>
      <c r="P278" s="43">
        <f>(SUMIF(Cocina[Número de Orden],Sala[[#This Row],[Número de Orden]],Cocina[Tiempo de Preparación]))</f>
        <v>29</v>
      </c>
      <c r="Q278" s="5" t="str">
        <f>TEXT(((SUMIF(Cocina[Número de Orden],Sala[[#This Row],[Número de Orden]],Cocina[Tiempo de Preparación]))/(60*24)),"h:mm")</f>
        <v>0:29</v>
      </c>
      <c r="R278" s="3">
        <f>MAX((Sala[[#This Row],[Tiempo de permanencia]]-Sala[[#This Row],[Tiempo de preparación (h)]]),0)</f>
        <v>8.2638888888888887E-2</v>
      </c>
      <c r="S278" s="8">
        <f>SUMIF(Cocina[Número de Orden],Sala[[#This Row],[Número de Orden]],Cocina[Ganancia bruta])</f>
        <v>93</v>
      </c>
      <c r="T278" s="8">
        <f>SUMIF(Cocina[Número de Orden],Sala[[#This Row],[Número de Orden]],Cocina[Costo Unitario])</f>
        <v>19</v>
      </c>
      <c r="U278" s="2">
        <f>Sala[[#This Row],[Fecha de Salida]]</f>
        <v>45019</v>
      </c>
      <c r="V278" s="7" t="str">
        <f>TEXT(Sala[[#This Row],[Fecha factura]],"dddd")</f>
        <v>lunes</v>
      </c>
      <c r="W278" t="str">
        <f>IF(Sala[[#This Row],[Tiempo de degustación]]&gt;0,"Sí","No")</f>
        <v>Sí</v>
      </c>
      <c r="X278" t="str">
        <f>IF(Sala[[#This Row],[Cobrada]]="Sí",Sala[[#This Row],[Método de Pago]],"Impago")</f>
        <v>Tarjeta de crédito</v>
      </c>
      <c r="Y278">
        <f>IF(Sala[[#This Row],[Cobrada]]="Sí",Sala[[#This Row],[Propina]],0)</f>
        <v>10.29</v>
      </c>
      <c r="Z278">
        <f>(IF(Sala[[#This Row],[Cobrada]]="Sí",Sala[[#This Row],[Monto total]],0))+Sala[[#This Row],[Propina real]]</f>
        <v>103.28999999999999</v>
      </c>
    </row>
    <row r="279" spans="1:26" x14ac:dyDescent="0.25">
      <c r="A279">
        <v>5</v>
      </c>
      <c r="B279" t="s">
        <v>69</v>
      </c>
      <c r="C279">
        <v>4</v>
      </c>
      <c r="D279" s="2">
        <v>45019</v>
      </c>
      <c r="E279" s="3">
        <v>0.13194444444444445</v>
      </c>
      <c r="F279" s="2">
        <v>45019</v>
      </c>
      <c r="G279" s="3">
        <v>0.21666666666666667</v>
      </c>
      <c r="H279" s="1" t="s">
        <v>7</v>
      </c>
      <c r="I279" t="s">
        <v>8</v>
      </c>
      <c r="J279" t="s">
        <v>13</v>
      </c>
      <c r="K279" s="9">
        <v>41.36</v>
      </c>
      <c r="L279" t="s">
        <v>17</v>
      </c>
      <c r="M279">
        <v>278</v>
      </c>
      <c r="N279" t="s">
        <v>29</v>
      </c>
      <c r="O279" s="3">
        <f>(Sala[[#This Row],[Hora de Salida]]-Sala[[#This Row],[Hora de llegada]])+IF(Sala[[#This Row],[Estado de la Mesa]]="Ocupada",(TEXT((15/(60*24)),"h:mm")),(TEXT(0,"h:mm")))</f>
        <v>8.4722222222222227E-2</v>
      </c>
      <c r="P279" s="43">
        <f>(SUMIF(Cocina[Número de Orden],Sala[[#This Row],[Número de Orden]],Cocina[Tiempo de Preparación]))</f>
        <v>61</v>
      </c>
      <c r="Q279" s="5" t="str">
        <f>TEXT(((SUMIF(Cocina[Número de Orden],Sala[[#This Row],[Número de Orden]],Cocina[Tiempo de Preparación]))/(60*24)),"h:mm")</f>
        <v>1:01</v>
      </c>
      <c r="R279" s="3">
        <f>MAX((Sala[[#This Row],[Tiempo de permanencia]]-Sala[[#This Row],[Tiempo de preparación (h)]]),0)</f>
        <v>4.2361111111111113E-2</v>
      </c>
      <c r="S279" s="8">
        <f>SUMIF(Cocina[Número de Orden],Sala[[#This Row],[Número de Orden]],Cocina[Ganancia bruta])</f>
        <v>141</v>
      </c>
      <c r="T279" s="8">
        <f>SUMIF(Cocina[Número de Orden],Sala[[#This Row],[Número de Orden]],Cocina[Costo Unitario])</f>
        <v>33</v>
      </c>
      <c r="U279" s="2">
        <f>Sala[[#This Row],[Fecha de Salida]]</f>
        <v>45019</v>
      </c>
      <c r="V279" s="7" t="str">
        <f>TEXT(Sala[[#This Row],[Fecha factura]],"dddd")</f>
        <v>lunes</v>
      </c>
      <c r="W279" t="str">
        <f>IF(Sala[[#This Row],[Tiempo de degustación]]&gt;0,"Sí","No")</f>
        <v>Sí</v>
      </c>
      <c r="X279" t="str">
        <f>IF(Sala[[#This Row],[Cobrada]]="Sí",Sala[[#This Row],[Método de Pago]],"Impago")</f>
        <v>Efectivo</v>
      </c>
      <c r="Y279">
        <f>IF(Sala[[#This Row],[Cobrada]]="Sí",Sala[[#This Row],[Propina]],0)</f>
        <v>41.36</v>
      </c>
      <c r="Z279">
        <f>(IF(Sala[[#This Row],[Cobrada]]="Sí",Sala[[#This Row],[Monto total]],0))+Sala[[#This Row],[Propina real]]</f>
        <v>182.36</v>
      </c>
    </row>
    <row r="280" spans="1:26" x14ac:dyDescent="0.25">
      <c r="A280">
        <v>11</v>
      </c>
      <c r="B280" t="s">
        <v>91</v>
      </c>
      <c r="C280">
        <v>5</v>
      </c>
      <c r="D280" s="2">
        <v>45019</v>
      </c>
      <c r="E280" s="3">
        <v>1.0416666666666666E-2</v>
      </c>
      <c r="F280" s="2">
        <v>45019</v>
      </c>
      <c r="G280" s="3">
        <v>0.1076388888888889</v>
      </c>
      <c r="H280" s="1" t="s">
        <v>16</v>
      </c>
      <c r="I280" t="s">
        <v>25</v>
      </c>
      <c r="J280" t="s">
        <v>601</v>
      </c>
      <c r="K280" s="9">
        <v>43.53</v>
      </c>
      <c r="L280" t="s">
        <v>17</v>
      </c>
      <c r="M280">
        <v>279</v>
      </c>
      <c r="N280" t="s">
        <v>29</v>
      </c>
      <c r="O280" s="3">
        <f>(Sala[[#This Row],[Hora de Salida]]-Sala[[#This Row],[Hora de llegada]])+IF(Sala[[#This Row],[Estado de la Mesa]]="Ocupada",(TEXT((15/(60*24)),"h:mm")),(TEXT(0,"h:mm")))</f>
        <v>9.7222222222222224E-2</v>
      </c>
      <c r="P280" s="43">
        <f>(SUMIF(Cocina[Número de Orden],Sala[[#This Row],[Número de Orden]],Cocina[Tiempo de Preparación]))</f>
        <v>142</v>
      </c>
      <c r="Q280" s="5" t="str">
        <f>TEXT(((SUMIF(Cocina[Número de Orden],Sala[[#This Row],[Número de Orden]],Cocina[Tiempo de Preparación]))/(60*24)),"h:mm")</f>
        <v>2:22</v>
      </c>
      <c r="R280" s="3">
        <f>MAX((Sala[[#This Row],[Tiempo de permanencia]]-Sala[[#This Row],[Tiempo de preparación (h)]]),0)</f>
        <v>0</v>
      </c>
      <c r="S280" s="8">
        <f>SUMIF(Cocina[Número de Orden],Sala[[#This Row],[Número de Orden]],Cocina[Ganancia bruta])</f>
        <v>201</v>
      </c>
      <c r="T280" s="8">
        <f>SUMIF(Cocina[Número de Orden],Sala[[#This Row],[Número de Orden]],Cocina[Costo Unitario])</f>
        <v>72</v>
      </c>
      <c r="U280" s="2">
        <f>Sala[[#This Row],[Fecha de Salida]]</f>
        <v>45019</v>
      </c>
      <c r="V280" s="7" t="str">
        <f>TEXT(Sala[[#This Row],[Fecha factura]],"dddd")</f>
        <v>lunes</v>
      </c>
      <c r="W280" t="str">
        <f>IF(Sala[[#This Row],[Tiempo de degustación]]&gt;0,"Sí","No")</f>
        <v>No</v>
      </c>
      <c r="X280" t="str">
        <f>IF(Sala[[#This Row],[Cobrada]]="Sí",Sala[[#This Row],[Método de Pago]],"Impago")</f>
        <v>Impago</v>
      </c>
      <c r="Y280">
        <f>IF(Sala[[#This Row],[Cobrada]]="Sí",Sala[[#This Row],[Propina]],0)</f>
        <v>0</v>
      </c>
      <c r="Z280">
        <f>(IF(Sala[[#This Row],[Cobrada]]="Sí",Sala[[#This Row],[Monto total]],0))+Sala[[#This Row],[Propina real]]</f>
        <v>0</v>
      </c>
    </row>
    <row r="281" spans="1:26" x14ac:dyDescent="0.25">
      <c r="A281">
        <v>14</v>
      </c>
      <c r="B281" t="s">
        <v>295</v>
      </c>
      <c r="C281">
        <v>6</v>
      </c>
      <c r="D281" s="2">
        <v>45019</v>
      </c>
      <c r="E281" s="3">
        <v>2.0833333333333332E-2</v>
      </c>
      <c r="F281" s="2">
        <v>45019</v>
      </c>
      <c r="G281" s="3">
        <v>0.11180555555555556</v>
      </c>
      <c r="H281" s="1" t="s">
        <v>20</v>
      </c>
      <c r="I281" t="s">
        <v>8</v>
      </c>
      <c r="J281" t="s">
        <v>601</v>
      </c>
      <c r="K281" s="9">
        <v>36.08</v>
      </c>
      <c r="L281" t="s">
        <v>9</v>
      </c>
      <c r="M281">
        <v>280</v>
      </c>
      <c r="N281" t="s">
        <v>44</v>
      </c>
      <c r="O281" s="3">
        <f>(Sala[[#This Row],[Hora de Salida]]-Sala[[#This Row],[Hora de llegada]])+IF(Sala[[#This Row],[Estado de la Mesa]]="Ocupada",(TEXT((15/(60*24)),"h:mm")),(TEXT(0,"h:mm")))</f>
        <v>9.0972222222222232E-2</v>
      </c>
      <c r="P281" s="43">
        <f>(SUMIF(Cocina[Número de Orden],Sala[[#This Row],[Número de Orden]],Cocina[Tiempo de Preparación]))</f>
        <v>86</v>
      </c>
      <c r="Q281" s="5" t="str">
        <f>TEXT(((SUMIF(Cocina[Número de Orden],Sala[[#This Row],[Número de Orden]],Cocina[Tiempo de Preparación]))/(60*24)),"h:mm")</f>
        <v>1:26</v>
      </c>
      <c r="R281" s="3">
        <f>MAX((Sala[[#This Row],[Tiempo de permanencia]]-Sala[[#This Row],[Tiempo de preparación (h)]]),0)</f>
        <v>3.1250000000000007E-2</v>
      </c>
      <c r="S281" s="8">
        <f>SUMIF(Cocina[Número de Orden],Sala[[#This Row],[Número de Orden]],Cocina[Ganancia bruta])</f>
        <v>117</v>
      </c>
      <c r="T281" s="8">
        <f>SUMIF(Cocina[Número de Orden],Sala[[#This Row],[Número de Orden]],Cocina[Costo Unitario])</f>
        <v>28</v>
      </c>
      <c r="U281" s="2">
        <f>Sala[[#This Row],[Fecha de Salida]]</f>
        <v>45019</v>
      </c>
      <c r="V281" s="7" t="str">
        <f>TEXT(Sala[[#This Row],[Fecha factura]],"dddd")</f>
        <v>lunes</v>
      </c>
      <c r="W281" t="str">
        <f>IF(Sala[[#This Row],[Tiempo de degustación]]&gt;0,"Sí","No")</f>
        <v>Sí</v>
      </c>
      <c r="X281" t="str">
        <f>IF(Sala[[#This Row],[Cobrada]]="Sí",Sala[[#This Row],[Método de Pago]],"Impago")</f>
        <v>Tarjeta de crédito</v>
      </c>
      <c r="Y281">
        <f>IF(Sala[[#This Row],[Cobrada]]="Sí",Sala[[#This Row],[Propina]],0)</f>
        <v>36.08</v>
      </c>
      <c r="Z281">
        <f>(IF(Sala[[#This Row],[Cobrada]]="Sí",Sala[[#This Row],[Monto total]],0))+Sala[[#This Row],[Propina real]]</f>
        <v>153.07999999999998</v>
      </c>
    </row>
    <row r="282" spans="1:26" x14ac:dyDescent="0.25">
      <c r="A282">
        <v>18</v>
      </c>
      <c r="B282" t="s">
        <v>296</v>
      </c>
      <c r="C282">
        <v>2</v>
      </c>
      <c r="D282" s="2">
        <v>45019</v>
      </c>
      <c r="E282" s="3">
        <v>0.16111111111111112</v>
      </c>
      <c r="F282" s="2">
        <v>45019</v>
      </c>
      <c r="G282" s="3">
        <v>0.3263888888888889</v>
      </c>
      <c r="H282" s="1" t="s">
        <v>23</v>
      </c>
      <c r="I282" t="s">
        <v>12</v>
      </c>
      <c r="J282" t="s">
        <v>13</v>
      </c>
      <c r="K282" s="9">
        <v>44.3</v>
      </c>
      <c r="L282" t="s">
        <v>28</v>
      </c>
      <c r="M282">
        <v>281</v>
      </c>
      <c r="N282" t="s">
        <v>593</v>
      </c>
      <c r="O282" s="3">
        <f>(Sala[[#This Row],[Hora de Salida]]-Sala[[#This Row],[Hora de llegada]])+IF(Sala[[#This Row],[Estado de la Mesa]]="Ocupada",(TEXT((15/(60*24)),"h:mm")),(TEXT(0,"h:mm")))</f>
        <v>0.17569444444444443</v>
      </c>
      <c r="P282" s="43">
        <f>(SUMIF(Cocina[Número de Orden],Sala[[#This Row],[Número de Orden]],Cocina[Tiempo de Preparación]))</f>
        <v>9</v>
      </c>
      <c r="Q282" s="5" t="str">
        <f>TEXT(((SUMIF(Cocina[Número de Orden],Sala[[#This Row],[Número de Orden]],Cocina[Tiempo de Preparación]))/(60*24)),"h:mm")</f>
        <v>0:09</v>
      </c>
      <c r="R282" s="3">
        <f>MAX((Sala[[#This Row],[Tiempo de permanencia]]-Sala[[#This Row],[Tiempo de preparación (h)]]),0)</f>
        <v>0.16944444444444443</v>
      </c>
      <c r="S282" s="8">
        <f>SUMIF(Cocina[Número de Orden],Sala[[#This Row],[Número de Orden]],Cocina[Ganancia bruta])</f>
        <v>66</v>
      </c>
      <c r="T282" s="8">
        <f>SUMIF(Cocina[Número de Orden],Sala[[#This Row],[Número de Orden]],Cocina[Costo Unitario])</f>
        <v>20</v>
      </c>
      <c r="U282" s="2">
        <f>Sala[[#This Row],[Fecha de Salida]]</f>
        <v>45019</v>
      </c>
      <c r="V282" s="7" t="str">
        <f>TEXT(Sala[[#This Row],[Fecha factura]],"dddd")</f>
        <v>lunes</v>
      </c>
      <c r="W282" t="str">
        <f>IF(Sala[[#This Row],[Tiempo de degustación]]&gt;0,"Sí","No")</f>
        <v>Sí</v>
      </c>
      <c r="X282" t="str">
        <f>IF(Sala[[#This Row],[Cobrada]]="Sí",Sala[[#This Row],[Método de Pago]],"Impago")</f>
        <v>Efectivo</v>
      </c>
      <c r="Y282">
        <f>IF(Sala[[#This Row],[Cobrada]]="Sí",Sala[[#This Row],[Propina]],0)</f>
        <v>44.3</v>
      </c>
      <c r="Z282">
        <f>(IF(Sala[[#This Row],[Cobrada]]="Sí",Sala[[#This Row],[Monto total]],0))+Sala[[#This Row],[Propina real]]</f>
        <v>110.3</v>
      </c>
    </row>
    <row r="283" spans="1:26" x14ac:dyDescent="0.25">
      <c r="A283">
        <v>6</v>
      </c>
      <c r="B283" t="s">
        <v>297</v>
      </c>
      <c r="C283">
        <v>1</v>
      </c>
      <c r="D283" s="2">
        <v>45019</v>
      </c>
      <c r="E283" s="3">
        <v>4.9305555555555554E-2</v>
      </c>
      <c r="F283" s="2">
        <v>45019</v>
      </c>
      <c r="G283" s="3">
        <v>0.20972222222222223</v>
      </c>
      <c r="H283" s="1" t="s">
        <v>23</v>
      </c>
      <c r="I283" t="s">
        <v>8</v>
      </c>
      <c r="J283" t="s">
        <v>601</v>
      </c>
      <c r="K283" s="9">
        <v>19.05</v>
      </c>
      <c r="L283" t="s">
        <v>17</v>
      </c>
      <c r="M283">
        <v>282</v>
      </c>
      <c r="N283" t="s">
        <v>34</v>
      </c>
      <c r="O283" s="3">
        <f>(Sala[[#This Row],[Hora de Salida]]-Sala[[#This Row],[Hora de llegada]])+IF(Sala[[#This Row],[Estado de la Mesa]]="Ocupada",(TEXT((15/(60*24)),"h:mm")),(TEXT(0,"h:mm")))</f>
        <v>0.16041666666666668</v>
      </c>
      <c r="P283" s="43">
        <f>(SUMIF(Cocina[Número de Orden],Sala[[#This Row],[Número de Orden]],Cocina[Tiempo de Preparación]))</f>
        <v>114</v>
      </c>
      <c r="Q283" s="5" t="str">
        <f>TEXT(((SUMIF(Cocina[Número de Orden],Sala[[#This Row],[Número de Orden]],Cocina[Tiempo de Preparación]))/(60*24)),"h:mm")</f>
        <v>1:54</v>
      </c>
      <c r="R283" s="3">
        <f>MAX((Sala[[#This Row],[Tiempo de permanencia]]-Sala[[#This Row],[Tiempo de preparación (h)]]),0)</f>
        <v>8.1250000000000017E-2</v>
      </c>
      <c r="S283" s="8">
        <f>SUMIF(Cocina[Número de Orden],Sala[[#This Row],[Número de Orden]],Cocina[Ganancia bruta])</f>
        <v>74</v>
      </c>
      <c r="T283" s="8">
        <f>SUMIF(Cocina[Número de Orden],Sala[[#This Row],[Número de Orden]],Cocina[Costo Unitario])</f>
        <v>22</v>
      </c>
      <c r="U283" s="2">
        <f>Sala[[#This Row],[Fecha de Salida]]</f>
        <v>45019</v>
      </c>
      <c r="V283" s="7" t="str">
        <f>TEXT(Sala[[#This Row],[Fecha factura]],"dddd")</f>
        <v>lunes</v>
      </c>
      <c r="W283" t="str">
        <f>IF(Sala[[#This Row],[Tiempo de degustación]]&gt;0,"Sí","No")</f>
        <v>Sí</v>
      </c>
      <c r="X283" t="str">
        <f>IF(Sala[[#This Row],[Cobrada]]="Sí",Sala[[#This Row],[Método de Pago]],"Impago")</f>
        <v>Tarjeta de crédito</v>
      </c>
      <c r="Y283">
        <f>IF(Sala[[#This Row],[Cobrada]]="Sí",Sala[[#This Row],[Propina]],0)</f>
        <v>19.05</v>
      </c>
      <c r="Z283">
        <f>(IF(Sala[[#This Row],[Cobrada]]="Sí",Sala[[#This Row],[Monto total]],0))+Sala[[#This Row],[Propina real]]</f>
        <v>93.05</v>
      </c>
    </row>
    <row r="284" spans="1:26" x14ac:dyDescent="0.25">
      <c r="A284">
        <v>19</v>
      </c>
      <c r="B284" t="s">
        <v>298</v>
      </c>
      <c r="C284">
        <v>5</v>
      </c>
      <c r="D284" s="2">
        <v>45019</v>
      </c>
      <c r="E284" s="3">
        <v>4.4444444444444446E-2</v>
      </c>
      <c r="F284" s="2">
        <v>45019</v>
      </c>
      <c r="G284" s="3">
        <v>0.2</v>
      </c>
      <c r="H284" s="1" t="s">
        <v>20</v>
      </c>
      <c r="I284" t="s">
        <v>25</v>
      </c>
      <c r="J284" t="s">
        <v>601</v>
      </c>
      <c r="K284" s="9">
        <v>43.07</v>
      </c>
      <c r="L284" t="s">
        <v>17</v>
      </c>
      <c r="M284">
        <v>283</v>
      </c>
      <c r="N284" t="s">
        <v>18</v>
      </c>
      <c r="O284" s="3">
        <f>(Sala[[#This Row],[Hora de Salida]]-Sala[[#This Row],[Hora de llegada]])+IF(Sala[[#This Row],[Estado de la Mesa]]="Ocupada",(TEXT((15/(60*24)),"h:mm")),(TEXT(0,"h:mm")))</f>
        <v>0.15555555555555556</v>
      </c>
      <c r="P284" s="43">
        <f>(SUMIF(Cocina[Número de Orden],Sala[[#This Row],[Número de Orden]],Cocina[Tiempo de Preparación]))</f>
        <v>6</v>
      </c>
      <c r="Q284" s="5" t="str">
        <f>TEXT(((SUMIF(Cocina[Número de Orden],Sala[[#This Row],[Número de Orden]],Cocina[Tiempo de Preparación]))/(60*24)),"h:mm")</f>
        <v>0:06</v>
      </c>
      <c r="R284" s="3">
        <f>MAX((Sala[[#This Row],[Tiempo de permanencia]]-Sala[[#This Row],[Tiempo de preparación (h)]]),0)</f>
        <v>0.15138888888888888</v>
      </c>
      <c r="S284" s="8">
        <f>SUMIF(Cocina[Número de Orden],Sala[[#This Row],[Número de Orden]],Cocina[Ganancia bruta])</f>
        <v>78</v>
      </c>
      <c r="T284" s="8">
        <f>SUMIF(Cocina[Número de Orden],Sala[[#This Row],[Número de Orden]],Cocina[Costo Unitario])</f>
        <v>15</v>
      </c>
      <c r="U284" s="2">
        <f>Sala[[#This Row],[Fecha de Salida]]</f>
        <v>45019</v>
      </c>
      <c r="V284" s="7" t="str">
        <f>TEXT(Sala[[#This Row],[Fecha factura]],"dddd")</f>
        <v>lunes</v>
      </c>
      <c r="W284" t="str">
        <f>IF(Sala[[#This Row],[Tiempo de degustación]]&gt;0,"Sí","No")</f>
        <v>Sí</v>
      </c>
      <c r="X284" t="str">
        <f>IF(Sala[[#This Row],[Cobrada]]="Sí",Sala[[#This Row],[Método de Pago]],"Impago")</f>
        <v>Tarjeta de crédito</v>
      </c>
      <c r="Y284">
        <f>IF(Sala[[#This Row],[Cobrada]]="Sí",Sala[[#This Row],[Propina]],0)</f>
        <v>43.07</v>
      </c>
      <c r="Z284">
        <f>(IF(Sala[[#This Row],[Cobrada]]="Sí",Sala[[#This Row],[Monto total]],0))+Sala[[#This Row],[Propina real]]</f>
        <v>121.07</v>
      </c>
    </row>
    <row r="285" spans="1:26" x14ac:dyDescent="0.25">
      <c r="A285">
        <v>11</v>
      </c>
      <c r="B285" t="s">
        <v>299</v>
      </c>
      <c r="C285">
        <v>4</v>
      </c>
      <c r="D285" s="2">
        <v>45019</v>
      </c>
      <c r="E285" s="3">
        <v>0.10277777777777777</v>
      </c>
      <c r="F285" s="2">
        <v>45019</v>
      </c>
      <c r="G285" s="3">
        <v>0.19236111111111112</v>
      </c>
      <c r="H285" s="1" t="s">
        <v>20</v>
      </c>
      <c r="I285" t="s">
        <v>8</v>
      </c>
      <c r="J285" t="s">
        <v>600</v>
      </c>
      <c r="K285" s="9">
        <v>29.99</v>
      </c>
      <c r="L285" t="s">
        <v>28</v>
      </c>
      <c r="M285">
        <v>284</v>
      </c>
      <c r="N285" t="s">
        <v>593</v>
      </c>
      <c r="O285" s="3">
        <f>(Sala[[#This Row],[Hora de Salida]]-Sala[[#This Row],[Hora de llegada]])+IF(Sala[[#This Row],[Estado de la Mesa]]="Ocupada",(TEXT((15/(60*24)),"h:mm")),(TEXT(0,"h:mm")))</f>
        <v>0.10000000000000002</v>
      </c>
      <c r="P285" s="43">
        <f>(SUMIF(Cocina[Número de Orden],Sala[[#This Row],[Número de Orden]],Cocina[Tiempo de Preparación]))</f>
        <v>195</v>
      </c>
      <c r="Q285" s="5" t="str">
        <f>TEXT(((SUMIF(Cocina[Número de Orden],Sala[[#This Row],[Número de Orden]],Cocina[Tiempo de Preparación]))/(60*24)),"h:mm")</f>
        <v>3:15</v>
      </c>
      <c r="R285" s="3">
        <f>MAX((Sala[[#This Row],[Tiempo de permanencia]]-Sala[[#This Row],[Tiempo de preparación (h)]]),0)</f>
        <v>0</v>
      </c>
      <c r="S285" s="8">
        <f>SUMIF(Cocina[Número de Orden],Sala[[#This Row],[Número de Orden]],Cocina[Ganancia bruta])</f>
        <v>158</v>
      </c>
      <c r="T285" s="8">
        <f>SUMIF(Cocina[Número de Orden],Sala[[#This Row],[Número de Orden]],Cocina[Costo Unitario])</f>
        <v>59</v>
      </c>
      <c r="U285" s="2">
        <f>Sala[[#This Row],[Fecha de Salida]]</f>
        <v>45019</v>
      </c>
      <c r="V285" s="7" t="str">
        <f>TEXT(Sala[[#This Row],[Fecha factura]],"dddd")</f>
        <v>lunes</v>
      </c>
      <c r="W285" t="str">
        <f>IF(Sala[[#This Row],[Tiempo de degustación]]&gt;0,"Sí","No")</f>
        <v>No</v>
      </c>
      <c r="X285" t="str">
        <f>IF(Sala[[#This Row],[Cobrada]]="Sí",Sala[[#This Row],[Método de Pago]],"Impago")</f>
        <v>Impago</v>
      </c>
      <c r="Y285">
        <f>IF(Sala[[#This Row],[Cobrada]]="Sí",Sala[[#This Row],[Propina]],0)</f>
        <v>0</v>
      </c>
      <c r="Z285">
        <f>(IF(Sala[[#This Row],[Cobrada]]="Sí",Sala[[#This Row],[Monto total]],0))+Sala[[#This Row],[Propina real]]</f>
        <v>0</v>
      </c>
    </row>
    <row r="286" spans="1:26" x14ac:dyDescent="0.25">
      <c r="A286">
        <v>18</v>
      </c>
      <c r="B286" t="s">
        <v>300</v>
      </c>
      <c r="C286">
        <v>6</v>
      </c>
      <c r="D286" s="2">
        <v>45019</v>
      </c>
      <c r="E286" s="3">
        <v>0.12708333333333333</v>
      </c>
      <c r="F286" s="2">
        <v>45019</v>
      </c>
      <c r="G286" s="3">
        <v>0.25347222222222221</v>
      </c>
      <c r="H286" s="1" t="s">
        <v>23</v>
      </c>
      <c r="I286" t="s">
        <v>8</v>
      </c>
      <c r="J286" t="s">
        <v>600</v>
      </c>
      <c r="K286" s="9">
        <v>10.94</v>
      </c>
      <c r="L286" t="s">
        <v>9</v>
      </c>
      <c r="M286">
        <v>285</v>
      </c>
      <c r="N286" t="s">
        <v>594</v>
      </c>
      <c r="O286" s="3">
        <f>(Sala[[#This Row],[Hora de Salida]]-Sala[[#This Row],[Hora de llegada]])+IF(Sala[[#This Row],[Estado de la Mesa]]="Ocupada",(TEXT((15/(60*24)),"h:mm")),(TEXT(0,"h:mm")))</f>
        <v>0.12638888888888888</v>
      </c>
      <c r="P286" s="43">
        <f>(SUMIF(Cocina[Número de Orden],Sala[[#This Row],[Número de Orden]],Cocina[Tiempo de Preparación]))</f>
        <v>12</v>
      </c>
      <c r="Q286" s="5" t="str">
        <f>TEXT(((SUMIF(Cocina[Número de Orden],Sala[[#This Row],[Número de Orden]],Cocina[Tiempo de Preparación]))/(60*24)),"h:mm")</f>
        <v>0:12</v>
      </c>
      <c r="R286" s="3">
        <f>MAX((Sala[[#This Row],[Tiempo de permanencia]]-Sala[[#This Row],[Tiempo de preparación (h)]]),0)</f>
        <v>0.11805555555555555</v>
      </c>
      <c r="S286" s="8">
        <f>SUMIF(Cocina[Número de Orden],Sala[[#This Row],[Número de Orden]],Cocina[Ganancia bruta])</f>
        <v>42</v>
      </c>
      <c r="T286" s="8">
        <f>SUMIF(Cocina[Número de Orden],Sala[[#This Row],[Número de Orden]],Cocina[Costo Unitario])</f>
        <v>13</v>
      </c>
      <c r="U286" s="2">
        <f>Sala[[#This Row],[Fecha de Salida]]</f>
        <v>45019</v>
      </c>
      <c r="V286" s="7" t="str">
        <f>TEXT(Sala[[#This Row],[Fecha factura]],"dddd")</f>
        <v>lunes</v>
      </c>
      <c r="W286" t="str">
        <f>IF(Sala[[#This Row],[Tiempo de degustación]]&gt;0,"Sí","No")</f>
        <v>Sí</v>
      </c>
      <c r="X286" t="str">
        <f>IF(Sala[[#This Row],[Cobrada]]="Sí",Sala[[#This Row],[Método de Pago]],"Impago")</f>
        <v>Tarjeta de débito</v>
      </c>
      <c r="Y286">
        <f>IF(Sala[[#This Row],[Cobrada]]="Sí",Sala[[#This Row],[Propina]],0)</f>
        <v>10.94</v>
      </c>
      <c r="Z286">
        <f>(IF(Sala[[#This Row],[Cobrada]]="Sí",Sala[[#This Row],[Monto total]],0))+Sala[[#This Row],[Propina real]]</f>
        <v>52.94</v>
      </c>
    </row>
    <row r="287" spans="1:26" x14ac:dyDescent="0.25">
      <c r="A287">
        <v>15</v>
      </c>
      <c r="B287" t="s">
        <v>130</v>
      </c>
      <c r="C287">
        <v>6</v>
      </c>
      <c r="D287" s="2">
        <v>45019</v>
      </c>
      <c r="E287" s="3">
        <v>1.5277777777777777E-2</v>
      </c>
      <c r="F287" s="2">
        <v>45019</v>
      </c>
      <c r="G287" s="3">
        <v>0.10277777777777777</v>
      </c>
      <c r="H287" s="1" t="s">
        <v>7</v>
      </c>
      <c r="I287" t="s">
        <v>8</v>
      </c>
      <c r="J287" t="s">
        <v>601</v>
      </c>
      <c r="K287" s="9">
        <v>41.96</v>
      </c>
      <c r="L287" t="s">
        <v>28</v>
      </c>
      <c r="M287">
        <v>286</v>
      </c>
      <c r="N287" t="s">
        <v>59</v>
      </c>
      <c r="O287" s="3">
        <f>(Sala[[#This Row],[Hora de Salida]]-Sala[[#This Row],[Hora de llegada]])+IF(Sala[[#This Row],[Estado de la Mesa]]="Ocupada",(TEXT((15/(60*24)),"h:mm")),(TEXT(0,"h:mm")))</f>
        <v>9.7916666666666666E-2</v>
      </c>
      <c r="P287" s="43">
        <f>(SUMIF(Cocina[Número de Orden],Sala[[#This Row],[Número de Orden]],Cocina[Tiempo de Preparación]))</f>
        <v>25</v>
      </c>
      <c r="Q287" s="5" t="str">
        <f>TEXT(((SUMIF(Cocina[Número de Orden],Sala[[#This Row],[Número de Orden]],Cocina[Tiempo de Preparación]))/(60*24)),"h:mm")</f>
        <v>0:25</v>
      </c>
      <c r="R287" s="3">
        <f>MAX((Sala[[#This Row],[Tiempo de permanencia]]-Sala[[#This Row],[Tiempo de preparación (h)]]),0)</f>
        <v>8.0555555555555547E-2</v>
      </c>
      <c r="S287" s="8">
        <f>SUMIF(Cocina[Número de Orden],Sala[[#This Row],[Número de Orden]],Cocina[Ganancia bruta])</f>
        <v>68</v>
      </c>
      <c r="T287" s="8">
        <f>SUMIF(Cocina[Número de Orden],Sala[[#This Row],[Número de Orden]],Cocina[Costo Unitario])</f>
        <v>20</v>
      </c>
      <c r="U287" s="2">
        <f>Sala[[#This Row],[Fecha de Salida]]</f>
        <v>45019</v>
      </c>
      <c r="V287" s="7" t="str">
        <f>TEXT(Sala[[#This Row],[Fecha factura]],"dddd")</f>
        <v>lunes</v>
      </c>
      <c r="W287" t="str">
        <f>IF(Sala[[#This Row],[Tiempo de degustación]]&gt;0,"Sí","No")</f>
        <v>Sí</v>
      </c>
      <c r="X287" t="str">
        <f>IF(Sala[[#This Row],[Cobrada]]="Sí",Sala[[#This Row],[Método de Pago]],"Impago")</f>
        <v>Tarjeta de crédito</v>
      </c>
      <c r="Y287">
        <f>IF(Sala[[#This Row],[Cobrada]]="Sí",Sala[[#This Row],[Propina]],0)</f>
        <v>41.96</v>
      </c>
      <c r="Z287">
        <f>(IF(Sala[[#This Row],[Cobrada]]="Sí",Sala[[#This Row],[Monto total]],0))+Sala[[#This Row],[Propina real]]</f>
        <v>109.96000000000001</v>
      </c>
    </row>
    <row r="288" spans="1:26" x14ac:dyDescent="0.25">
      <c r="A288">
        <v>20</v>
      </c>
      <c r="B288" t="s">
        <v>176</v>
      </c>
      <c r="C288">
        <v>2</v>
      </c>
      <c r="D288" s="2">
        <v>45019</v>
      </c>
      <c r="E288" s="3">
        <v>0.15069444444444444</v>
      </c>
      <c r="F288" s="2">
        <v>45019</v>
      </c>
      <c r="G288" s="3">
        <v>0.19722222222222222</v>
      </c>
      <c r="H288" s="1" t="s">
        <v>20</v>
      </c>
      <c r="I288" t="s">
        <v>8</v>
      </c>
      <c r="J288" t="s">
        <v>600</v>
      </c>
      <c r="K288" s="9">
        <v>31.67</v>
      </c>
      <c r="L288" t="s">
        <v>9</v>
      </c>
      <c r="M288">
        <v>287</v>
      </c>
      <c r="N288" t="s">
        <v>14</v>
      </c>
      <c r="O288" s="3">
        <f>(Sala[[#This Row],[Hora de Salida]]-Sala[[#This Row],[Hora de llegada]])+IF(Sala[[#This Row],[Estado de la Mesa]]="Ocupada",(TEXT((15/(60*24)),"h:mm")),(TEXT(0,"h:mm")))</f>
        <v>4.6527777777777779E-2</v>
      </c>
      <c r="P288" s="43">
        <f>(SUMIF(Cocina[Número de Orden],Sala[[#This Row],[Número de Orden]],Cocina[Tiempo de Preparación]))</f>
        <v>121</v>
      </c>
      <c r="Q288" s="5" t="str">
        <f>TEXT(((SUMIF(Cocina[Número de Orden],Sala[[#This Row],[Número de Orden]],Cocina[Tiempo de Preparación]))/(60*24)),"h:mm")</f>
        <v>2:01</v>
      </c>
      <c r="R288" s="3">
        <f>MAX((Sala[[#This Row],[Tiempo de permanencia]]-Sala[[#This Row],[Tiempo de preparación (h)]]),0)</f>
        <v>0</v>
      </c>
      <c r="S288" s="8">
        <f>SUMIF(Cocina[Número de Orden],Sala[[#This Row],[Número de Orden]],Cocina[Ganancia bruta])</f>
        <v>202</v>
      </c>
      <c r="T288" s="8">
        <f>SUMIF(Cocina[Número de Orden],Sala[[#This Row],[Número de Orden]],Cocina[Costo Unitario])</f>
        <v>51</v>
      </c>
      <c r="U288" s="2">
        <f>Sala[[#This Row],[Fecha de Salida]]</f>
        <v>45019</v>
      </c>
      <c r="V288" s="7" t="str">
        <f>TEXT(Sala[[#This Row],[Fecha factura]],"dddd")</f>
        <v>lunes</v>
      </c>
      <c r="W288" t="str">
        <f>IF(Sala[[#This Row],[Tiempo de degustación]]&gt;0,"Sí","No")</f>
        <v>No</v>
      </c>
      <c r="X288" t="str">
        <f>IF(Sala[[#This Row],[Cobrada]]="Sí",Sala[[#This Row],[Método de Pago]],"Impago")</f>
        <v>Impago</v>
      </c>
      <c r="Y288">
        <f>IF(Sala[[#This Row],[Cobrada]]="Sí",Sala[[#This Row],[Propina]],0)</f>
        <v>0</v>
      </c>
      <c r="Z288">
        <f>(IF(Sala[[#This Row],[Cobrada]]="Sí",Sala[[#This Row],[Monto total]],0))+Sala[[#This Row],[Propina real]]</f>
        <v>0</v>
      </c>
    </row>
    <row r="289" spans="1:26" x14ac:dyDescent="0.25">
      <c r="A289">
        <v>15</v>
      </c>
      <c r="B289" t="s">
        <v>301</v>
      </c>
      <c r="C289">
        <v>3</v>
      </c>
      <c r="D289" s="2">
        <v>45019</v>
      </c>
      <c r="E289" s="3">
        <v>8.8888888888888892E-2</v>
      </c>
      <c r="F289" s="2">
        <v>45019</v>
      </c>
      <c r="G289" s="3">
        <v>0.23125000000000001</v>
      </c>
      <c r="H289" s="1" t="s">
        <v>20</v>
      </c>
      <c r="I289" t="s">
        <v>25</v>
      </c>
      <c r="J289" t="s">
        <v>601</v>
      </c>
      <c r="K289" s="9">
        <v>13.3</v>
      </c>
      <c r="L289" t="s">
        <v>9</v>
      </c>
      <c r="M289">
        <v>288</v>
      </c>
      <c r="N289" t="s">
        <v>34</v>
      </c>
      <c r="O289" s="3">
        <f>(Sala[[#This Row],[Hora de Salida]]-Sala[[#This Row],[Hora de llegada]])+IF(Sala[[#This Row],[Estado de la Mesa]]="Ocupada",(TEXT((15/(60*24)),"h:mm")),(TEXT(0,"h:mm")))</f>
        <v>0.1423611111111111</v>
      </c>
      <c r="P289" s="43">
        <f>(SUMIF(Cocina[Número de Orden],Sala[[#This Row],[Número de Orden]],Cocina[Tiempo de Preparación]))</f>
        <v>38</v>
      </c>
      <c r="Q289" s="5" t="str">
        <f>TEXT(((SUMIF(Cocina[Número de Orden],Sala[[#This Row],[Número de Orden]],Cocina[Tiempo de Preparación]))/(60*24)),"h:mm")</f>
        <v>0:38</v>
      </c>
      <c r="R289" s="3">
        <f>MAX((Sala[[#This Row],[Tiempo de permanencia]]-Sala[[#This Row],[Tiempo de preparación (h)]]),0)</f>
        <v>0.11597222222222221</v>
      </c>
      <c r="S289" s="8">
        <f>SUMIF(Cocina[Número de Orden],Sala[[#This Row],[Número de Orden]],Cocina[Ganancia bruta])</f>
        <v>86</v>
      </c>
      <c r="T289" s="8">
        <f>SUMIF(Cocina[Número de Orden],Sala[[#This Row],[Número de Orden]],Cocina[Costo Unitario])</f>
        <v>25</v>
      </c>
      <c r="U289" s="2">
        <f>Sala[[#This Row],[Fecha de Salida]]</f>
        <v>45019</v>
      </c>
      <c r="V289" s="7" t="str">
        <f>TEXT(Sala[[#This Row],[Fecha factura]],"dddd")</f>
        <v>lunes</v>
      </c>
      <c r="W289" t="str">
        <f>IF(Sala[[#This Row],[Tiempo de degustación]]&gt;0,"Sí","No")</f>
        <v>Sí</v>
      </c>
      <c r="X289" t="str">
        <f>IF(Sala[[#This Row],[Cobrada]]="Sí",Sala[[#This Row],[Método de Pago]],"Impago")</f>
        <v>Tarjeta de crédito</v>
      </c>
      <c r="Y289">
        <f>IF(Sala[[#This Row],[Cobrada]]="Sí",Sala[[#This Row],[Propina]],0)</f>
        <v>13.3</v>
      </c>
      <c r="Z289">
        <f>(IF(Sala[[#This Row],[Cobrada]]="Sí",Sala[[#This Row],[Monto total]],0))+Sala[[#This Row],[Propina real]]</f>
        <v>99.3</v>
      </c>
    </row>
    <row r="290" spans="1:26" x14ac:dyDescent="0.25">
      <c r="A290">
        <v>15</v>
      </c>
      <c r="B290" t="s">
        <v>302</v>
      </c>
      <c r="C290">
        <v>5</v>
      </c>
      <c r="D290" s="2">
        <v>45019</v>
      </c>
      <c r="E290" s="3">
        <v>0.13055555555555556</v>
      </c>
      <c r="F290" s="2">
        <v>45019</v>
      </c>
      <c r="G290" s="3">
        <v>0.26597222222222222</v>
      </c>
      <c r="H290" s="1" t="s">
        <v>20</v>
      </c>
      <c r="I290" t="s">
        <v>8</v>
      </c>
      <c r="J290" t="s">
        <v>600</v>
      </c>
      <c r="K290" s="9">
        <v>26.56</v>
      </c>
      <c r="L290" t="s">
        <v>17</v>
      </c>
      <c r="M290">
        <v>289</v>
      </c>
      <c r="N290" t="s">
        <v>594</v>
      </c>
      <c r="O290" s="3">
        <f>(Sala[[#This Row],[Hora de Salida]]-Sala[[#This Row],[Hora de llegada]])+IF(Sala[[#This Row],[Estado de la Mesa]]="Ocupada",(TEXT((15/(60*24)),"h:mm")),(TEXT(0,"h:mm")))</f>
        <v>0.13541666666666666</v>
      </c>
      <c r="P290" s="43">
        <f>(SUMIF(Cocina[Número de Orden],Sala[[#This Row],[Número de Orden]],Cocina[Tiempo de Preparación]))</f>
        <v>68</v>
      </c>
      <c r="Q290" s="5" t="str">
        <f>TEXT(((SUMIF(Cocina[Número de Orden],Sala[[#This Row],[Número de Orden]],Cocina[Tiempo de Preparación]))/(60*24)),"h:mm")</f>
        <v>1:08</v>
      </c>
      <c r="R290" s="3">
        <f>MAX((Sala[[#This Row],[Tiempo de permanencia]]-Sala[[#This Row],[Tiempo de preparación (h)]]),0)</f>
        <v>8.8194444444444436E-2</v>
      </c>
      <c r="S290" s="8">
        <f>SUMIF(Cocina[Número de Orden],Sala[[#This Row],[Número de Orden]],Cocina[Ganancia bruta])</f>
        <v>138</v>
      </c>
      <c r="T290" s="8">
        <f>SUMIF(Cocina[Número de Orden],Sala[[#This Row],[Número de Orden]],Cocina[Costo Unitario])</f>
        <v>27</v>
      </c>
      <c r="U290" s="2">
        <f>Sala[[#This Row],[Fecha de Salida]]</f>
        <v>45019</v>
      </c>
      <c r="V290" s="7" t="str">
        <f>TEXT(Sala[[#This Row],[Fecha factura]],"dddd")</f>
        <v>lunes</v>
      </c>
      <c r="W290" t="str">
        <f>IF(Sala[[#This Row],[Tiempo de degustación]]&gt;0,"Sí","No")</f>
        <v>Sí</v>
      </c>
      <c r="X290" t="str">
        <f>IF(Sala[[#This Row],[Cobrada]]="Sí",Sala[[#This Row],[Método de Pago]],"Impago")</f>
        <v>Tarjeta de débito</v>
      </c>
      <c r="Y290">
        <f>IF(Sala[[#This Row],[Cobrada]]="Sí",Sala[[#This Row],[Propina]],0)</f>
        <v>26.56</v>
      </c>
      <c r="Z290">
        <f>(IF(Sala[[#This Row],[Cobrada]]="Sí",Sala[[#This Row],[Monto total]],0))+Sala[[#This Row],[Propina real]]</f>
        <v>164.56</v>
      </c>
    </row>
    <row r="291" spans="1:26" x14ac:dyDescent="0.25">
      <c r="A291">
        <v>19</v>
      </c>
      <c r="B291" t="s">
        <v>167</v>
      </c>
      <c r="C291">
        <v>3</v>
      </c>
      <c r="D291" s="2">
        <v>45019</v>
      </c>
      <c r="E291" s="3">
        <v>8.7499999999999994E-2</v>
      </c>
      <c r="F291" s="2">
        <v>45019</v>
      </c>
      <c r="G291" s="3">
        <v>0.18958333333333333</v>
      </c>
      <c r="H291" s="1" t="s">
        <v>7</v>
      </c>
      <c r="I291" t="s">
        <v>8</v>
      </c>
      <c r="J291" t="s">
        <v>601</v>
      </c>
      <c r="K291" s="9">
        <v>14.59</v>
      </c>
      <c r="L291" t="s">
        <v>28</v>
      </c>
      <c r="M291">
        <v>290</v>
      </c>
      <c r="N291" t="s">
        <v>594</v>
      </c>
      <c r="O291" s="3">
        <f>(Sala[[#This Row],[Hora de Salida]]-Sala[[#This Row],[Hora de llegada]])+IF(Sala[[#This Row],[Estado de la Mesa]]="Ocupada",(TEXT((15/(60*24)),"h:mm")),(TEXT(0,"h:mm")))</f>
        <v>0.1125</v>
      </c>
      <c r="P291" s="43">
        <f>(SUMIF(Cocina[Número de Orden],Sala[[#This Row],[Número de Orden]],Cocina[Tiempo de Preparación]))</f>
        <v>57</v>
      </c>
      <c r="Q291" s="5" t="str">
        <f>TEXT(((SUMIF(Cocina[Número de Orden],Sala[[#This Row],[Número de Orden]],Cocina[Tiempo de Preparación]))/(60*24)),"h:mm")</f>
        <v>0:57</v>
      </c>
      <c r="R291" s="3">
        <f>MAX((Sala[[#This Row],[Tiempo de permanencia]]-Sala[[#This Row],[Tiempo de preparación (h)]]),0)</f>
        <v>7.2916666666666671E-2</v>
      </c>
      <c r="S291" s="8">
        <f>SUMIF(Cocina[Número de Orden],Sala[[#This Row],[Número de Orden]],Cocina[Ganancia bruta])</f>
        <v>40</v>
      </c>
      <c r="T291" s="8">
        <f>SUMIF(Cocina[Número de Orden],Sala[[#This Row],[Número de Orden]],Cocina[Costo Unitario])</f>
        <v>25</v>
      </c>
      <c r="U291" s="2">
        <f>Sala[[#This Row],[Fecha de Salida]]</f>
        <v>45019</v>
      </c>
      <c r="V291" s="7" t="str">
        <f>TEXT(Sala[[#This Row],[Fecha factura]],"dddd")</f>
        <v>lunes</v>
      </c>
      <c r="W291" t="str">
        <f>IF(Sala[[#This Row],[Tiempo de degustación]]&gt;0,"Sí","No")</f>
        <v>Sí</v>
      </c>
      <c r="X291" t="str">
        <f>IF(Sala[[#This Row],[Cobrada]]="Sí",Sala[[#This Row],[Método de Pago]],"Impago")</f>
        <v>Tarjeta de crédito</v>
      </c>
      <c r="Y291">
        <f>IF(Sala[[#This Row],[Cobrada]]="Sí",Sala[[#This Row],[Propina]],0)</f>
        <v>14.59</v>
      </c>
      <c r="Z291">
        <f>(IF(Sala[[#This Row],[Cobrada]]="Sí",Sala[[#This Row],[Monto total]],0))+Sala[[#This Row],[Propina real]]</f>
        <v>54.59</v>
      </c>
    </row>
    <row r="292" spans="1:26" x14ac:dyDescent="0.25">
      <c r="A292">
        <v>2</v>
      </c>
      <c r="B292" t="s">
        <v>303</v>
      </c>
      <c r="C292">
        <v>6</v>
      </c>
      <c r="D292" s="2">
        <v>45019</v>
      </c>
      <c r="E292" s="3">
        <v>0.13750000000000001</v>
      </c>
      <c r="F292" s="2">
        <v>45019</v>
      </c>
      <c r="G292" s="3">
        <v>0.25624999999999998</v>
      </c>
      <c r="H292" s="1" t="s">
        <v>16</v>
      </c>
      <c r="I292" t="s">
        <v>12</v>
      </c>
      <c r="J292" t="s">
        <v>13</v>
      </c>
      <c r="K292" s="9">
        <v>15.44</v>
      </c>
      <c r="L292" t="s">
        <v>28</v>
      </c>
      <c r="M292">
        <v>291</v>
      </c>
      <c r="N292" t="s">
        <v>32</v>
      </c>
      <c r="O292" s="3">
        <f>(Sala[[#This Row],[Hora de Salida]]-Sala[[#This Row],[Hora de llegada]])+IF(Sala[[#This Row],[Estado de la Mesa]]="Ocupada",(TEXT((15/(60*24)),"h:mm")),(TEXT(0,"h:mm")))</f>
        <v>0.12916666666666662</v>
      </c>
      <c r="P292" s="43">
        <f>(SUMIF(Cocina[Número de Orden],Sala[[#This Row],[Número de Orden]],Cocina[Tiempo de Preparación]))</f>
        <v>95</v>
      </c>
      <c r="Q292" s="5" t="str">
        <f>TEXT(((SUMIF(Cocina[Número de Orden],Sala[[#This Row],[Número de Orden]],Cocina[Tiempo de Preparación]))/(60*24)),"h:mm")</f>
        <v>1:35</v>
      </c>
      <c r="R292" s="3">
        <f>MAX((Sala[[#This Row],[Tiempo de permanencia]]-Sala[[#This Row],[Tiempo de preparación (h)]]),0)</f>
        <v>6.31944444444444E-2</v>
      </c>
      <c r="S292" s="8">
        <f>SUMIF(Cocina[Número de Orden],Sala[[#This Row],[Número de Orden]],Cocina[Ganancia bruta])</f>
        <v>260</v>
      </c>
      <c r="T292" s="8">
        <f>SUMIF(Cocina[Número de Orden],Sala[[#This Row],[Número de Orden]],Cocina[Costo Unitario])</f>
        <v>75</v>
      </c>
      <c r="U292" s="2">
        <f>Sala[[#This Row],[Fecha de Salida]]</f>
        <v>45019</v>
      </c>
      <c r="V292" s="7" t="str">
        <f>TEXT(Sala[[#This Row],[Fecha factura]],"dddd")</f>
        <v>lunes</v>
      </c>
      <c r="W292" t="str">
        <f>IF(Sala[[#This Row],[Tiempo de degustación]]&gt;0,"Sí","No")</f>
        <v>Sí</v>
      </c>
      <c r="X292" t="str">
        <f>IF(Sala[[#This Row],[Cobrada]]="Sí",Sala[[#This Row],[Método de Pago]],"Impago")</f>
        <v>Efectivo</v>
      </c>
      <c r="Y292">
        <f>IF(Sala[[#This Row],[Cobrada]]="Sí",Sala[[#This Row],[Propina]],0)</f>
        <v>15.44</v>
      </c>
      <c r="Z292">
        <f>(IF(Sala[[#This Row],[Cobrada]]="Sí",Sala[[#This Row],[Monto total]],0))+Sala[[#This Row],[Propina real]]</f>
        <v>275.44</v>
      </c>
    </row>
    <row r="293" spans="1:26" x14ac:dyDescent="0.25">
      <c r="A293">
        <v>10</v>
      </c>
      <c r="B293" t="s">
        <v>304</v>
      </c>
      <c r="C293">
        <v>3</v>
      </c>
      <c r="D293" s="2">
        <v>45019</v>
      </c>
      <c r="E293" s="3">
        <v>6.2500000000000003E-3</v>
      </c>
      <c r="F293" s="2">
        <v>45019</v>
      </c>
      <c r="G293" s="3">
        <v>7.7083333333333337E-2</v>
      </c>
      <c r="H293" s="1" t="s">
        <v>7</v>
      </c>
      <c r="I293" t="s">
        <v>25</v>
      </c>
      <c r="J293" t="s">
        <v>600</v>
      </c>
      <c r="K293" s="9">
        <v>29.72</v>
      </c>
      <c r="L293" t="s">
        <v>9</v>
      </c>
      <c r="M293">
        <v>292</v>
      </c>
      <c r="N293" t="s">
        <v>59</v>
      </c>
      <c r="O293" s="3">
        <f>(Sala[[#This Row],[Hora de Salida]]-Sala[[#This Row],[Hora de llegada]])+IF(Sala[[#This Row],[Estado de la Mesa]]="Ocupada",(TEXT((15/(60*24)),"h:mm")),(TEXT(0,"h:mm")))</f>
        <v>7.0833333333333331E-2</v>
      </c>
      <c r="P293" s="43">
        <f>(SUMIF(Cocina[Número de Orden],Sala[[#This Row],[Número de Orden]],Cocina[Tiempo de Preparación]))</f>
        <v>23</v>
      </c>
      <c r="Q293" s="5" t="str">
        <f>TEXT(((SUMIF(Cocina[Número de Orden],Sala[[#This Row],[Número de Orden]],Cocina[Tiempo de Preparación]))/(60*24)),"h:mm")</f>
        <v>0:23</v>
      </c>
      <c r="R293" s="3">
        <f>MAX((Sala[[#This Row],[Tiempo de permanencia]]-Sala[[#This Row],[Tiempo de preparación (h)]]),0)</f>
        <v>5.486111111111111E-2</v>
      </c>
      <c r="S293" s="8">
        <f>SUMIF(Cocina[Número de Orden],Sala[[#This Row],[Número de Orden]],Cocina[Ganancia bruta])</f>
        <v>84</v>
      </c>
      <c r="T293" s="8">
        <f>SUMIF(Cocina[Número de Orden],Sala[[#This Row],[Número de Orden]],Cocina[Costo Unitario])</f>
        <v>16</v>
      </c>
      <c r="U293" s="2">
        <f>Sala[[#This Row],[Fecha de Salida]]</f>
        <v>45019</v>
      </c>
      <c r="V293" s="7" t="str">
        <f>TEXT(Sala[[#This Row],[Fecha factura]],"dddd")</f>
        <v>lunes</v>
      </c>
      <c r="W293" t="str">
        <f>IF(Sala[[#This Row],[Tiempo de degustación]]&gt;0,"Sí","No")</f>
        <v>Sí</v>
      </c>
      <c r="X293" t="str">
        <f>IF(Sala[[#This Row],[Cobrada]]="Sí",Sala[[#This Row],[Método de Pago]],"Impago")</f>
        <v>Tarjeta de débito</v>
      </c>
      <c r="Y293">
        <f>IF(Sala[[#This Row],[Cobrada]]="Sí",Sala[[#This Row],[Propina]],0)</f>
        <v>29.72</v>
      </c>
      <c r="Z293">
        <f>(IF(Sala[[#This Row],[Cobrada]]="Sí",Sala[[#This Row],[Monto total]],0))+Sala[[#This Row],[Propina real]]</f>
        <v>113.72</v>
      </c>
    </row>
    <row r="294" spans="1:26" x14ac:dyDescent="0.25">
      <c r="A294">
        <v>16</v>
      </c>
      <c r="B294" t="s">
        <v>305</v>
      </c>
      <c r="C294">
        <v>4</v>
      </c>
      <c r="D294" s="2">
        <v>45019</v>
      </c>
      <c r="E294" s="3">
        <v>0.12152777777777778</v>
      </c>
      <c r="F294" s="2">
        <v>45019</v>
      </c>
      <c r="G294" s="3">
        <v>0.19097222222222221</v>
      </c>
      <c r="H294" s="1" t="s">
        <v>7</v>
      </c>
      <c r="I294" t="s">
        <v>8</v>
      </c>
      <c r="J294" t="s">
        <v>600</v>
      </c>
      <c r="K294" s="9">
        <v>33.11</v>
      </c>
      <c r="L294" t="s">
        <v>9</v>
      </c>
      <c r="M294">
        <v>293</v>
      </c>
      <c r="N294" t="s">
        <v>59</v>
      </c>
      <c r="O294" s="3">
        <f>(Sala[[#This Row],[Hora de Salida]]-Sala[[#This Row],[Hora de llegada]])+IF(Sala[[#This Row],[Estado de la Mesa]]="Ocupada",(TEXT((15/(60*24)),"h:mm")),(TEXT(0,"h:mm")))</f>
        <v>6.9444444444444434E-2</v>
      </c>
      <c r="P294" s="43">
        <f>(SUMIF(Cocina[Número de Orden],Sala[[#This Row],[Número de Orden]],Cocina[Tiempo de Preparación]))</f>
        <v>120</v>
      </c>
      <c r="Q294" s="5" t="str">
        <f>TEXT(((SUMIF(Cocina[Número de Orden],Sala[[#This Row],[Número de Orden]],Cocina[Tiempo de Preparación]))/(60*24)),"h:mm")</f>
        <v>2:00</v>
      </c>
      <c r="R294" s="3">
        <f>MAX((Sala[[#This Row],[Tiempo de permanencia]]-Sala[[#This Row],[Tiempo de preparación (h)]]),0)</f>
        <v>0</v>
      </c>
      <c r="S294" s="8">
        <f>SUMIF(Cocina[Número de Orden],Sala[[#This Row],[Número de Orden]],Cocina[Ganancia bruta])</f>
        <v>216</v>
      </c>
      <c r="T294" s="8">
        <f>SUMIF(Cocina[Número de Orden],Sala[[#This Row],[Número de Orden]],Cocina[Costo Unitario])</f>
        <v>56</v>
      </c>
      <c r="U294" s="2">
        <f>Sala[[#This Row],[Fecha de Salida]]</f>
        <v>45019</v>
      </c>
      <c r="V294" s="7" t="str">
        <f>TEXT(Sala[[#This Row],[Fecha factura]],"dddd")</f>
        <v>lunes</v>
      </c>
      <c r="W294" t="str">
        <f>IF(Sala[[#This Row],[Tiempo de degustación]]&gt;0,"Sí","No")</f>
        <v>No</v>
      </c>
      <c r="X294" t="str">
        <f>IF(Sala[[#This Row],[Cobrada]]="Sí",Sala[[#This Row],[Método de Pago]],"Impago")</f>
        <v>Impago</v>
      </c>
      <c r="Y294">
        <f>IF(Sala[[#This Row],[Cobrada]]="Sí",Sala[[#This Row],[Propina]],0)</f>
        <v>0</v>
      </c>
      <c r="Z294">
        <f>(IF(Sala[[#This Row],[Cobrada]]="Sí",Sala[[#This Row],[Monto total]],0))+Sala[[#This Row],[Propina real]]</f>
        <v>0</v>
      </c>
    </row>
    <row r="295" spans="1:26" x14ac:dyDescent="0.25">
      <c r="A295">
        <v>17</v>
      </c>
      <c r="B295" t="s">
        <v>237</v>
      </c>
      <c r="C295">
        <v>6</v>
      </c>
      <c r="D295" s="2">
        <v>45019</v>
      </c>
      <c r="E295" s="3">
        <v>1.8055555555555554E-2</v>
      </c>
      <c r="F295" s="2">
        <v>45019</v>
      </c>
      <c r="G295" s="3">
        <v>0.16458333333333333</v>
      </c>
      <c r="H295" s="1" t="s">
        <v>16</v>
      </c>
      <c r="I295" t="s">
        <v>12</v>
      </c>
      <c r="J295" t="s">
        <v>601</v>
      </c>
      <c r="K295" s="9">
        <v>20.36</v>
      </c>
      <c r="L295" t="s">
        <v>17</v>
      </c>
      <c r="M295">
        <v>294</v>
      </c>
      <c r="N295" t="s">
        <v>14</v>
      </c>
      <c r="O295" s="3">
        <f>(Sala[[#This Row],[Hora de Salida]]-Sala[[#This Row],[Hora de llegada]])+IF(Sala[[#This Row],[Estado de la Mesa]]="Ocupada",(TEXT((15/(60*24)),"h:mm")),(TEXT(0,"h:mm")))</f>
        <v>0.14652777777777778</v>
      </c>
      <c r="P295" s="43">
        <f>(SUMIF(Cocina[Número de Orden],Sala[[#This Row],[Número de Orden]],Cocina[Tiempo de Preparación]))</f>
        <v>86</v>
      </c>
      <c r="Q295" s="5" t="str">
        <f>TEXT(((SUMIF(Cocina[Número de Orden],Sala[[#This Row],[Número de Orden]],Cocina[Tiempo de Preparación]))/(60*24)),"h:mm")</f>
        <v>1:26</v>
      </c>
      <c r="R295" s="3">
        <f>MAX((Sala[[#This Row],[Tiempo de permanencia]]-Sala[[#This Row],[Tiempo de preparación (h)]]),0)</f>
        <v>8.6805555555555552E-2</v>
      </c>
      <c r="S295" s="8">
        <f>SUMIF(Cocina[Número de Orden],Sala[[#This Row],[Número de Orden]],Cocina[Ganancia bruta])</f>
        <v>326</v>
      </c>
      <c r="T295" s="8">
        <f>SUMIF(Cocina[Número de Orden],Sala[[#This Row],[Número de Orden]],Cocina[Costo Unitario])</f>
        <v>71</v>
      </c>
      <c r="U295" s="2">
        <f>Sala[[#This Row],[Fecha de Salida]]</f>
        <v>45019</v>
      </c>
      <c r="V295" s="7" t="str">
        <f>TEXT(Sala[[#This Row],[Fecha factura]],"dddd")</f>
        <v>lunes</v>
      </c>
      <c r="W295" t="str">
        <f>IF(Sala[[#This Row],[Tiempo de degustación]]&gt;0,"Sí","No")</f>
        <v>Sí</v>
      </c>
      <c r="X295" t="str">
        <f>IF(Sala[[#This Row],[Cobrada]]="Sí",Sala[[#This Row],[Método de Pago]],"Impago")</f>
        <v>Tarjeta de crédito</v>
      </c>
      <c r="Y295">
        <f>IF(Sala[[#This Row],[Cobrada]]="Sí",Sala[[#This Row],[Propina]],0)</f>
        <v>20.36</v>
      </c>
      <c r="Z295">
        <f>(IF(Sala[[#This Row],[Cobrada]]="Sí",Sala[[#This Row],[Monto total]],0))+Sala[[#This Row],[Propina real]]</f>
        <v>346.36</v>
      </c>
    </row>
    <row r="296" spans="1:26" x14ac:dyDescent="0.25">
      <c r="A296">
        <v>3</v>
      </c>
      <c r="B296" t="s">
        <v>306</v>
      </c>
      <c r="C296">
        <v>1</v>
      </c>
      <c r="D296" s="2">
        <v>45019</v>
      </c>
      <c r="E296" s="3">
        <v>6.9444444444444441E-3</v>
      </c>
      <c r="F296" s="2">
        <v>45019</v>
      </c>
      <c r="G296" s="3">
        <v>8.4027777777777785E-2</v>
      </c>
      <c r="H296" s="1" t="s">
        <v>16</v>
      </c>
      <c r="I296" t="s">
        <v>8</v>
      </c>
      <c r="J296" t="s">
        <v>601</v>
      </c>
      <c r="K296" s="9">
        <v>46.42</v>
      </c>
      <c r="L296" t="s">
        <v>9</v>
      </c>
      <c r="M296">
        <v>295</v>
      </c>
      <c r="N296" t="s">
        <v>34</v>
      </c>
      <c r="O296" s="3">
        <f>(Sala[[#This Row],[Hora de Salida]]-Sala[[#This Row],[Hora de llegada]])+IF(Sala[[#This Row],[Estado de la Mesa]]="Ocupada",(TEXT((15/(60*24)),"h:mm")),(TEXT(0,"h:mm")))</f>
        <v>7.7083333333333337E-2</v>
      </c>
      <c r="P296" s="43">
        <f>(SUMIF(Cocina[Número de Orden],Sala[[#This Row],[Número de Orden]],Cocina[Tiempo de Preparación]))</f>
        <v>177</v>
      </c>
      <c r="Q296" s="5" t="str">
        <f>TEXT(((SUMIF(Cocina[Número de Orden],Sala[[#This Row],[Número de Orden]],Cocina[Tiempo de Preparación]))/(60*24)),"h:mm")</f>
        <v>2:57</v>
      </c>
      <c r="R296" s="3">
        <f>MAX((Sala[[#This Row],[Tiempo de permanencia]]-Sala[[#This Row],[Tiempo de preparación (h)]]),0)</f>
        <v>0</v>
      </c>
      <c r="S296" s="8">
        <f>SUMIF(Cocina[Número de Orden],Sala[[#This Row],[Número de Orden]],Cocina[Ganancia bruta])</f>
        <v>247</v>
      </c>
      <c r="T296" s="8">
        <f>SUMIF(Cocina[Número de Orden],Sala[[#This Row],[Número de Orden]],Cocina[Costo Unitario])</f>
        <v>69</v>
      </c>
      <c r="U296" s="2">
        <f>Sala[[#This Row],[Fecha de Salida]]</f>
        <v>45019</v>
      </c>
      <c r="V296" s="7" t="str">
        <f>TEXT(Sala[[#This Row],[Fecha factura]],"dddd")</f>
        <v>lunes</v>
      </c>
      <c r="W296" t="str">
        <f>IF(Sala[[#This Row],[Tiempo de degustación]]&gt;0,"Sí","No")</f>
        <v>No</v>
      </c>
      <c r="X296" t="str">
        <f>IF(Sala[[#This Row],[Cobrada]]="Sí",Sala[[#This Row],[Método de Pago]],"Impago")</f>
        <v>Impago</v>
      </c>
      <c r="Y296">
        <f>IF(Sala[[#This Row],[Cobrada]]="Sí",Sala[[#This Row],[Propina]],0)</f>
        <v>0</v>
      </c>
      <c r="Z296">
        <f>(IF(Sala[[#This Row],[Cobrada]]="Sí",Sala[[#This Row],[Monto total]],0))+Sala[[#This Row],[Propina real]]</f>
        <v>0</v>
      </c>
    </row>
    <row r="297" spans="1:26" x14ac:dyDescent="0.25">
      <c r="A297">
        <v>14</v>
      </c>
      <c r="B297" t="s">
        <v>307</v>
      </c>
      <c r="C297">
        <v>1</v>
      </c>
      <c r="D297" s="2">
        <v>45019</v>
      </c>
      <c r="E297" s="3">
        <v>0.11736111111111111</v>
      </c>
      <c r="F297" s="2">
        <v>45019</v>
      </c>
      <c r="G297" s="3">
        <v>0.24861111111111112</v>
      </c>
      <c r="H297" s="1" t="s">
        <v>16</v>
      </c>
      <c r="I297" t="s">
        <v>25</v>
      </c>
      <c r="J297" t="s">
        <v>601</v>
      </c>
      <c r="K297" s="9">
        <v>29.07</v>
      </c>
      <c r="L297" t="s">
        <v>28</v>
      </c>
      <c r="M297">
        <v>296</v>
      </c>
      <c r="N297" t="s">
        <v>594</v>
      </c>
      <c r="O297" s="3">
        <f>(Sala[[#This Row],[Hora de Salida]]-Sala[[#This Row],[Hora de llegada]])+IF(Sala[[#This Row],[Estado de la Mesa]]="Ocupada",(TEXT((15/(60*24)),"h:mm")),(TEXT(0,"h:mm")))</f>
        <v>0.14166666666666666</v>
      </c>
      <c r="P297" s="43">
        <f>(SUMIF(Cocina[Número de Orden],Sala[[#This Row],[Número de Orden]],Cocina[Tiempo de Preparación]))</f>
        <v>46</v>
      </c>
      <c r="Q297" s="5" t="str">
        <f>TEXT(((SUMIF(Cocina[Número de Orden],Sala[[#This Row],[Número de Orden]],Cocina[Tiempo de Preparación]))/(60*24)),"h:mm")</f>
        <v>0:46</v>
      </c>
      <c r="R297" s="3">
        <f>MAX((Sala[[#This Row],[Tiempo de permanencia]]-Sala[[#This Row],[Tiempo de preparación (h)]]),0)</f>
        <v>0.10972222222222222</v>
      </c>
      <c r="S297" s="8">
        <f>SUMIF(Cocina[Número de Orden],Sala[[#This Row],[Número de Orden]],Cocina[Ganancia bruta])</f>
        <v>59</v>
      </c>
      <c r="T297" s="8">
        <f>SUMIF(Cocina[Número de Orden],Sala[[#This Row],[Número de Orden]],Cocina[Costo Unitario])</f>
        <v>36</v>
      </c>
      <c r="U297" s="2">
        <f>Sala[[#This Row],[Fecha de Salida]]</f>
        <v>45019</v>
      </c>
      <c r="V297" s="7" t="str">
        <f>TEXT(Sala[[#This Row],[Fecha factura]],"dddd")</f>
        <v>lunes</v>
      </c>
      <c r="W297" t="str">
        <f>IF(Sala[[#This Row],[Tiempo de degustación]]&gt;0,"Sí","No")</f>
        <v>Sí</v>
      </c>
      <c r="X297" t="str">
        <f>IF(Sala[[#This Row],[Cobrada]]="Sí",Sala[[#This Row],[Método de Pago]],"Impago")</f>
        <v>Tarjeta de crédito</v>
      </c>
      <c r="Y297">
        <f>IF(Sala[[#This Row],[Cobrada]]="Sí",Sala[[#This Row],[Propina]],0)</f>
        <v>29.07</v>
      </c>
      <c r="Z297">
        <f>(IF(Sala[[#This Row],[Cobrada]]="Sí",Sala[[#This Row],[Monto total]],0))+Sala[[#This Row],[Propina real]]</f>
        <v>88.07</v>
      </c>
    </row>
    <row r="298" spans="1:26" x14ac:dyDescent="0.25">
      <c r="A298">
        <v>4</v>
      </c>
      <c r="B298" t="s">
        <v>37</v>
      </c>
      <c r="C298">
        <v>3</v>
      </c>
      <c r="D298" s="2">
        <v>45019</v>
      </c>
      <c r="E298" s="3">
        <v>4.3749999999999997E-2</v>
      </c>
      <c r="F298" s="2">
        <v>45019</v>
      </c>
      <c r="G298" s="3">
        <v>0.18541666666666667</v>
      </c>
      <c r="H298" s="1" t="s">
        <v>11</v>
      </c>
      <c r="I298" t="s">
        <v>8</v>
      </c>
      <c r="J298" t="s">
        <v>601</v>
      </c>
      <c r="K298" s="9">
        <v>43.46</v>
      </c>
      <c r="L298" t="s">
        <v>28</v>
      </c>
      <c r="M298">
        <v>297</v>
      </c>
      <c r="N298" t="s">
        <v>594</v>
      </c>
      <c r="O298" s="3">
        <f>(Sala[[#This Row],[Hora de Salida]]-Sala[[#This Row],[Hora de llegada]])+IF(Sala[[#This Row],[Estado de la Mesa]]="Ocupada",(TEXT((15/(60*24)),"h:mm")),(TEXT(0,"h:mm")))</f>
        <v>0.15208333333333332</v>
      </c>
      <c r="P298" s="43">
        <f>(SUMIF(Cocina[Número de Orden],Sala[[#This Row],[Número de Orden]],Cocina[Tiempo de Preparación]))</f>
        <v>112</v>
      </c>
      <c r="Q298" s="5" t="str">
        <f>TEXT(((SUMIF(Cocina[Número de Orden],Sala[[#This Row],[Número de Orden]],Cocina[Tiempo de Preparación]))/(60*24)),"h:mm")</f>
        <v>1:52</v>
      </c>
      <c r="R298" s="3">
        <f>MAX((Sala[[#This Row],[Tiempo de permanencia]]-Sala[[#This Row],[Tiempo de preparación (h)]]),0)</f>
        <v>7.4305555555555541E-2</v>
      </c>
      <c r="S298" s="8">
        <f>SUMIF(Cocina[Número de Orden],Sala[[#This Row],[Número de Orden]],Cocina[Ganancia bruta])</f>
        <v>175</v>
      </c>
      <c r="T298" s="8">
        <f>SUMIF(Cocina[Número de Orden],Sala[[#This Row],[Número de Orden]],Cocina[Costo Unitario])</f>
        <v>40</v>
      </c>
      <c r="U298" s="2">
        <f>Sala[[#This Row],[Fecha de Salida]]</f>
        <v>45019</v>
      </c>
      <c r="V298" s="7" t="str">
        <f>TEXT(Sala[[#This Row],[Fecha factura]],"dddd")</f>
        <v>lunes</v>
      </c>
      <c r="W298" t="str">
        <f>IF(Sala[[#This Row],[Tiempo de degustación]]&gt;0,"Sí","No")</f>
        <v>Sí</v>
      </c>
      <c r="X298" t="str">
        <f>IF(Sala[[#This Row],[Cobrada]]="Sí",Sala[[#This Row],[Método de Pago]],"Impago")</f>
        <v>Tarjeta de crédito</v>
      </c>
      <c r="Y298">
        <f>IF(Sala[[#This Row],[Cobrada]]="Sí",Sala[[#This Row],[Propina]],0)</f>
        <v>43.46</v>
      </c>
      <c r="Z298">
        <f>(IF(Sala[[#This Row],[Cobrada]]="Sí",Sala[[#This Row],[Monto total]],0))+Sala[[#This Row],[Propina real]]</f>
        <v>218.46</v>
      </c>
    </row>
    <row r="299" spans="1:26" x14ac:dyDescent="0.25">
      <c r="A299">
        <v>11</v>
      </c>
      <c r="B299" t="s">
        <v>308</v>
      </c>
      <c r="C299">
        <v>4</v>
      </c>
      <c r="D299" s="2">
        <v>45019</v>
      </c>
      <c r="E299" s="3">
        <v>0.13472222222222222</v>
      </c>
      <c r="F299" s="2">
        <v>45019</v>
      </c>
      <c r="G299" s="3">
        <v>0.22847222222222222</v>
      </c>
      <c r="H299" s="1" t="s">
        <v>20</v>
      </c>
      <c r="I299" t="s">
        <v>12</v>
      </c>
      <c r="J299" t="s">
        <v>601</v>
      </c>
      <c r="K299" s="9">
        <v>23.24</v>
      </c>
      <c r="L299" t="s">
        <v>9</v>
      </c>
      <c r="M299">
        <v>298</v>
      </c>
      <c r="N299" t="s">
        <v>32</v>
      </c>
      <c r="O299" s="3">
        <f>(Sala[[#This Row],[Hora de Salida]]-Sala[[#This Row],[Hora de llegada]])+IF(Sala[[#This Row],[Estado de la Mesa]]="Ocupada",(TEXT((15/(60*24)),"h:mm")),(TEXT(0,"h:mm")))</f>
        <v>9.375E-2</v>
      </c>
      <c r="P299" s="43">
        <f>(SUMIF(Cocina[Número de Orden],Sala[[#This Row],[Número de Orden]],Cocina[Tiempo de Preparación]))</f>
        <v>141</v>
      </c>
      <c r="Q299" s="5" t="str">
        <f>TEXT(((SUMIF(Cocina[Número de Orden],Sala[[#This Row],[Número de Orden]],Cocina[Tiempo de Preparación]))/(60*24)),"h:mm")</f>
        <v>2:21</v>
      </c>
      <c r="R299" s="3">
        <f>MAX((Sala[[#This Row],[Tiempo de permanencia]]-Sala[[#This Row],[Tiempo de preparación (h)]]),0)</f>
        <v>0</v>
      </c>
      <c r="S299" s="8">
        <f>SUMIF(Cocina[Número de Orden],Sala[[#This Row],[Número de Orden]],Cocina[Ganancia bruta])</f>
        <v>255</v>
      </c>
      <c r="T299" s="8">
        <f>SUMIF(Cocina[Número de Orden],Sala[[#This Row],[Número de Orden]],Cocina[Costo Unitario])</f>
        <v>51</v>
      </c>
      <c r="U299" s="2">
        <f>Sala[[#This Row],[Fecha de Salida]]</f>
        <v>45019</v>
      </c>
      <c r="V299" s="7" t="str">
        <f>TEXT(Sala[[#This Row],[Fecha factura]],"dddd")</f>
        <v>lunes</v>
      </c>
      <c r="W299" t="str">
        <f>IF(Sala[[#This Row],[Tiempo de degustación]]&gt;0,"Sí","No")</f>
        <v>No</v>
      </c>
      <c r="X299" t="str">
        <f>IF(Sala[[#This Row],[Cobrada]]="Sí",Sala[[#This Row],[Método de Pago]],"Impago")</f>
        <v>Impago</v>
      </c>
      <c r="Y299">
        <f>IF(Sala[[#This Row],[Cobrada]]="Sí",Sala[[#This Row],[Propina]],0)</f>
        <v>0</v>
      </c>
      <c r="Z299">
        <f>(IF(Sala[[#This Row],[Cobrada]]="Sí",Sala[[#This Row],[Monto total]],0))+Sala[[#This Row],[Propina real]]</f>
        <v>0</v>
      </c>
    </row>
    <row r="300" spans="1:26" x14ac:dyDescent="0.25">
      <c r="A300">
        <v>6</v>
      </c>
      <c r="B300" t="s">
        <v>309</v>
      </c>
      <c r="C300">
        <v>1</v>
      </c>
      <c r="D300" s="2">
        <v>45019</v>
      </c>
      <c r="E300" s="3">
        <v>5.486111111111111E-2</v>
      </c>
      <c r="F300" s="2">
        <v>45019</v>
      </c>
      <c r="G300" s="3">
        <v>0.11458333333333333</v>
      </c>
      <c r="H300" s="1" t="s">
        <v>20</v>
      </c>
      <c r="I300" t="s">
        <v>25</v>
      </c>
      <c r="J300" t="s">
        <v>13</v>
      </c>
      <c r="K300" s="9">
        <v>29.68</v>
      </c>
      <c r="L300" t="s">
        <v>28</v>
      </c>
      <c r="M300">
        <v>299</v>
      </c>
      <c r="N300" t="s">
        <v>34</v>
      </c>
      <c r="O300" s="3">
        <f>(Sala[[#This Row],[Hora de Salida]]-Sala[[#This Row],[Hora de llegada]])+IF(Sala[[#This Row],[Estado de la Mesa]]="Ocupada",(TEXT((15/(60*24)),"h:mm")),(TEXT(0,"h:mm")))</f>
        <v>7.013888888888889E-2</v>
      </c>
      <c r="P300" s="43">
        <f>(SUMIF(Cocina[Número de Orden],Sala[[#This Row],[Número de Orden]],Cocina[Tiempo de Preparación]))</f>
        <v>113</v>
      </c>
      <c r="Q300" s="5" t="str">
        <f>TEXT(((SUMIF(Cocina[Número de Orden],Sala[[#This Row],[Número de Orden]],Cocina[Tiempo de Preparación]))/(60*24)),"h:mm")</f>
        <v>1:53</v>
      </c>
      <c r="R300" s="3">
        <f>MAX((Sala[[#This Row],[Tiempo de permanencia]]-Sala[[#This Row],[Tiempo de preparación (h)]]),0)</f>
        <v>0</v>
      </c>
      <c r="S300" s="8">
        <f>SUMIF(Cocina[Número de Orden],Sala[[#This Row],[Número de Orden]],Cocina[Ganancia bruta])</f>
        <v>182</v>
      </c>
      <c r="T300" s="8">
        <f>SUMIF(Cocina[Número de Orden],Sala[[#This Row],[Número de Orden]],Cocina[Costo Unitario])</f>
        <v>58</v>
      </c>
      <c r="U300" s="2">
        <f>Sala[[#This Row],[Fecha de Salida]]</f>
        <v>45019</v>
      </c>
      <c r="V300" s="7" t="str">
        <f>TEXT(Sala[[#This Row],[Fecha factura]],"dddd")</f>
        <v>lunes</v>
      </c>
      <c r="W300" t="str">
        <f>IF(Sala[[#This Row],[Tiempo de degustación]]&gt;0,"Sí","No")</f>
        <v>No</v>
      </c>
      <c r="X300" t="str">
        <f>IF(Sala[[#This Row],[Cobrada]]="Sí",Sala[[#This Row],[Método de Pago]],"Impago")</f>
        <v>Impago</v>
      </c>
      <c r="Y300">
        <f>IF(Sala[[#This Row],[Cobrada]]="Sí",Sala[[#This Row],[Propina]],0)</f>
        <v>0</v>
      </c>
      <c r="Z300">
        <f>(IF(Sala[[#This Row],[Cobrada]]="Sí",Sala[[#This Row],[Monto total]],0))+Sala[[#This Row],[Propina real]]</f>
        <v>0</v>
      </c>
    </row>
    <row r="301" spans="1:26" x14ac:dyDescent="0.25">
      <c r="A301">
        <v>18</v>
      </c>
      <c r="B301" t="s">
        <v>161</v>
      </c>
      <c r="C301">
        <v>6</v>
      </c>
      <c r="D301" s="2">
        <v>45019</v>
      </c>
      <c r="E301" s="3">
        <v>9.5138888888888884E-2</v>
      </c>
      <c r="F301" s="2">
        <v>45019</v>
      </c>
      <c r="G301" s="3">
        <v>0.17986111111111111</v>
      </c>
      <c r="H301" s="1" t="s">
        <v>16</v>
      </c>
      <c r="I301" t="s">
        <v>12</v>
      </c>
      <c r="J301" t="s">
        <v>601</v>
      </c>
      <c r="K301" s="9">
        <v>38.380000000000003</v>
      </c>
      <c r="L301" t="s">
        <v>9</v>
      </c>
      <c r="M301">
        <v>300</v>
      </c>
      <c r="N301" t="s">
        <v>21</v>
      </c>
      <c r="O301" s="3">
        <f>(Sala[[#This Row],[Hora de Salida]]-Sala[[#This Row],[Hora de llegada]])+IF(Sala[[#This Row],[Estado de la Mesa]]="Ocupada",(TEXT((15/(60*24)),"h:mm")),(TEXT(0,"h:mm")))</f>
        <v>8.4722222222222227E-2</v>
      </c>
      <c r="P301" s="43">
        <f>(SUMIF(Cocina[Número de Orden],Sala[[#This Row],[Número de Orden]],Cocina[Tiempo de Preparación]))</f>
        <v>118</v>
      </c>
      <c r="Q301" s="5" t="str">
        <f>TEXT(((SUMIF(Cocina[Número de Orden],Sala[[#This Row],[Número de Orden]],Cocina[Tiempo de Preparación]))/(60*24)),"h:mm")</f>
        <v>1:58</v>
      </c>
      <c r="R301" s="3">
        <f>MAX((Sala[[#This Row],[Tiempo de permanencia]]-Sala[[#This Row],[Tiempo de preparación (h)]]),0)</f>
        <v>2.7777777777777818E-3</v>
      </c>
      <c r="S301" s="8">
        <f>SUMIF(Cocina[Número de Orden],Sala[[#This Row],[Número de Orden]],Cocina[Ganancia bruta])</f>
        <v>290</v>
      </c>
      <c r="T301" s="8">
        <f>SUMIF(Cocina[Número de Orden],Sala[[#This Row],[Número de Orden]],Cocina[Costo Unitario])</f>
        <v>68</v>
      </c>
      <c r="U301" s="2">
        <f>Sala[[#This Row],[Fecha de Salida]]</f>
        <v>45019</v>
      </c>
      <c r="V301" s="7" t="str">
        <f>TEXT(Sala[[#This Row],[Fecha factura]],"dddd")</f>
        <v>lunes</v>
      </c>
      <c r="W301" t="str">
        <f>IF(Sala[[#This Row],[Tiempo de degustación]]&gt;0,"Sí","No")</f>
        <v>Sí</v>
      </c>
      <c r="X301" t="str">
        <f>IF(Sala[[#This Row],[Cobrada]]="Sí",Sala[[#This Row],[Método de Pago]],"Impago")</f>
        <v>Tarjeta de crédito</v>
      </c>
      <c r="Y301">
        <f>IF(Sala[[#This Row],[Cobrada]]="Sí",Sala[[#This Row],[Propina]],0)</f>
        <v>38.380000000000003</v>
      </c>
      <c r="Z301">
        <f>(IF(Sala[[#This Row],[Cobrada]]="Sí",Sala[[#This Row],[Monto total]],0))+Sala[[#This Row],[Propina real]]</f>
        <v>328.38</v>
      </c>
    </row>
    <row r="302" spans="1:26" x14ac:dyDescent="0.25">
      <c r="A302">
        <v>8</v>
      </c>
      <c r="B302" t="s">
        <v>310</v>
      </c>
      <c r="C302">
        <v>6</v>
      </c>
      <c r="D302" s="2">
        <v>45019</v>
      </c>
      <c r="E302" s="3">
        <v>9.3055555555555558E-2</v>
      </c>
      <c r="F302" s="2">
        <v>45019</v>
      </c>
      <c r="G302" s="3">
        <v>0.17222222222222222</v>
      </c>
      <c r="H302" s="1" t="s">
        <v>20</v>
      </c>
      <c r="I302" t="s">
        <v>8</v>
      </c>
      <c r="J302" t="s">
        <v>601</v>
      </c>
      <c r="K302" s="9">
        <v>16.52</v>
      </c>
      <c r="L302" t="s">
        <v>9</v>
      </c>
      <c r="M302">
        <v>301</v>
      </c>
      <c r="N302" t="s">
        <v>34</v>
      </c>
      <c r="O302" s="3">
        <f>(Sala[[#This Row],[Hora de Salida]]-Sala[[#This Row],[Hora de llegada]])+IF(Sala[[#This Row],[Estado de la Mesa]]="Ocupada",(TEXT((15/(60*24)),"h:mm")),(TEXT(0,"h:mm")))</f>
        <v>7.9166666666666663E-2</v>
      </c>
      <c r="P302" s="43">
        <f>(SUMIF(Cocina[Número de Orden],Sala[[#This Row],[Número de Orden]],Cocina[Tiempo de Preparación]))</f>
        <v>183</v>
      </c>
      <c r="Q302" s="5" t="str">
        <f>TEXT(((SUMIF(Cocina[Número de Orden],Sala[[#This Row],[Número de Orden]],Cocina[Tiempo de Preparación]))/(60*24)),"h:mm")</f>
        <v>3:03</v>
      </c>
      <c r="R302" s="3">
        <f>MAX((Sala[[#This Row],[Tiempo de permanencia]]-Sala[[#This Row],[Tiempo de preparación (h)]]),0)</f>
        <v>0</v>
      </c>
      <c r="S302" s="8">
        <f>SUMIF(Cocina[Número de Orden],Sala[[#This Row],[Número de Orden]],Cocina[Ganancia bruta])</f>
        <v>223</v>
      </c>
      <c r="T302" s="8">
        <f>SUMIF(Cocina[Número de Orden],Sala[[#This Row],[Número de Orden]],Cocina[Costo Unitario])</f>
        <v>63</v>
      </c>
      <c r="U302" s="2">
        <f>Sala[[#This Row],[Fecha de Salida]]</f>
        <v>45019</v>
      </c>
      <c r="V302" s="7" t="str">
        <f>TEXT(Sala[[#This Row],[Fecha factura]],"dddd")</f>
        <v>lunes</v>
      </c>
      <c r="W302" t="str">
        <f>IF(Sala[[#This Row],[Tiempo de degustación]]&gt;0,"Sí","No")</f>
        <v>No</v>
      </c>
      <c r="X302" t="str">
        <f>IF(Sala[[#This Row],[Cobrada]]="Sí",Sala[[#This Row],[Método de Pago]],"Impago")</f>
        <v>Impago</v>
      </c>
      <c r="Y302">
        <f>IF(Sala[[#This Row],[Cobrada]]="Sí",Sala[[#This Row],[Propina]],0)</f>
        <v>0</v>
      </c>
      <c r="Z302">
        <f>(IF(Sala[[#This Row],[Cobrada]]="Sí",Sala[[#This Row],[Monto total]],0))+Sala[[#This Row],[Propina real]]</f>
        <v>0</v>
      </c>
    </row>
    <row r="303" spans="1:26" x14ac:dyDescent="0.25">
      <c r="A303">
        <v>5</v>
      </c>
      <c r="B303" t="s">
        <v>83</v>
      </c>
      <c r="C303">
        <v>2</v>
      </c>
      <c r="D303" s="2">
        <v>45019</v>
      </c>
      <c r="E303" s="3">
        <v>5.5555555555555552E-2</v>
      </c>
      <c r="F303" s="2">
        <v>45019</v>
      </c>
      <c r="G303" s="3">
        <v>0.20555555555555555</v>
      </c>
      <c r="H303" s="1" t="s">
        <v>11</v>
      </c>
      <c r="I303" t="s">
        <v>12</v>
      </c>
      <c r="J303" t="s">
        <v>601</v>
      </c>
      <c r="K303" s="9">
        <v>39.89</v>
      </c>
      <c r="L303" t="s">
        <v>9</v>
      </c>
      <c r="M303">
        <v>302</v>
      </c>
      <c r="N303" t="s">
        <v>14</v>
      </c>
      <c r="O303" s="3">
        <f>(Sala[[#This Row],[Hora de Salida]]-Sala[[#This Row],[Hora de llegada]])+IF(Sala[[#This Row],[Estado de la Mesa]]="Ocupada",(TEXT((15/(60*24)),"h:mm")),(TEXT(0,"h:mm")))</f>
        <v>0.15</v>
      </c>
      <c r="P303" s="43">
        <f>(SUMIF(Cocina[Número de Orden],Sala[[#This Row],[Número de Orden]],Cocina[Tiempo de Preparación]))</f>
        <v>15</v>
      </c>
      <c r="Q303" s="5" t="str">
        <f>TEXT(((SUMIF(Cocina[Número de Orden],Sala[[#This Row],[Número de Orden]],Cocina[Tiempo de Preparación]))/(60*24)),"h:mm")</f>
        <v>0:15</v>
      </c>
      <c r="R303" s="3">
        <f>MAX((Sala[[#This Row],[Tiempo de permanencia]]-Sala[[#This Row],[Tiempo de preparación (h)]]),0)</f>
        <v>0.13958333333333334</v>
      </c>
      <c r="S303" s="8">
        <f>SUMIF(Cocina[Número de Orden],Sala[[#This Row],[Número de Orden]],Cocina[Ganancia bruta])</f>
        <v>96</v>
      </c>
      <c r="T303" s="8">
        <f>SUMIF(Cocina[Número de Orden],Sala[[#This Row],[Número de Orden]],Cocina[Costo Unitario])</f>
        <v>19</v>
      </c>
      <c r="U303" s="2">
        <f>Sala[[#This Row],[Fecha de Salida]]</f>
        <v>45019</v>
      </c>
      <c r="V303" s="7" t="str">
        <f>TEXT(Sala[[#This Row],[Fecha factura]],"dddd")</f>
        <v>lunes</v>
      </c>
      <c r="W303" t="str">
        <f>IF(Sala[[#This Row],[Tiempo de degustación]]&gt;0,"Sí","No")</f>
        <v>Sí</v>
      </c>
      <c r="X303" t="str">
        <f>IF(Sala[[#This Row],[Cobrada]]="Sí",Sala[[#This Row],[Método de Pago]],"Impago")</f>
        <v>Tarjeta de crédito</v>
      </c>
      <c r="Y303">
        <f>IF(Sala[[#This Row],[Cobrada]]="Sí",Sala[[#This Row],[Propina]],0)</f>
        <v>39.89</v>
      </c>
      <c r="Z303">
        <f>(IF(Sala[[#This Row],[Cobrada]]="Sí",Sala[[#This Row],[Monto total]],0))+Sala[[#This Row],[Propina real]]</f>
        <v>135.88999999999999</v>
      </c>
    </row>
    <row r="304" spans="1:26" x14ac:dyDescent="0.25">
      <c r="A304">
        <v>14</v>
      </c>
      <c r="B304" t="s">
        <v>311</v>
      </c>
      <c r="C304">
        <v>5</v>
      </c>
      <c r="D304" s="2">
        <v>45019</v>
      </c>
      <c r="E304" s="3">
        <v>0.15138888888888888</v>
      </c>
      <c r="F304" s="2">
        <v>45019</v>
      </c>
      <c r="G304" s="3">
        <v>0.26666666666666666</v>
      </c>
      <c r="H304" s="1" t="s">
        <v>20</v>
      </c>
      <c r="I304" t="s">
        <v>12</v>
      </c>
      <c r="J304" t="s">
        <v>600</v>
      </c>
      <c r="K304" s="9">
        <v>16.489999999999998</v>
      </c>
      <c r="L304" t="s">
        <v>28</v>
      </c>
      <c r="M304">
        <v>303</v>
      </c>
      <c r="N304" t="s">
        <v>18</v>
      </c>
      <c r="O304" s="3">
        <f>(Sala[[#This Row],[Hora de Salida]]-Sala[[#This Row],[Hora de llegada]])+IF(Sala[[#This Row],[Estado de la Mesa]]="Ocupada",(TEXT((15/(60*24)),"h:mm")),(TEXT(0,"h:mm")))</f>
        <v>0.12569444444444444</v>
      </c>
      <c r="P304" s="43">
        <f>(SUMIF(Cocina[Número de Orden],Sala[[#This Row],[Número de Orden]],Cocina[Tiempo de Preparación]))</f>
        <v>92</v>
      </c>
      <c r="Q304" s="5" t="str">
        <f>TEXT(((SUMIF(Cocina[Número de Orden],Sala[[#This Row],[Número de Orden]],Cocina[Tiempo de Preparación]))/(60*24)),"h:mm")</f>
        <v>1:32</v>
      </c>
      <c r="R304" s="3">
        <f>MAX((Sala[[#This Row],[Tiempo de permanencia]]-Sala[[#This Row],[Tiempo de preparación (h)]]),0)</f>
        <v>6.1805555555555558E-2</v>
      </c>
      <c r="S304" s="8">
        <f>SUMIF(Cocina[Número de Orden],Sala[[#This Row],[Número de Orden]],Cocina[Ganancia bruta])</f>
        <v>210</v>
      </c>
      <c r="T304" s="8">
        <f>SUMIF(Cocina[Número de Orden],Sala[[#This Row],[Número de Orden]],Cocina[Costo Unitario])</f>
        <v>66</v>
      </c>
      <c r="U304" s="2">
        <f>Sala[[#This Row],[Fecha de Salida]]</f>
        <v>45019</v>
      </c>
      <c r="V304" s="7" t="str">
        <f>TEXT(Sala[[#This Row],[Fecha factura]],"dddd")</f>
        <v>lunes</v>
      </c>
      <c r="W304" t="str">
        <f>IF(Sala[[#This Row],[Tiempo de degustación]]&gt;0,"Sí","No")</f>
        <v>Sí</v>
      </c>
      <c r="X304" t="str">
        <f>IF(Sala[[#This Row],[Cobrada]]="Sí",Sala[[#This Row],[Método de Pago]],"Impago")</f>
        <v>Tarjeta de débito</v>
      </c>
      <c r="Y304">
        <f>IF(Sala[[#This Row],[Cobrada]]="Sí",Sala[[#This Row],[Propina]],0)</f>
        <v>16.489999999999998</v>
      </c>
      <c r="Z304">
        <f>(IF(Sala[[#This Row],[Cobrada]]="Sí",Sala[[#This Row],[Monto total]],0))+Sala[[#This Row],[Propina real]]</f>
        <v>226.49</v>
      </c>
    </row>
    <row r="305" spans="1:26" x14ac:dyDescent="0.25">
      <c r="A305">
        <v>6</v>
      </c>
      <c r="B305" t="s">
        <v>312</v>
      </c>
      <c r="C305">
        <v>4</v>
      </c>
      <c r="D305" s="2">
        <v>45019</v>
      </c>
      <c r="E305" s="3">
        <v>0.14166666666666666</v>
      </c>
      <c r="F305" s="2">
        <v>45019</v>
      </c>
      <c r="G305" s="3">
        <v>0.19444444444444445</v>
      </c>
      <c r="H305" s="1" t="s">
        <v>11</v>
      </c>
      <c r="I305" t="s">
        <v>8</v>
      </c>
      <c r="J305" t="s">
        <v>601</v>
      </c>
      <c r="K305" s="9">
        <v>22.05</v>
      </c>
      <c r="L305" t="s">
        <v>9</v>
      </c>
      <c r="M305">
        <v>304</v>
      </c>
      <c r="N305" t="s">
        <v>14</v>
      </c>
      <c r="O305" s="3">
        <f>(Sala[[#This Row],[Hora de Salida]]-Sala[[#This Row],[Hora de llegada]])+IF(Sala[[#This Row],[Estado de la Mesa]]="Ocupada",(TEXT((15/(60*24)),"h:mm")),(TEXT(0,"h:mm")))</f>
        <v>5.2777777777777785E-2</v>
      </c>
      <c r="P305" s="43">
        <f>(SUMIF(Cocina[Número de Orden],Sala[[#This Row],[Número de Orden]],Cocina[Tiempo de Preparación]))</f>
        <v>85</v>
      </c>
      <c r="Q305" s="5" t="str">
        <f>TEXT(((SUMIF(Cocina[Número de Orden],Sala[[#This Row],[Número de Orden]],Cocina[Tiempo de Preparación]))/(60*24)),"h:mm")</f>
        <v>1:25</v>
      </c>
      <c r="R305" s="3">
        <f>MAX((Sala[[#This Row],[Tiempo de permanencia]]-Sala[[#This Row],[Tiempo de preparación (h)]]),0)</f>
        <v>0</v>
      </c>
      <c r="S305" s="8">
        <f>SUMIF(Cocina[Número de Orden],Sala[[#This Row],[Número de Orden]],Cocina[Ganancia bruta])</f>
        <v>279</v>
      </c>
      <c r="T305" s="8">
        <f>SUMIF(Cocina[Número de Orden],Sala[[#This Row],[Número de Orden]],Cocina[Costo Unitario])</f>
        <v>76</v>
      </c>
      <c r="U305" s="2">
        <f>Sala[[#This Row],[Fecha de Salida]]</f>
        <v>45019</v>
      </c>
      <c r="V305" s="7" t="str">
        <f>TEXT(Sala[[#This Row],[Fecha factura]],"dddd")</f>
        <v>lunes</v>
      </c>
      <c r="W305" t="str">
        <f>IF(Sala[[#This Row],[Tiempo de degustación]]&gt;0,"Sí","No")</f>
        <v>No</v>
      </c>
      <c r="X305" t="str">
        <f>IF(Sala[[#This Row],[Cobrada]]="Sí",Sala[[#This Row],[Método de Pago]],"Impago")</f>
        <v>Impago</v>
      </c>
      <c r="Y305">
        <f>IF(Sala[[#This Row],[Cobrada]]="Sí",Sala[[#This Row],[Propina]],0)</f>
        <v>0</v>
      </c>
      <c r="Z305">
        <f>(IF(Sala[[#This Row],[Cobrada]]="Sí",Sala[[#This Row],[Monto total]],0))+Sala[[#This Row],[Propina real]]</f>
        <v>0</v>
      </c>
    </row>
    <row r="306" spans="1:26" x14ac:dyDescent="0.25">
      <c r="A306">
        <v>1</v>
      </c>
      <c r="B306" t="s">
        <v>313</v>
      </c>
      <c r="C306">
        <v>2</v>
      </c>
      <c r="D306" s="2">
        <v>45019</v>
      </c>
      <c r="E306" s="3">
        <v>3.125E-2</v>
      </c>
      <c r="F306" s="2">
        <v>45019</v>
      </c>
      <c r="G306" s="3">
        <v>0.17569444444444443</v>
      </c>
      <c r="H306" s="1" t="s">
        <v>11</v>
      </c>
      <c r="I306" t="s">
        <v>8</v>
      </c>
      <c r="J306" t="s">
        <v>601</v>
      </c>
      <c r="K306" s="9">
        <v>37.92</v>
      </c>
      <c r="L306" t="s">
        <v>9</v>
      </c>
      <c r="M306">
        <v>305</v>
      </c>
      <c r="N306" t="s">
        <v>47</v>
      </c>
      <c r="O306" s="3">
        <f>(Sala[[#This Row],[Hora de Salida]]-Sala[[#This Row],[Hora de llegada]])+IF(Sala[[#This Row],[Estado de la Mesa]]="Ocupada",(TEXT((15/(60*24)),"h:mm")),(TEXT(0,"h:mm")))</f>
        <v>0.14444444444444443</v>
      </c>
      <c r="P306" s="43">
        <f>(SUMIF(Cocina[Número de Orden],Sala[[#This Row],[Número de Orden]],Cocina[Tiempo de Preparación]))</f>
        <v>65</v>
      </c>
      <c r="Q306" s="5" t="str">
        <f>TEXT(((SUMIF(Cocina[Número de Orden],Sala[[#This Row],[Número de Orden]],Cocina[Tiempo de Preparación]))/(60*24)),"h:mm")</f>
        <v>1:05</v>
      </c>
      <c r="R306" s="3">
        <f>MAX((Sala[[#This Row],[Tiempo de permanencia]]-Sala[[#This Row],[Tiempo de preparación (h)]]),0)</f>
        <v>9.9305555555555536E-2</v>
      </c>
      <c r="S306" s="8">
        <f>SUMIF(Cocina[Número de Orden],Sala[[#This Row],[Número de Orden]],Cocina[Ganancia bruta])</f>
        <v>128</v>
      </c>
      <c r="T306" s="8">
        <f>SUMIF(Cocina[Número de Orden],Sala[[#This Row],[Número de Orden]],Cocina[Costo Unitario])</f>
        <v>35</v>
      </c>
      <c r="U306" s="2">
        <f>Sala[[#This Row],[Fecha de Salida]]</f>
        <v>45019</v>
      </c>
      <c r="V306" s="7" t="str">
        <f>TEXT(Sala[[#This Row],[Fecha factura]],"dddd")</f>
        <v>lunes</v>
      </c>
      <c r="W306" t="str">
        <f>IF(Sala[[#This Row],[Tiempo de degustación]]&gt;0,"Sí","No")</f>
        <v>Sí</v>
      </c>
      <c r="X306" t="str">
        <f>IF(Sala[[#This Row],[Cobrada]]="Sí",Sala[[#This Row],[Método de Pago]],"Impago")</f>
        <v>Tarjeta de crédito</v>
      </c>
      <c r="Y306">
        <f>IF(Sala[[#This Row],[Cobrada]]="Sí",Sala[[#This Row],[Propina]],0)</f>
        <v>37.92</v>
      </c>
      <c r="Z306">
        <f>(IF(Sala[[#This Row],[Cobrada]]="Sí",Sala[[#This Row],[Monto total]],0))+Sala[[#This Row],[Propina real]]</f>
        <v>165.92000000000002</v>
      </c>
    </row>
    <row r="307" spans="1:26" x14ac:dyDescent="0.25">
      <c r="A307">
        <v>7</v>
      </c>
      <c r="B307" t="s">
        <v>314</v>
      </c>
      <c r="C307">
        <v>4</v>
      </c>
      <c r="D307" s="2">
        <v>45019</v>
      </c>
      <c r="E307" s="3">
        <v>2.0833333333333333E-3</v>
      </c>
      <c r="F307" s="2">
        <v>45019</v>
      </c>
      <c r="G307" s="3">
        <v>0.10555555555555556</v>
      </c>
      <c r="H307" s="1" t="s">
        <v>20</v>
      </c>
      <c r="I307" t="s">
        <v>8</v>
      </c>
      <c r="J307" t="s">
        <v>601</v>
      </c>
      <c r="K307" s="9">
        <v>16.96</v>
      </c>
      <c r="L307" t="s">
        <v>28</v>
      </c>
      <c r="M307">
        <v>306</v>
      </c>
      <c r="N307" t="s">
        <v>47</v>
      </c>
      <c r="O307" s="3">
        <f>(Sala[[#This Row],[Hora de Salida]]-Sala[[#This Row],[Hora de llegada]])+IF(Sala[[#This Row],[Estado de la Mesa]]="Ocupada",(TEXT((15/(60*24)),"h:mm")),(TEXT(0,"h:mm")))</f>
        <v>0.11388888888888889</v>
      </c>
      <c r="P307" s="43">
        <f>(SUMIF(Cocina[Número de Orden],Sala[[#This Row],[Número de Orden]],Cocina[Tiempo de Preparación]))</f>
        <v>21</v>
      </c>
      <c r="Q307" s="5" t="str">
        <f>TEXT(((SUMIF(Cocina[Número de Orden],Sala[[#This Row],[Número de Orden]],Cocina[Tiempo de Preparación]))/(60*24)),"h:mm")</f>
        <v>0:21</v>
      </c>
      <c r="R307" s="3">
        <f>MAX((Sala[[#This Row],[Tiempo de permanencia]]-Sala[[#This Row],[Tiempo de preparación (h)]]),0)</f>
        <v>9.930555555555555E-2</v>
      </c>
      <c r="S307" s="8">
        <f>SUMIF(Cocina[Número de Orden],Sala[[#This Row],[Número de Orden]],Cocina[Ganancia bruta])</f>
        <v>32</v>
      </c>
      <c r="T307" s="8">
        <f>SUMIF(Cocina[Número de Orden],Sala[[#This Row],[Número de Orden]],Cocina[Costo Unitario])</f>
        <v>19</v>
      </c>
      <c r="U307" s="2">
        <f>Sala[[#This Row],[Fecha de Salida]]</f>
        <v>45019</v>
      </c>
      <c r="V307" s="7" t="str">
        <f>TEXT(Sala[[#This Row],[Fecha factura]],"dddd")</f>
        <v>lunes</v>
      </c>
      <c r="W307" t="str">
        <f>IF(Sala[[#This Row],[Tiempo de degustación]]&gt;0,"Sí","No")</f>
        <v>Sí</v>
      </c>
      <c r="X307" t="str">
        <f>IF(Sala[[#This Row],[Cobrada]]="Sí",Sala[[#This Row],[Método de Pago]],"Impago")</f>
        <v>Tarjeta de crédito</v>
      </c>
      <c r="Y307">
        <f>IF(Sala[[#This Row],[Cobrada]]="Sí",Sala[[#This Row],[Propina]],0)</f>
        <v>16.96</v>
      </c>
      <c r="Z307">
        <f>(IF(Sala[[#This Row],[Cobrada]]="Sí",Sala[[#This Row],[Monto total]],0))+Sala[[#This Row],[Propina real]]</f>
        <v>48.96</v>
      </c>
    </row>
    <row r="308" spans="1:26" x14ac:dyDescent="0.25">
      <c r="A308">
        <v>20</v>
      </c>
      <c r="B308" t="s">
        <v>41</v>
      </c>
      <c r="C308">
        <v>5</v>
      </c>
      <c r="D308" s="2">
        <v>45019</v>
      </c>
      <c r="E308" s="3">
        <v>0.13125000000000001</v>
      </c>
      <c r="F308" s="2">
        <v>45019</v>
      </c>
      <c r="G308" s="3">
        <v>0.23541666666666666</v>
      </c>
      <c r="H308" s="1" t="s">
        <v>11</v>
      </c>
      <c r="I308" t="s">
        <v>8</v>
      </c>
      <c r="J308" t="s">
        <v>13</v>
      </c>
      <c r="K308" s="9">
        <v>31.66</v>
      </c>
      <c r="L308" t="s">
        <v>17</v>
      </c>
      <c r="M308">
        <v>307</v>
      </c>
      <c r="N308" t="s">
        <v>593</v>
      </c>
      <c r="O308" s="3">
        <f>(Sala[[#This Row],[Hora de Salida]]-Sala[[#This Row],[Hora de llegada]])+IF(Sala[[#This Row],[Estado de la Mesa]]="Ocupada",(TEXT((15/(60*24)),"h:mm")),(TEXT(0,"h:mm")))</f>
        <v>0.10416666666666666</v>
      </c>
      <c r="P308" s="43">
        <f>(SUMIF(Cocina[Número de Orden],Sala[[#This Row],[Número de Orden]],Cocina[Tiempo de Preparación]))</f>
        <v>39</v>
      </c>
      <c r="Q308" s="5" t="str">
        <f>TEXT(((SUMIF(Cocina[Número de Orden],Sala[[#This Row],[Número de Orden]],Cocina[Tiempo de Preparación]))/(60*24)),"h:mm")</f>
        <v>0:39</v>
      </c>
      <c r="R308" s="3">
        <f>MAX((Sala[[#This Row],[Tiempo de permanencia]]-Sala[[#This Row],[Tiempo de preparación (h)]]),0)</f>
        <v>7.7083333333333323E-2</v>
      </c>
      <c r="S308" s="8">
        <f>SUMIF(Cocina[Número de Orden],Sala[[#This Row],[Número de Orden]],Cocina[Ganancia bruta])</f>
        <v>63</v>
      </c>
      <c r="T308" s="8">
        <f>SUMIF(Cocina[Número de Orden],Sala[[#This Row],[Número de Orden]],Cocina[Costo Unitario])</f>
        <v>13</v>
      </c>
      <c r="U308" s="2">
        <f>Sala[[#This Row],[Fecha de Salida]]</f>
        <v>45019</v>
      </c>
      <c r="V308" s="7" t="str">
        <f>TEXT(Sala[[#This Row],[Fecha factura]],"dddd")</f>
        <v>lunes</v>
      </c>
      <c r="W308" t="str">
        <f>IF(Sala[[#This Row],[Tiempo de degustación]]&gt;0,"Sí","No")</f>
        <v>Sí</v>
      </c>
      <c r="X308" t="str">
        <f>IF(Sala[[#This Row],[Cobrada]]="Sí",Sala[[#This Row],[Método de Pago]],"Impago")</f>
        <v>Efectivo</v>
      </c>
      <c r="Y308">
        <f>IF(Sala[[#This Row],[Cobrada]]="Sí",Sala[[#This Row],[Propina]],0)</f>
        <v>31.66</v>
      </c>
      <c r="Z308">
        <f>(IF(Sala[[#This Row],[Cobrada]]="Sí",Sala[[#This Row],[Monto total]],0))+Sala[[#This Row],[Propina real]]</f>
        <v>94.66</v>
      </c>
    </row>
    <row r="309" spans="1:26" x14ac:dyDescent="0.25">
      <c r="A309">
        <v>14</v>
      </c>
      <c r="B309" t="s">
        <v>315</v>
      </c>
      <c r="C309">
        <v>6</v>
      </c>
      <c r="D309" s="2">
        <v>45019</v>
      </c>
      <c r="E309" s="3">
        <v>7.9861111111111105E-2</v>
      </c>
      <c r="F309" s="2">
        <v>45019</v>
      </c>
      <c r="G309" s="3">
        <v>0.19375000000000001</v>
      </c>
      <c r="H309" s="1" t="s">
        <v>16</v>
      </c>
      <c r="I309" t="s">
        <v>8</v>
      </c>
      <c r="J309" t="s">
        <v>601</v>
      </c>
      <c r="K309" s="9">
        <v>33.79</v>
      </c>
      <c r="L309" t="s">
        <v>9</v>
      </c>
      <c r="M309">
        <v>308</v>
      </c>
      <c r="N309" t="s">
        <v>34</v>
      </c>
      <c r="O309" s="3">
        <f>(Sala[[#This Row],[Hora de Salida]]-Sala[[#This Row],[Hora de llegada]])+IF(Sala[[#This Row],[Estado de la Mesa]]="Ocupada",(TEXT((15/(60*24)),"h:mm")),(TEXT(0,"h:mm")))</f>
        <v>0.1138888888888889</v>
      </c>
      <c r="P309" s="43">
        <f>(SUMIF(Cocina[Número de Orden],Sala[[#This Row],[Número de Orden]],Cocina[Tiempo de Preparación]))</f>
        <v>186</v>
      </c>
      <c r="Q309" s="5" t="str">
        <f>TEXT(((SUMIF(Cocina[Número de Orden],Sala[[#This Row],[Número de Orden]],Cocina[Tiempo de Preparación]))/(60*24)),"h:mm")</f>
        <v>3:06</v>
      </c>
      <c r="R309" s="3">
        <f>MAX((Sala[[#This Row],[Tiempo de permanencia]]-Sala[[#This Row],[Tiempo de preparación (h)]]),0)</f>
        <v>0</v>
      </c>
      <c r="S309" s="8">
        <f>SUMIF(Cocina[Número de Orden],Sala[[#This Row],[Número de Orden]],Cocina[Ganancia bruta])</f>
        <v>222</v>
      </c>
      <c r="T309" s="8">
        <f>SUMIF(Cocina[Número de Orden],Sala[[#This Row],[Número de Orden]],Cocina[Costo Unitario])</f>
        <v>76</v>
      </c>
      <c r="U309" s="2">
        <f>Sala[[#This Row],[Fecha de Salida]]</f>
        <v>45019</v>
      </c>
      <c r="V309" s="7" t="str">
        <f>TEXT(Sala[[#This Row],[Fecha factura]],"dddd")</f>
        <v>lunes</v>
      </c>
      <c r="W309" t="str">
        <f>IF(Sala[[#This Row],[Tiempo de degustación]]&gt;0,"Sí","No")</f>
        <v>No</v>
      </c>
      <c r="X309" t="str">
        <f>IF(Sala[[#This Row],[Cobrada]]="Sí",Sala[[#This Row],[Método de Pago]],"Impago")</f>
        <v>Impago</v>
      </c>
      <c r="Y309">
        <f>IF(Sala[[#This Row],[Cobrada]]="Sí",Sala[[#This Row],[Propina]],0)</f>
        <v>0</v>
      </c>
      <c r="Z309">
        <f>(IF(Sala[[#This Row],[Cobrada]]="Sí",Sala[[#This Row],[Monto total]],0))+Sala[[#This Row],[Propina real]]</f>
        <v>0</v>
      </c>
    </row>
    <row r="310" spans="1:26" x14ac:dyDescent="0.25">
      <c r="A310">
        <v>9</v>
      </c>
      <c r="B310" t="s">
        <v>316</v>
      </c>
      <c r="C310">
        <v>3</v>
      </c>
      <c r="D310" s="2">
        <v>45019</v>
      </c>
      <c r="E310" s="3">
        <v>1.9444444444444445E-2</v>
      </c>
      <c r="F310" s="2">
        <v>45019</v>
      </c>
      <c r="G310" s="3">
        <v>0.1701388888888889</v>
      </c>
      <c r="H310" s="1" t="s">
        <v>11</v>
      </c>
      <c r="I310" t="s">
        <v>8</v>
      </c>
      <c r="J310" t="s">
        <v>601</v>
      </c>
      <c r="K310" s="9">
        <v>36.090000000000003</v>
      </c>
      <c r="L310" t="s">
        <v>9</v>
      </c>
      <c r="M310">
        <v>309</v>
      </c>
      <c r="N310" t="s">
        <v>59</v>
      </c>
      <c r="O310" s="3">
        <f>(Sala[[#This Row],[Hora de Salida]]-Sala[[#This Row],[Hora de llegada]])+IF(Sala[[#This Row],[Estado de la Mesa]]="Ocupada",(TEXT((15/(60*24)),"h:mm")),(TEXT(0,"h:mm")))</f>
        <v>0.15069444444444446</v>
      </c>
      <c r="P310" s="43">
        <f>(SUMIF(Cocina[Número de Orden],Sala[[#This Row],[Número de Orden]],Cocina[Tiempo de Preparación]))</f>
        <v>123</v>
      </c>
      <c r="Q310" s="5" t="str">
        <f>TEXT(((SUMIF(Cocina[Número de Orden],Sala[[#This Row],[Número de Orden]],Cocina[Tiempo de Preparación]))/(60*24)),"h:mm")</f>
        <v>2:03</v>
      </c>
      <c r="R310" s="3">
        <f>MAX((Sala[[#This Row],[Tiempo de permanencia]]-Sala[[#This Row],[Tiempo de preparación (h)]]),0)</f>
        <v>6.5277777777777796E-2</v>
      </c>
      <c r="S310" s="8">
        <f>SUMIF(Cocina[Número de Orden],Sala[[#This Row],[Número de Orden]],Cocina[Ganancia bruta])</f>
        <v>172</v>
      </c>
      <c r="T310" s="8">
        <f>SUMIF(Cocina[Número de Orden],Sala[[#This Row],[Número de Orden]],Cocina[Costo Unitario])</f>
        <v>65</v>
      </c>
      <c r="U310" s="2">
        <f>Sala[[#This Row],[Fecha de Salida]]</f>
        <v>45019</v>
      </c>
      <c r="V310" s="7" t="str">
        <f>TEXT(Sala[[#This Row],[Fecha factura]],"dddd")</f>
        <v>lunes</v>
      </c>
      <c r="W310" t="str">
        <f>IF(Sala[[#This Row],[Tiempo de degustación]]&gt;0,"Sí","No")</f>
        <v>Sí</v>
      </c>
      <c r="X310" t="str">
        <f>IF(Sala[[#This Row],[Cobrada]]="Sí",Sala[[#This Row],[Método de Pago]],"Impago")</f>
        <v>Tarjeta de crédito</v>
      </c>
      <c r="Y310">
        <f>IF(Sala[[#This Row],[Cobrada]]="Sí",Sala[[#This Row],[Propina]],0)</f>
        <v>36.090000000000003</v>
      </c>
      <c r="Z310">
        <f>(IF(Sala[[#This Row],[Cobrada]]="Sí",Sala[[#This Row],[Monto total]],0))+Sala[[#This Row],[Propina real]]</f>
        <v>208.09</v>
      </c>
    </row>
    <row r="311" spans="1:26" x14ac:dyDescent="0.25">
      <c r="A311">
        <v>17</v>
      </c>
      <c r="B311" t="s">
        <v>317</v>
      </c>
      <c r="C311">
        <v>3</v>
      </c>
      <c r="D311" s="2">
        <v>45019</v>
      </c>
      <c r="E311" s="3">
        <v>0.12777777777777777</v>
      </c>
      <c r="F311" s="2">
        <v>45019</v>
      </c>
      <c r="G311" s="3">
        <v>0.26597222222222222</v>
      </c>
      <c r="H311" s="1" t="s">
        <v>20</v>
      </c>
      <c r="I311" t="s">
        <v>25</v>
      </c>
      <c r="J311" t="s">
        <v>601</v>
      </c>
      <c r="K311" s="9">
        <v>11.47</v>
      </c>
      <c r="L311" t="s">
        <v>17</v>
      </c>
      <c r="M311">
        <v>310</v>
      </c>
      <c r="N311" t="s">
        <v>34</v>
      </c>
      <c r="O311" s="3">
        <f>(Sala[[#This Row],[Hora de Salida]]-Sala[[#This Row],[Hora de llegada]])+IF(Sala[[#This Row],[Estado de la Mesa]]="Ocupada",(TEXT((15/(60*24)),"h:mm")),(TEXT(0,"h:mm")))</f>
        <v>0.13819444444444445</v>
      </c>
      <c r="P311" s="43">
        <f>(SUMIF(Cocina[Número de Orden],Sala[[#This Row],[Número de Orden]],Cocina[Tiempo de Preparación]))</f>
        <v>97</v>
      </c>
      <c r="Q311" s="5" t="str">
        <f>TEXT(((SUMIF(Cocina[Número de Orden],Sala[[#This Row],[Número de Orden]],Cocina[Tiempo de Preparación]))/(60*24)),"h:mm")</f>
        <v>1:37</v>
      </c>
      <c r="R311" s="3">
        <f>MAX((Sala[[#This Row],[Tiempo de permanencia]]-Sala[[#This Row],[Tiempo de preparación (h)]]),0)</f>
        <v>7.0833333333333345E-2</v>
      </c>
      <c r="S311" s="8">
        <f>SUMIF(Cocina[Número de Orden],Sala[[#This Row],[Número de Orden]],Cocina[Ganancia bruta])</f>
        <v>138</v>
      </c>
      <c r="T311" s="8">
        <f>SUMIF(Cocina[Número de Orden],Sala[[#This Row],[Número de Orden]],Cocina[Costo Unitario])</f>
        <v>33</v>
      </c>
      <c r="U311" s="2">
        <f>Sala[[#This Row],[Fecha de Salida]]</f>
        <v>45019</v>
      </c>
      <c r="V311" s="7" t="str">
        <f>TEXT(Sala[[#This Row],[Fecha factura]],"dddd")</f>
        <v>lunes</v>
      </c>
      <c r="W311" t="str">
        <f>IF(Sala[[#This Row],[Tiempo de degustación]]&gt;0,"Sí","No")</f>
        <v>Sí</v>
      </c>
      <c r="X311" t="str">
        <f>IF(Sala[[#This Row],[Cobrada]]="Sí",Sala[[#This Row],[Método de Pago]],"Impago")</f>
        <v>Tarjeta de crédito</v>
      </c>
      <c r="Y311">
        <f>IF(Sala[[#This Row],[Cobrada]]="Sí",Sala[[#This Row],[Propina]],0)</f>
        <v>11.47</v>
      </c>
      <c r="Z311">
        <f>(IF(Sala[[#This Row],[Cobrada]]="Sí",Sala[[#This Row],[Monto total]],0))+Sala[[#This Row],[Propina real]]</f>
        <v>149.47</v>
      </c>
    </row>
    <row r="312" spans="1:26" x14ac:dyDescent="0.25">
      <c r="A312">
        <v>6</v>
      </c>
      <c r="B312" t="s">
        <v>318</v>
      </c>
      <c r="C312">
        <v>4</v>
      </c>
      <c r="D312" s="2">
        <v>45019</v>
      </c>
      <c r="E312" s="3">
        <v>6.9444444444444448E-2</v>
      </c>
      <c r="F312" s="2">
        <v>45019</v>
      </c>
      <c r="G312" s="3">
        <v>0.11319444444444444</v>
      </c>
      <c r="H312" s="1" t="s">
        <v>7</v>
      </c>
      <c r="I312" t="s">
        <v>12</v>
      </c>
      <c r="J312" t="s">
        <v>13</v>
      </c>
      <c r="K312" s="9">
        <v>39.270000000000003</v>
      </c>
      <c r="L312" t="s">
        <v>28</v>
      </c>
      <c r="M312">
        <v>311</v>
      </c>
      <c r="N312" t="s">
        <v>21</v>
      </c>
      <c r="O312" s="3">
        <f>(Sala[[#This Row],[Hora de Salida]]-Sala[[#This Row],[Hora de llegada]])+IF(Sala[[#This Row],[Estado de la Mesa]]="Ocupada",(TEXT((15/(60*24)),"h:mm")),(TEXT(0,"h:mm")))</f>
        <v>5.4166666666666662E-2</v>
      </c>
      <c r="P312" s="43">
        <f>(SUMIF(Cocina[Número de Orden],Sala[[#This Row],[Número de Orden]],Cocina[Tiempo de Preparación]))</f>
        <v>74</v>
      </c>
      <c r="Q312" s="5" t="str">
        <f>TEXT(((SUMIF(Cocina[Número de Orden],Sala[[#This Row],[Número de Orden]],Cocina[Tiempo de Preparación]))/(60*24)),"h:mm")</f>
        <v>1:14</v>
      </c>
      <c r="R312" s="3">
        <f>MAX((Sala[[#This Row],[Tiempo de permanencia]]-Sala[[#This Row],[Tiempo de preparación (h)]]),0)</f>
        <v>2.7777777777777748E-3</v>
      </c>
      <c r="S312" s="8">
        <f>SUMIF(Cocina[Número de Orden],Sala[[#This Row],[Número de Orden]],Cocina[Ganancia bruta])</f>
        <v>53</v>
      </c>
      <c r="T312" s="8">
        <f>SUMIF(Cocina[Número de Orden],Sala[[#This Row],[Número de Orden]],Cocina[Costo Unitario])</f>
        <v>31</v>
      </c>
      <c r="U312" s="2">
        <f>Sala[[#This Row],[Fecha de Salida]]</f>
        <v>45019</v>
      </c>
      <c r="V312" s="7" t="str">
        <f>TEXT(Sala[[#This Row],[Fecha factura]],"dddd")</f>
        <v>lunes</v>
      </c>
      <c r="W312" t="str">
        <f>IF(Sala[[#This Row],[Tiempo de degustación]]&gt;0,"Sí","No")</f>
        <v>Sí</v>
      </c>
      <c r="X312" t="str">
        <f>IF(Sala[[#This Row],[Cobrada]]="Sí",Sala[[#This Row],[Método de Pago]],"Impago")</f>
        <v>Efectivo</v>
      </c>
      <c r="Y312">
        <f>IF(Sala[[#This Row],[Cobrada]]="Sí",Sala[[#This Row],[Propina]],0)</f>
        <v>39.270000000000003</v>
      </c>
      <c r="Z312">
        <f>(IF(Sala[[#This Row],[Cobrada]]="Sí",Sala[[#This Row],[Monto total]],0))+Sala[[#This Row],[Propina real]]</f>
        <v>92.27000000000001</v>
      </c>
    </row>
    <row r="313" spans="1:26" x14ac:dyDescent="0.25">
      <c r="A313">
        <v>2</v>
      </c>
      <c r="B313" t="s">
        <v>319</v>
      </c>
      <c r="C313">
        <v>4</v>
      </c>
      <c r="D313" s="2">
        <v>45019</v>
      </c>
      <c r="E313" s="3">
        <v>0.12986111111111112</v>
      </c>
      <c r="F313" s="2">
        <v>45019</v>
      </c>
      <c r="G313" s="3">
        <v>0.25833333333333336</v>
      </c>
      <c r="H313" s="1" t="s">
        <v>7</v>
      </c>
      <c r="I313" t="s">
        <v>8</v>
      </c>
      <c r="J313" t="s">
        <v>601</v>
      </c>
      <c r="K313" s="9">
        <v>30.89</v>
      </c>
      <c r="L313" t="s">
        <v>9</v>
      </c>
      <c r="M313">
        <v>312</v>
      </c>
      <c r="N313" t="s">
        <v>34</v>
      </c>
      <c r="O313" s="3">
        <f>(Sala[[#This Row],[Hora de Salida]]-Sala[[#This Row],[Hora de llegada]])+IF(Sala[[#This Row],[Estado de la Mesa]]="Ocupada",(TEXT((15/(60*24)),"h:mm")),(TEXT(0,"h:mm")))</f>
        <v>0.12847222222222224</v>
      </c>
      <c r="P313" s="43">
        <f>(SUMIF(Cocina[Número de Orden],Sala[[#This Row],[Número de Orden]],Cocina[Tiempo de Preparación]))</f>
        <v>55</v>
      </c>
      <c r="Q313" s="5" t="str">
        <f>TEXT(((SUMIF(Cocina[Número de Orden],Sala[[#This Row],[Número de Orden]],Cocina[Tiempo de Preparación]))/(60*24)),"h:mm")</f>
        <v>0:55</v>
      </c>
      <c r="R313" s="3">
        <f>MAX((Sala[[#This Row],[Tiempo de permanencia]]-Sala[[#This Row],[Tiempo de preparación (h)]]),0)</f>
        <v>9.027777777777779E-2</v>
      </c>
      <c r="S313" s="8">
        <f>SUMIF(Cocina[Número de Orden],Sala[[#This Row],[Número de Orden]],Cocina[Ganancia bruta])</f>
        <v>134</v>
      </c>
      <c r="T313" s="8">
        <f>SUMIF(Cocina[Número de Orden],Sala[[#This Row],[Número de Orden]],Cocina[Costo Unitario])</f>
        <v>40</v>
      </c>
      <c r="U313" s="2">
        <f>Sala[[#This Row],[Fecha de Salida]]</f>
        <v>45019</v>
      </c>
      <c r="V313" s="7" t="str">
        <f>TEXT(Sala[[#This Row],[Fecha factura]],"dddd")</f>
        <v>lunes</v>
      </c>
      <c r="W313" t="str">
        <f>IF(Sala[[#This Row],[Tiempo de degustación]]&gt;0,"Sí","No")</f>
        <v>Sí</v>
      </c>
      <c r="X313" t="str">
        <f>IF(Sala[[#This Row],[Cobrada]]="Sí",Sala[[#This Row],[Método de Pago]],"Impago")</f>
        <v>Tarjeta de crédito</v>
      </c>
      <c r="Y313">
        <f>IF(Sala[[#This Row],[Cobrada]]="Sí",Sala[[#This Row],[Propina]],0)</f>
        <v>30.89</v>
      </c>
      <c r="Z313">
        <f>(IF(Sala[[#This Row],[Cobrada]]="Sí",Sala[[#This Row],[Monto total]],0))+Sala[[#This Row],[Propina real]]</f>
        <v>164.89</v>
      </c>
    </row>
    <row r="314" spans="1:26" x14ac:dyDescent="0.25">
      <c r="A314">
        <v>10</v>
      </c>
      <c r="B314" t="s">
        <v>30</v>
      </c>
      <c r="C314">
        <v>3</v>
      </c>
      <c r="D314" s="2">
        <v>45019</v>
      </c>
      <c r="E314" s="3">
        <v>9.930555555555555E-2</v>
      </c>
      <c r="F314" s="2">
        <v>45019</v>
      </c>
      <c r="G314" s="3">
        <v>0.24027777777777778</v>
      </c>
      <c r="H314" s="1" t="s">
        <v>11</v>
      </c>
      <c r="I314" t="s">
        <v>12</v>
      </c>
      <c r="J314" t="s">
        <v>600</v>
      </c>
      <c r="K314" s="9">
        <v>43.14</v>
      </c>
      <c r="L314" t="s">
        <v>9</v>
      </c>
      <c r="M314">
        <v>313</v>
      </c>
      <c r="N314" t="s">
        <v>594</v>
      </c>
      <c r="O314" s="3">
        <f>(Sala[[#This Row],[Hora de Salida]]-Sala[[#This Row],[Hora de llegada]])+IF(Sala[[#This Row],[Estado de la Mesa]]="Ocupada",(TEXT((15/(60*24)),"h:mm")),(TEXT(0,"h:mm")))</f>
        <v>0.14097222222222222</v>
      </c>
      <c r="P314" s="43">
        <f>(SUMIF(Cocina[Número de Orden],Sala[[#This Row],[Número de Orden]],Cocina[Tiempo de Preparación]))</f>
        <v>106</v>
      </c>
      <c r="Q314" s="5" t="str">
        <f>TEXT(((SUMIF(Cocina[Número de Orden],Sala[[#This Row],[Número de Orden]],Cocina[Tiempo de Preparación]))/(60*24)),"h:mm")</f>
        <v>1:46</v>
      </c>
      <c r="R314" s="3">
        <f>MAX((Sala[[#This Row],[Tiempo de permanencia]]-Sala[[#This Row],[Tiempo de preparación (h)]]),0)</f>
        <v>6.7361111111111108E-2</v>
      </c>
      <c r="S314" s="8">
        <f>SUMIF(Cocina[Número de Orden],Sala[[#This Row],[Número de Orden]],Cocina[Ganancia bruta])</f>
        <v>232</v>
      </c>
      <c r="T314" s="8">
        <f>SUMIF(Cocina[Número de Orden],Sala[[#This Row],[Número de Orden]],Cocina[Costo Unitario])</f>
        <v>66</v>
      </c>
      <c r="U314" s="2">
        <f>Sala[[#This Row],[Fecha de Salida]]</f>
        <v>45019</v>
      </c>
      <c r="V314" s="7" t="str">
        <f>TEXT(Sala[[#This Row],[Fecha factura]],"dddd")</f>
        <v>lunes</v>
      </c>
      <c r="W314" t="str">
        <f>IF(Sala[[#This Row],[Tiempo de degustación]]&gt;0,"Sí","No")</f>
        <v>Sí</v>
      </c>
      <c r="X314" t="str">
        <f>IF(Sala[[#This Row],[Cobrada]]="Sí",Sala[[#This Row],[Método de Pago]],"Impago")</f>
        <v>Tarjeta de débito</v>
      </c>
      <c r="Y314">
        <f>IF(Sala[[#This Row],[Cobrada]]="Sí",Sala[[#This Row],[Propina]],0)</f>
        <v>43.14</v>
      </c>
      <c r="Z314">
        <f>(IF(Sala[[#This Row],[Cobrada]]="Sí",Sala[[#This Row],[Monto total]],0))+Sala[[#This Row],[Propina real]]</f>
        <v>275.14</v>
      </c>
    </row>
    <row r="315" spans="1:26" x14ac:dyDescent="0.25">
      <c r="A315">
        <v>20</v>
      </c>
      <c r="B315" t="s">
        <v>320</v>
      </c>
      <c r="C315">
        <v>5</v>
      </c>
      <c r="D315" s="2">
        <v>45019</v>
      </c>
      <c r="E315" s="3">
        <v>3.1944444444444442E-2</v>
      </c>
      <c r="F315" s="2">
        <v>45019</v>
      </c>
      <c r="G315" s="3">
        <v>0.16180555555555556</v>
      </c>
      <c r="H315" s="1" t="s">
        <v>23</v>
      </c>
      <c r="I315" t="s">
        <v>8</v>
      </c>
      <c r="J315" t="s">
        <v>600</v>
      </c>
      <c r="K315" s="9">
        <v>32.18</v>
      </c>
      <c r="L315" t="s">
        <v>28</v>
      </c>
      <c r="M315">
        <v>314</v>
      </c>
      <c r="N315" t="s">
        <v>47</v>
      </c>
      <c r="O315" s="3">
        <f>(Sala[[#This Row],[Hora de Salida]]-Sala[[#This Row],[Hora de llegada]])+IF(Sala[[#This Row],[Estado de la Mesa]]="Ocupada",(TEXT((15/(60*24)),"h:mm")),(TEXT(0,"h:mm")))</f>
        <v>0.14027777777777778</v>
      </c>
      <c r="P315" s="43">
        <f>(SUMIF(Cocina[Número de Orden],Sala[[#This Row],[Número de Orden]],Cocina[Tiempo de Preparación]))</f>
        <v>5</v>
      </c>
      <c r="Q315" s="5" t="str">
        <f>TEXT(((SUMIF(Cocina[Número de Orden],Sala[[#This Row],[Número de Orden]],Cocina[Tiempo de Preparación]))/(60*24)),"h:mm")</f>
        <v>0:05</v>
      </c>
      <c r="R315" s="3">
        <f>MAX((Sala[[#This Row],[Tiempo de permanencia]]-Sala[[#This Row],[Tiempo de preparación (h)]]),0)</f>
        <v>0.13680555555555557</v>
      </c>
      <c r="S315" s="8">
        <f>SUMIF(Cocina[Número de Orden],Sala[[#This Row],[Número de Orden]],Cocina[Ganancia bruta])</f>
        <v>27</v>
      </c>
      <c r="T315" s="8">
        <f>SUMIF(Cocina[Número de Orden],Sala[[#This Row],[Número de Orden]],Cocina[Costo Unitario])</f>
        <v>16</v>
      </c>
      <c r="U315" s="2">
        <f>Sala[[#This Row],[Fecha de Salida]]</f>
        <v>45019</v>
      </c>
      <c r="V315" s="7" t="str">
        <f>TEXT(Sala[[#This Row],[Fecha factura]],"dddd")</f>
        <v>lunes</v>
      </c>
      <c r="W315" t="str">
        <f>IF(Sala[[#This Row],[Tiempo de degustación]]&gt;0,"Sí","No")</f>
        <v>Sí</v>
      </c>
      <c r="X315" t="str">
        <f>IF(Sala[[#This Row],[Cobrada]]="Sí",Sala[[#This Row],[Método de Pago]],"Impago")</f>
        <v>Tarjeta de débito</v>
      </c>
      <c r="Y315">
        <f>IF(Sala[[#This Row],[Cobrada]]="Sí",Sala[[#This Row],[Propina]],0)</f>
        <v>32.18</v>
      </c>
      <c r="Z315">
        <f>(IF(Sala[[#This Row],[Cobrada]]="Sí",Sala[[#This Row],[Monto total]],0))+Sala[[#This Row],[Propina real]]</f>
        <v>59.18</v>
      </c>
    </row>
    <row r="316" spans="1:26" x14ac:dyDescent="0.25">
      <c r="A316">
        <v>14</v>
      </c>
      <c r="B316" t="s">
        <v>321</v>
      </c>
      <c r="C316">
        <v>1</v>
      </c>
      <c r="D316" s="2">
        <v>45019</v>
      </c>
      <c r="E316" s="3">
        <v>8.3333333333333332E-3</v>
      </c>
      <c r="F316" s="2">
        <v>45019</v>
      </c>
      <c r="G316" s="3">
        <v>0.1451388888888889</v>
      </c>
      <c r="H316" s="1" t="s">
        <v>16</v>
      </c>
      <c r="I316" t="s">
        <v>8</v>
      </c>
      <c r="J316" t="s">
        <v>601</v>
      </c>
      <c r="K316" s="9">
        <v>20.6</v>
      </c>
      <c r="L316" t="s">
        <v>17</v>
      </c>
      <c r="M316">
        <v>315</v>
      </c>
      <c r="N316" t="s">
        <v>47</v>
      </c>
      <c r="O316" s="3">
        <f>(Sala[[#This Row],[Hora de Salida]]-Sala[[#This Row],[Hora de llegada]])+IF(Sala[[#This Row],[Estado de la Mesa]]="Ocupada",(TEXT((15/(60*24)),"h:mm")),(TEXT(0,"h:mm")))</f>
        <v>0.13680555555555557</v>
      </c>
      <c r="P316" s="43">
        <f>(SUMIF(Cocina[Número de Orden],Sala[[#This Row],[Número de Orden]],Cocina[Tiempo de Preparación]))</f>
        <v>126</v>
      </c>
      <c r="Q316" s="5" t="str">
        <f>TEXT(((SUMIF(Cocina[Número de Orden],Sala[[#This Row],[Número de Orden]],Cocina[Tiempo de Preparación]))/(60*24)),"h:mm")</f>
        <v>2:06</v>
      </c>
      <c r="R316" s="3">
        <f>MAX((Sala[[#This Row],[Tiempo de permanencia]]-Sala[[#This Row],[Tiempo de preparación (h)]]),0)</f>
        <v>4.9305555555555575E-2</v>
      </c>
      <c r="S316" s="8">
        <f>SUMIF(Cocina[Número de Orden],Sala[[#This Row],[Número de Orden]],Cocina[Ganancia bruta])</f>
        <v>161</v>
      </c>
      <c r="T316" s="8">
        <f>SUMIF(Cocina[Número de Orden],Sala[[#This Row],[Número de Orden]],Cocina[Costo Unitario])</f>
        <v>61</v>
      </c>
      <c r="U316" s="2">
        <f>Sala[[#This Row],[Fecha de Salida]]</f>
        <v>45019</v>
      </c>
      <c r="V316" s="7" t="str">
        <f>TEXT(Sala[[#This Row],[Fecha factura]],"dddd")</f>
        <v>lunes</v>
      </c>
      <c r="W316" t="str">
        <f>IF(Sala[[#This Row],[Tiempo de degustación]]&gt;0,"Sí","No")</f>
        <v>Sí</v>
      </c>
      <c r="X316" t="str">
        <f>IF(Sala[[#This Row],[Cobrada]]="Sí",Sala[[#This Row],[Método de Pago]],"Impago")</f>
        <v>Tarjeta de crédito</v>
      </c>
      <c r="Y316">
        <f>IF(Sala[[#This Row],[Cobrada]]="Sí",Sala[[#This Row],[Propina]],0)</f>
        <v>20.6</v>
      </c>
      <c r="Z316">
        <f>(IF(Sala[[#This Row],[Cobrada]]="Sí",Sala[[#This Row],[Monto total]],0))+Sala[[#This Row],[Propina real]]</f>
        <v>181.6</v>
      </c>
    </row>
    <row r="317" spans="1:26" x14ac:dyDescent="0.25">
      <c r="A317">
        <v>2</v>
      </c>
      <c r="B317" t="s">
        <v>322</v>
      </c>
      <c r="C317">
        <v>2</v>
      </c>
      <c r="D317" s="2">
        <v>45019</v>
      </c>
      <c r="E317" s="3">
        <v>6.805555555555555E-2</v>
      </c>
      <c r="F317" s="2">
        <v>45019</v>
      </c>
      <c r="G317" s="3">
        <v>0.23055555555555557</v>
      </c>
      <c r="H317" s="1" t="s">
        <v>20</v>
      </c>
      <c r="I317" t="s">
        <v>12</v>
      </c>
      <c r="J317" t="s">
        <v>601</v>
      </c>
      <c r="K317" s="9">
        <v>31.13</v>
      </c>
      <c r="L317" t="s">
        <v>9</v>
      </c>
      <c r="M317">
        <v>316</v>
      </c>
      <c r="N317" t="s">
        <v>593</v>
      </c>
      <c r="O317" s="3">
        <f>(Sala[[#This Row],[Hora de Salida]]-Sala[[#This Row],[Hora de llegada]])+IF(Sala[[#This Row],[Estado de la Mesa]]="Ocupada",(TEXT((15/(60*24)),"h:mm")),(TEXT(0,"h:mm")))</f>
        <v>0.16250000000000003</v>
      </c>
      <c r="P317" s="43">
        <f>(SUMIF(Cocina[Número de Orden],Sala[[#This Row],[Número de Orden]],Cocina[Tiempo de Preparación]))</f>
        <v>158</v>
      </c>
      <c r="Q317" s="5" t="str">
        <f>TEXT(((SUMIF(Cocina[Número de Orden],Sala[[#This Row],[Número de Orden]],Cocina[Tiempo de Preparación]))/(60*24)),"h:mm")</f>
        <v>2:38</v>
      </c>
      <c r="R317" s="3">
        <f>MAX((Sala[[#This Row],[Tiempo de permanencia]]-Sala[[#This Row],[Tiempo de preparación (h)]]),0)</f>
        <v>5.2777777777777812E-2</v>
      </c>
      <c r="S317" s="8">
        <f>SUMIF(Cocina[Número de Orden],Sala[[#This Row],[Número de Orden]],Cocina[Ganancia bruta])</f>
        <v>160</v>
      </c>
      <c r="T317" s="8">
        <f>SUMIF(Cocina[Número de Orden],Sala[[#This Row],[Número de Orden]],Cocina[Costo Unitario])</f>
        <v>64</v>
      </c>
      <c r="U317" s="2">
        <f>Sala[[#This Row],[Fecha de Salida]]</f>
        <v>45019</v>
      </c>
      <c r="V317" s="7" t="str">
        <f>TEXT(Sala[[#This Row],[Fecha factura]],"dddd")</f>
        <v>lunes</v>
      </c>
      <c r="W317" t="str">
        <f>IF(Sala[[#This Row],[Tiempo de degustación]]&gt;0,"Sí","No")</f>
        <v>Sí</v>
      </c>
      <c r="X317" t="str">
        <f>IF(Sala[[#This Row],[Cobrada]]="Sí",Sala[[#This Row],[Método de Pago]],"Impago")</f>
        <v>Tarjeta de crédito</v>
      </c>
      <c r="Y317">
        <f>IF(Sala[[#This Row],[Cobrada]]="Sí",Sala[[#This Row],[Propina]],0)</f>
        <v>31.13</v>
      </c>
      <c r="Z317">
        <f>(IF(Sala[[#This Row],[Cobrada]]="Sí",Sala[[#This Row],[Monto total]],0))+Sala[[#This Row],[Propina real]]</f>
        <v>191.13</v>
      </c>
    </row>
    <row r="318" spans="1:26" x14ac:dyDescent="0.25">
      <c r="A318">
        <v>17</v>
      </c>
      <c r="B318" t="s">
        <v>103</v>
      </c>
      <c r="C318">
        <v>2</v>
      </c>
      <c r="D318" s="2">
        <v>45019</v>
      </c>
      <c r="E318" s="3">
        <v>0.10069444444444445</v>
      </c>
      <c r="F318" s="2">
        <v>45019</v>
      </c>
      <c r="G318" s="3">
        <v>0.26111111111111113</v>
      </c>
      <c r="H318" s="1" t="s">
        <v>16</v>
      </c>
      <c r="I318" t="s">
        <v>12</v>
      </c>
      <c r="J318" t="s">
        <v>13</v>
      </c>
      <c r="K318" s="9">
        <v>24.55</v>
      </c>
      <c r="L318" t="s">
        <v>17</v>
      </c>
      <c r="M318">
        <v>317</v>
      </c>
      <c r="N318" t="s">
        <v>34</v>
      </c>
      <c r="O318" s="3">
        <f>(Sala[[#This Row],[Hora de Salida]]-Sala[[#This Row],[Hora de llegada]])+IF(Sala[[#This Row],[Estado de la Mesa]]="Ocupada",(TEXT((15/(60*24)),"h:mm")),(TEXT(0,"h:mm")))</f>
        <v>0.16041666666666668</v>
      </c>
      <c r="P318" s="43">
        <f>(SUMIF(Cocina[Número de Orden],Sala[[#This Row],[Número de Orden]],Cocina[Tiempo de Preparación]))</f>
        <v>88</v>
      </c>
      <c r="Q318" s="5" t="str">
        <f>TEXT(((SUMIF(Cocina[Número de Orden],Sala[[#This Row],[Número de Orden]],Cocina[Tiempo de Preparación]))/(60*24)),"h:mm")</f>
        <v>1:28</v>
      </c>
      <c r="R318" s="3">
        <f>MAX((Sala[[#This Row],[Tiempo de permanencia]]-Sala[[#This Row],[Tiempo de preparación (h)]]),0)</f>
        <v>9.9305555555555564E-2</v>
      </c>
      <c r="S318" s="8">
        <f>SUMIF(Cocina[Número de Orden],Sala[[#This Row],[Número de Orden]],Cocina[Ganancia bruta])</f>
        <v>178</v>
      </c>
      <c r="T318" s="8">
        <f>SUMIF(Cocina[Número de Orden],Sala[[#This Row],[Número de Orden]],Cocina[Costo Unitario])</f>
        <v>52</v>
      </c>
      <c r="U318" s="2">
        <f>Sala[[#This Row],[Fecha de Salida]]</f>
        <v>45019</v>
      </c>
      <c r="V318" s="7" t="str">
        <f>TEXT(Sala[[#This Row],[Fecha factura]],"dddd")</f>
        <v>lunes</v>
      </c>
      <c r="W318" t="str">
        <f>IF(Sala[[#This Row],[Tiempo de degustación]]&gt;0,"Sí","No")</f>
        <v>Sí</v>
      </c>
      <c r="X318" t="str">
        <f>IF(Sala[[#This Row],[Cobrada]]="Sí",Sala[[#This Row],[Método de Pago]],"Impago")</f>
        <v>Efectivo</v>
      </c>
      <c r="Y318">
        <f>IF(Sala[[#This Row],[Cobrada]]="Sí",Sala[[#This Row],[Propina]],0)</f>
        <v>24.55</v>
      </c>
      <c r="Z318">
        <f>(IF(Sala[[#This Row],[Cobrada]]="Sí",Sala[[#This Row],[Monto total]],0))+Sala[[#This Row],[Propina real]]</f>
        <v>202.55</v>
      </c>
    </row>
    <row r="319" spans="1:26" x14ac:dyDescent="0.25">
      <c r="A319">
        <v>13</v>
      </c>
      <c r="B319" t="s">
        <v>323</v>
      </c>
      <c r="C319">
        <v>3</v>
      </c>
      <c r="D319" s="2">
        <v>45019</v>
      </c>
      <c r="E319" s="3">
        <v>0.14791666666666667</v>
      </c>
      <c r="F319" s="2">
        <v>45019</v>
      </c>
      <c r="G319" s="3">
        <v>0.21458333333333332</v>
      </c>
      <c r="H319" s="1" t="s">
        <v>7</v>
      </c>
      <c r="I319" t="s">
        <v>25</v>
      </c>
      <c r="J319" t="s">
        <v>601</v>
      </c>
      <c r="K319" s="9">
        <v>10.08</v>
      </c>
      <c r="L319" t="s">
        <v>9</v>
      </c>
      <c r="M319">
        <v>318</v>
      </c>
      <c r="N319" t="s">
        <v>29</v>
      </c>
      <c r="O319" s="3">
        <f>(Sala[[#This Row],[Hora de Salida]]-Sala[[#This Row],[Hora de llegada]])+IF(Sala[[#This Row],[Estado de la Mesa]]="Ocupada",(TEXT((15/(60*24)),"h:mm")),(TEXT(0,"h:mm")))</f>
        <v>6.6666666666666652E-2</v>
      </c>
      <c r="P319" s="43">
        <f>(SUMIF(Cocina[Número de Orden],Sala[[#This Row],[Número de Orden]],Cocina[Tiempo de Preparación]))</f>
        <v>39</v>
      </c>
      <c r="Q319" s="5" t="str">
        <f>TEXT(((SUMIF(Cocina[Número de Orden],Sala[[#This Row],[Número de Orden]],Cocina[Tiempo de Preparación]))/(60*24)),"h:mm")</f>
        <v>0:39</v>
      </c>
      <c r="R319" s="3">
        <f>MAX((Sala[[#This Row],[Tiempo de permanencia]]-Sala[[#This Row],[Tiempo de preparación (h)]]),0)</f>
        <v>3.9583333333333318E-2</v>
      </c>
      <c r="S319" s="8">
        <f>SUMIF(Cocina[Número de Orden],Sala[[#This Row],[Número de Orden]],Cocina[Ganancia bruta])</f>
        <v>29</v>
      </c>
      <c r="T319" s="8">
        <f>SUMIF(Cocina[Número de Orden],Sala[[#This Row],[Número de Orden]],Cocina[Costo Unitario])</f>
        <v>17</v>
      </c>
      <c r="U319" s="2">
        <f>Sala[[#This Row],[Fecha de Salida]]</f>
        <v>45019</v>
      </c>
      <c r="V319" s="7" t="str">
        <f>TEXT(Sala[[#This Row],[Fecha factura]],"dddd")</f>
        <v>lunes</v>
      </c>
      <c r="W319" t="str">
        <f>IF(Sala[[#This Row],[Tiempo de degustación]]&gt;0,"Sí","No")</f>
        <v>Sí</v>
      </c>
      <c r="X319" t="str">
        <f>IF(Sala[[#This Row],[Cobrada]]="Sí",Sala[[#This Row],[Método de Pago]],"Impago")</f>
        <v>Tarjeta de crédito</v>
      </c>
      <c r="Y319">
        <f>IF(Sala[[#This Row],[Cobrada]]="Sí",Sala[[#This Row],[Propina]],0)</f>
        <v>10.08</v>
      </c>
      <c r="Z319">
        <f>(IF(Sala[[#This Row],[Cobrada]]="Sí",Sala[[#This Row],[Monto total]],0))+Sala[[#This Row],[Propina real]]</f>
        <v>39.08</v>
      </c>
    </row>
    <row r="320" spans="1:26" x14ac:dyDescent="0.25">
      <c r="A320">
        <v>1</v>
      </c>
      <c r="B320" t="s">
        <v>324</v>
      </c>
      <c r="C320">
        <v>1</v>
      </c>
      <c r="D320" s="2">
        <v>45019</v>
      </c>
      <c r="E320" s="3">
        <v>3.3333333333333333E-2</v>
      </c>
      <c r="F320" s="2">
        <v>45019</v>
      </c>
      <c r="G320" s="3">
        <v>0.16597222222222222</v>
      </c>
      <c r="H320" s="1" t="s">
        <v>11</v>
      </c>
      <c r="I320" t="s">
        <v>8</v>
      </c>
      <c r="J320" t="s">
        <v>13</v>
      </c>
      <c r="K320" s="9">
        <v>30.05</v>
      </c>
      <c r="L320" t="s">
        <v>17</v>
      </c>
      <c r="M320">
        <v>319</v>
      </c>
      <c r="N320" t="s">
        <v>32</v>
      </c>
      <c r="O320" s="3">
        <f>(Sala[[#This Row],[Hora de Salida]]-Sala[[#This Row],[Hora de llegada]])+IF(Sala[[#This Row],[Estado de la Mesa]]="Ocupada",(TEXT((15/(60*24)),"h:mm")),(TEXT(0,"h:mm")))</f>
        <v>0.13263888888888889</v>
      </c>
      <c r="P320" s="43">
        <f>(SUMIF(Cocina[Número de Orden],Sala[[#This Row],[Número de Orden]],Cocina[Tiempo de Preparación]))</f>
        <v>126</v>
      </c>
      <c r="Q320" s="5" t="str">
        <f>TEXT(((SUMIF(Cocina[Número de Orden],Sala[[#This Row],[Número de Orden]],Cocina[Tiempo de Preparación]))/(60*24)),"h:mm")</f>
        <v>2:06</v>
      </c>
      <c r="R320" s="3">
        <f>MAX((Sala[[#This Row],[Tiempo de permanencia]]-Sala[[#This Row],[Tiempo de preparación (h)]]),0)</f>
        <v>4.5138888888888895E-2</v>
      </c>
      <c r="S320" s="8">
        <f>SUMIF(Cocina[Número de Orden],Sala[[#This Row],[Número de Orden]],Cocina[Ganancia bruta])</f>
        <v>268</v>
      </c>
      <c r="T320" s="8">
        <f>SUMIF(Cocina[Número de Orden],Sala[[#This Row],[Número de Orden]],Cocina[Costo Unitario])</f>
        <v>84</v>
      </c>
      <c r="U320" s="2">
        <f>Sala[[#This Row],[Fecha de Salida]]</f>
        <v>45019</v>
      </c>
      <c r="V320" s="7" t="str">
        <f>TEXT(Sala[[#This Row],[Fecha factura]],"dddd")</f>
        <v>lunes</v>
      </c>
      <c r="W320" t="str">
        <f>IF(Sala[[#This Row],[Tiempo de degustación]]&gt;0,"Sí","No")</f>
        <v>Sí</v>
      </c>
      <c r="X320" t="str">
        <f>IF(Sala[[#This Row],[Cobrada]]="Sí",Sala[[#This Row],[Método de Pago]],"Impago")</f>
        <v>Efectivo</v>
      </c>
      <c r="Y320">
        <f>IF(Sala[[#This Row],[Cobrada]]="Sí",Sala[[#This Row],[Propina]],0)</f>
        <v>30.05</v>
      </c>
      <c r="Z320">
        <f>(IF(Sala[[#This Row],[Cobrada]]="Sí",Sala[[#This Row],[Monto total]],0))+Sala[[#This Row],[Propina real]]</f>
        <v>298.05</v>
      </c>
    </row>
    <row r="321" spans="1:26" x14ac:dyDescent="0.25">
      <c r="A321">
        <v>9</v>
      </c>
      <c r="B321" t="s">
        <v>325</v>
      </c>
      <c r="C321">
        <v>1</v>
      </c>
      <c r="D321" s="2">
        <v>45019</v>
      </c>
      <c r="E321" s="3">
        <v>6.25E-2</v>
      </c>
      <c r="F321" s="2">
        <v>45019</v>
      </c>
      <c r="G321" s="3">
        <v>0.17847222222222223</v>
      </c>
      <c r="H321" s="1" t="s">
        <v>7</v>
      </c>
      <c r="I321" t="s">
        <v>8</v>
      </c>
      <c r="J321" t="s">
        <v>600</v>
      </c>
      <c r="K321" s="9">
        <v>44.02</v>
      </c>
      <c r="L321" t="s">
        <v>9</v>
      </c>
      <c r="M321">
        <v>320</v>
      </c>
      <c r="N321" t="s">
        <v>594</v>
      </c>
      <c r="O321" s="3">
        <f>(Sala[[#This Row],[Hora de Salida]]-Sala[[#This Row],[Hora de llegada]])+IF(Sala[[#This Row],[Estado de la Mesa]]="Ocupada",(TEXT((15/(60*24)),"h:mm")),(TEXT(0,"h:mm")))</f>
        <v>0.11597222222222223</v>
      </c>
      <c r="P321" s="43">
        <f>(SUMIF(Cocina[Número de Orden],Sala[[#This Row],[Número de Orden]],Cocina[Tiempo de Preparación]))</f>
        <v>130</v>
      </c>
      <c r="Q321" s="5" t="str">
        <f>TEXT(((SUMIF(Cocina[Número de Orden],Sala[[#This Row],[Número de Orden]],Cocina[Tiempo de Preparación]))/(60*24)),"h:mm")</f>
        <v>2:10</v>
      </c>
      <c r="R321" s="3">
        <f>MAX((Sala[[#This Row],[Tiempo de permanencia]]-Sala[[#This Row],[Tiempo de preparación (h)]]),0)</f>
        <v>2.569444444444445E-2</v>
      </c>
      <c r="S321" s="8">
        <f>SUMIF(Cocina[Número de Orden],Sala[[#This Row],[Número de Orden]],Cocina[Ganancia bruta])</f>
        <v>98</v>
      </c>
      <c r="T321" s="8">
        <f>SUMIF(Cocina[Número de Orden],Sala[[#This Row],[Número de Orden]],Cocina[Costo Unitario])</f>
        <v>46</v>
      </c>
      <c r="U321" s="2">
        <f>Sala[[#This Row],[Fecha de Salida]]</f>
        <v>45019</v>
      </c>
      <c r="V321" s="7" t="str">
        <f>TEXT(Sala[[#This Row],[Fecha factura]],"dddd")</f>
        <v>lunes</v>
      </c>
      <c r="W321" t="str">
        <f>IF(Sala[[#This Row],[Tiempo de degustación]]&gt;0,"Sí","No")</f>
        <v>Sí</v>
      </c>
      <c r="X321" t="str">
        <f>IF(Sala[[#This Row],[Cobrada]]="Sí",Sala[[#This Row],[Método de Pago]],"Impago")</f>
        <v>Tarjeta de débito</v>
      </c>
      <c r="Y321">
        <f>IF(Sala[[#This Row],[Cobrada]]="Sí",Sala[[#This Row],[Propina]],0)</f>
        <v>44.02</v>
      </c>
      <c r="Z321">
        <f>(IF(Sala[[#This Row],[Cobrada]]="Sí",Sala[[#This Row],[Monto total]],0))+Sala[[#This Row],[Propina real]]</f>
        <v>142.02000000000001</v>
      </c>
    </row>
    <row r="322" spans="1:26" x14ac:dyDescent="0.25">
      <c r="A322">
        <v>18</v>
      </c>
      <c r="B322" t="s">
        <v>326</v>
      </c>
      <c r="C322">
        <v>5</v>
      </c>
      <c r="D322" s="2">
        <v>45019</v>
      </c>
      <c r="E322" s="3">
        <v>8.611111111111111E-2</v>
      </c>
      <c r="F322" s="2">
        <v>45019</v>
      </c>
      <c r="G322" s="3">
        <v>0.17916666666666667</v>
      </c>
      <c r="H322" s="1" t="s">
        <v>11</v>
      </c>
      <c r="I322" t="s">
        <v>8</v>
      </c>
      <c r="J322" t="s">
        <v>601</v>
      </c>
      <c r="K322" s="9">
        <v>23.59</v>
      </c>
      <c r="L322" t="s">
        <v>17</v>
      </c>
      <c r="M322">
        <v>321</v>
      </c>
      <c r="N322" t="s">
        <v>29</v>
      </c>
      <c r="O322" s="3">
        <f>(Sala[[#This Row],[Hora de Salida]]-Sala[[#This Row],[Hora de llegada]])+IF(Sala[[#This Row],[Estado de la Mesa]]="Ocupada",(TEXT((15/(60*24)),"h:mm")),(TEXT(0,"h:mm")))</f>
        <v>9.3055555555555558E-2</v>
      </c>
      <c r="P322" s="43">
        <f>(SUMIF(Cocina[Número de Orden],Sala[[#This Row],[Número de Orden]],Cocina[Tiempo de Preparación]))</f>
        <v>95</v>
      </c>
      <c r="Q322" s="5" t="str">
        <f>TEXT(((SUMIF(Cocina[Número de Orden],Sala[[#This Row],[Número de Orden]],Cocina[Tiempo de Preparación]))/(60*24)),"h:mm")</f>
        <v>1:35</v>
      </c>
      <c r="R322" s="3">
        <f>MAX((Sala[[#This Row],[Tiempo de permanencia]]-Sala[[#This Row],[Tiempo de preparación (h)]]),0)</f>
        <v>2.7083333333333334E-2</v>
      </c>
      <c r="S322" s="8">
        <f>SUMIF(Cocina[Número de Orden],Sala[[#This Row],[Número de Orden]],Cocina[Ganancia bruta])</f>
        <v>141</v>
      </c>
      <c r="T322" s="8">
        <f>SUMIF(Cocina[Número de Orden],Sala[[#This Row],[Número de Orden]],Cocina[Costo Unitario])</f>
        <v>43</v>
      </c>
      <c r="U322" s="2">
        <f>Sala[[#This Row],[Fecha de Salida]]</f>
        <v>45019</v>
      </c>
      <c r="V322" s="7" t="str">
        <f>TEXT(Sala[[#This Row],[Fecha factura]],"dddd")</f>
        <v>lunes</v>
      </c>
      <c r="W322" t="str">
        <f>IF(Sala[[#This Row],[Tiempo de degustación]]&gt;0,"Sí","No")</f>
        <v>Sí</v>
      </c>
      <c r="X322" t="str">
        <f>IF(Sala[[#This Row],[Cobrada]]="Sí",Sala[[#This Row],[Método de Pago]],"Impago")</f>
        <v>Tarjeta de crédito</v>
      </c>
      <c r="Y322">
        <f>IF(Sala[[#This Row],[Cobrada]]="Sí",Sala[[#This Row],[Propina]],0)</f>
        <v>23.59</v>
      </c>
      <c r="Z322">
        <f>(IF(Sala[[#This Row],[Cobrada]]="Sí",Sala[[#This Row],[Monto total]],0))+Sala[[#This Row],[Propina real]]</f>
        <v>164.59</v>
      </c>
    </row>
    <row r="323" spans="1:26" x14ac:dyDescent="0.25">
      <c r="A323">
        <v>12</v>
      </c>
      <c r="B323" t="s">
        <v>327</v>
      </c>
      <c r="C323">
        <v>1</v>
      </c>
      <c r="D323" s="2">
        <v>45019</v>
      </c>
      <c r="E323" s="3">
        <v>0.15347222222222223</v>
      </c>
      <c r="F323" s="2">
        <v>45019</v>
      </c>
      <c r="G323" s="3">
        <v>0.24097222222222223</v>
      </c>
      <c r="H323" s="1" t="s">
        <v>16</v>
      </c>
      <c r="I323" t="s">
        <v>25</v>
      </c>
      <c r="J323" t="s">
        <v>601</v>
      </c>
      <c r="K323" s="9">
        <v>24.69</v>
      </c>
      <c r="L323" t="s">
        <v>28</v>
      </c>
      <c r="M323">
        <v>322</v>
      </c>
      <c r="N323" t="s">
        <v>44</v>
      </c>
      <c r="O323" s="3">
        <f>(Sala[[#This Row],[Hora de Salida]]-Sala[[#This Row],[Hora de llegada]])+IF(Sala[[#This Row],[Estado de la Mesa]]="Ocupada",(TEXT((15/(60*24)),"h:mm")),(TEXT(0,"h:mm")))</f>
        <v>9.7916666666666666E-2</v>
      </c>
      <c r="P323" s="43">
        <f>(SUMIF(Cocina[Número de Orden],Sala[[#This Row],[Número de Orden]],Cocina[Tiempo de Preparación]))</f>
        <v>60</v>
      </c>
      <c r="Q323" s="5" t="str">
        <f>TEXT(((SUMIF(Cocina[Número de Orden],Sala[[#This Row],[Número de Orden]],Cocina[Tiempo de Preparación]))/(60*24)),"h:mm")</f>
        <v>1:00</v>
      </c>
      <c r="R323" s="3">
        <f>MAX((Sala[[#This Row],[Tiempo de permanencia]]-Sala[[#This Row],[Tiempo de preparación (h)]]),0)</f>
        <v>5.6250000000000001E-2</v>
      </c>
      <c r="S323" s="8">
        <f>SUMIF(Cocina[Número de Orden],Sala[[#This Row],[Número de Orden]],Cocina[Ganancia bruta])</f>
        <v>85</v>
      </c>
      <c r="T323" s="8">
        <f>SUMIF(Cocina[Número de Orden],Sala[[#This Row],[Número de Orden]],Cocina[Costo Unitario])</f>
        <v>32</v>
      </c>
      <c r="U323" s="2">
        <f>Sala[[#This Row],[Fecha de Salida]]</f>
        <v>45019</v>
      </c>
      <c r="V323" s="7" t="str">
        <f>TEXT(Sala[[#This Row],[Fecha factura]],"dddd")</f>
        <v>lunes</v>
      </c>
      <c r="W323" t="str">
        <f>IF(Sala[[#This Row],[Tiempo de degustación]]&gt;0,"Sí","No")</f>
        <v>Sí</v>
      </c>
      <c r="X323" t="str">
        <f>IF(Sala[[#This Row],[Cobrada]]="Sí",Sala[[#This Row],[Método de Pago]],"Impago")</f>
        <v>Tarjeta de crédito</v>
      </c>
      <c r="Y323">
        <f>IF(Sala[[#This Row],[Cobrada]]="Sí",Sala[[#This Row],[Propina]],0)</f>
        <v>24.69</v>
      </c>
      <c r="Z323">
        <f>(IF(Sala[[#This Row],[Cobrada]]="Sí",Sala[[#This Row],[Monto total]],0))+Sala[[#This Row],[Propina real]]</f>
        <v>109.69</v>
      </c>
    </row>
    <row r="324" spans="1:26" x14ac:dyDescent="0.25">
      <c r="A324">
        <v>8</v>
      </c>
      <c r="B324" t="s">
        <v>328</v>
      </c>
      <c r="C324">
        <v>1</v>
      </c>
      <c r="D324" s="2">
        <v>45019</v>
      </c>
      <c r="E324" s="3">
        <v>5.7638888888888892E-2</v>
      </c>
      <c r="F324" s="2">
        <v>45019</v>
      </c>
      <c r="G324" s="3">
        <v>0.17986111111111111</v>
      </c>
      <c r="H324" s="1" t="s">
        <v>20</v>
      </c>
      <c r="I324" t="s">
        <v>12</v>
      </c>
      <c r="J324" t="s">
        <v>13</v>
      </c>
      <c r="K324" s="9">
        <v>44.3</v>
      </c>
      <c r="L324" t="s">
        <v>17</v>
      </c>
      <c r="M324">
        <v>323</v>
      </c>
      <c r="N324" t="s">
        <v>47</v>
      </c>
      <c r="O324" s="3">
        <f>(Sala[[#This Row],[Hora de Salida]]-Sala[[#This Row],[Hora de llegada]])+IF(Sala[[#This Row],[Estado de la Mesa]]="Ocupada",(TEXT((15/(60*24)),"h:mm")),(TEXT(0,"h:mm")))</f>
        <v>0.12222222222222222</v>
      </c>
      <c r="P324" s="43">
        <f>(SUMIF(Cocina[Número de Orden],Sala[[#This Row],[Número de Orden]],Cocina[Tiempo de Preparación]))</f>
        <v>122</v>
      </c>
      <c r="Q324" s="5" t="str">
        <f>TEXT(((SUMIF(Cocina[Número de Orden],Sala[[#This Row],[Número de Orden]],Cocina[Tiempo de Preparación]))/(60*24)),"h:mm")</f>
        <v>2:02</v>
      </c>
      <c r="R324" s="3">
        <f>MAX((Sala[[#This Row],[Tiempo de permanencia]]-Sala[[#This Row],[Tiempo de preparación (h)]]),0)</f>
        <v>3.7499999999999992E-2</v>
      </c>
      <c r="S324" s="8">
        <f>SUMIF(Cocina[Número de Orden],Sala[[#This Row],[Número de Orden]],Cocina[Ganancia bruta])</f>
        <v>208</v>
      </c>
      <c r="T324" s="8">
        <f>SUMIF(Cocina[Número de Orden],Sala[[#This Row],[Número de Orden]],Cocina[Costo Unitario])</f>
        <v>54</v>
      </c>
      <c r="U324" s="2">
        <f>Sala[[#This Row],[Fecha de Salida]]</f>
        <v>45019</v>
      </c>
      <c r="V324" s="7" t="str">
        <f>TEXT(Sala[[#This Row],[Fecha factura]],"dddd")</f>
        <v>lunes</v>
      </c>
      <c r="W324" t="str">
        <f>IF(Sala[[#This Row],[Tiempo de degustación]]&gt;0,"Sí","No")</f>
        <v>Sí</v>
      </c>
      <c r="X324" t="str">
        <f>IF(Sala[[#This Row],[Cobrada]]="Sí",Sala[[#This Row],[Método de Pago]],"Impago")</f>
        <v>Efectivo</v>
      </c>
      <c r="Y324">
        <f>IF(Sala[[#This Row],[Cobrada]]="Sí",Sala[[#This Row],[Propina]],0)</f>
        <v>44.3</v>
      </c>
      <c r="Z324">
        <f>(IF(Sala[[#This Row],[Cobrada]]="Sí",Sala[[#This Row],[Monto total]],0))+Sala[[#This Row],[Propina real]]</f>
        <v>252.3</v>
      </c>
    </row>
    <row r="325" spans="1:26" x14ac:dyDescent="0.25">
      <c r="A325">
        <v>9</v>
      </c>
      <c r="B325" t="s">
        <v>329</v>
      </c>
      <c r="C325">
        <v>6</v>
      </c>
      <c r="D325" s="2">
        <v>45019</v>
      </c>
      <c r="E325" s="3">
        <v>2.9861111111111113E-2</v>
      </c>
      <c r="F325" s="2">
        <v>45019</v>
      </c>
      <c r="G325" s="3">
        <v>7.7083333333333337E-2</v>
      </c>
      <c r="H325" s="1" t="s">
        <v>11</v>
      </c>
      <c r="I325" t="s">
        <v>25</v>
      </c>
      <c r="J325" t="s">
        <v>601</v>
      </c>
      <c r="K325" s="9">
        <v>21.6</v>
      </c>
      <c r="L325" t="s">
        <v>17</v>
      </c>
      <c r="M325">
        <v>324</v>
      </c>
      <c r="N325" t="s">
        <v>593</v>
      </c>
      <c r="O325" s="3">
        <f>(Sala[[#This Row],[Hora de Salida]]-Sala[[#This Row],[Hora de llegada]])+IF(Sala[[#This Row],[Estado de la Mesa]]="Ocupada",(TEXT((15/(60*24)),"h:mm")),(TEXT(0,"h:mm")))</f>
        <v>4.7222222222222221E-2</v>
      </c>
      <c r="P325" s="43">
        <f>(SUMIF(Cocina[Número de Orden],Sala[[#This Row],[Número de Orden]],Cocina[Tiempo de Preparación]))</f>
        <v>90</v>
      </c>
      <c r="Q325" s="5" t="str">
        <f>TEXT(((SUMIF(Cocina[Número de Orden],Sala[[#This Row],[Número de Orden]],Cocina[Tiempo de Preparación]))/(60*24)),"h:mm")</f>
        <v>1:30</v>
      </c>
      <c r="R325" s="3">
        <f>MAX((Sala[[#This Row],[Tiempo de permanencia]]-Sala[[#This Row],[Tiempo de preparación (h)]]),0)</f>
        <v>0</v>
      </c>
      <c r="S325" s="8">
        <f>SUMIF(Cocina[Número de Orden],Sala[[#This Row],[Número de Orden]],Cocina[Ganancia bruta])</f>
        <v>137</v>
      </c>
      <c r="T325" s="8">
        <f>SUMIF(Cocina[Número de Orden],Sala[[#This Row],[Número de Orden]],Cocina[Costo Unitario])</f>
        <v>49</v>
      </c>
      <c r="U325" s="2">
        <f>Sala[[#This Row],[Fecha de Salida]]</f>
        <v>45019</v>
      </c>
      <c r="V325" s="7" t="str">
        <f>TEXT(Sala[[#This Row],[Fecha factura]],"dddd")</f>
        <v>lunes</v>
      </c>
      <c r="W325" t="str">
        <f>IF(Sala[[#This Row],[Tiempo de degustación]]&gt;0,"Sí","No")</f>
        <v>No</v>
      </c>
      <c r="X325" t="str">
        <f>IF(Sala[[#This Row],[Cobrada]]="Sí",Sala[[#This Row],[Método de Pago]],"Impago")</f>
        <v>Impago</v>
      </c>
      <c r="Y325">
        <f>IF(Sala[[#This Row],[Cobrada]]="Sí",Sala[[#This Row],[Propina]],0)</f>
        <v>0</v>
      </c>
      <c r="Z325">
        <f>(IF(Sala[[#This Row],[Cobrada]]="Sí",Sala[[#This Row],[Monto total]],0))+Sala[[#This Row],[Propina real]]</f>
        <v>0</v>
      </c>
    </row>
    <row r="326" spans="1:26" x14ac:dyDescent="0.25">
      <c r="A326">
        <v>18</v>
      </c>
      <c r="B326" t="s">
        <v>330</v>
      </c>
      <c r="C326">
        <v>1</v>
      </c>
      <c r="D326" s="2">
        <v>45019</v>
      </c>
      <c r="E326" s="3">
        <v>4.1666666666666664E-2</v>
      </c>
      <c r="F326" s="2">
        <v>45019</v>
      </c>
      <c r="G326" s="3">
        <v>9.583333333333334E-2</v>
      </c>
      <c r="H326" s="1" t="s">
        <v>16</v>
      </c>
      <c r="I326" t="s">
        <v>8</v>
      </c>
      <c r="J326" t="s">
        <v>601</v>
      </c>
      <c r="K326" s="9">
        <v>32.5</v>
      </c>
      <c r="L326" t="s">
        <v>9</v>
      </c>
      <c r="M326">
        <v>325</v>
      </c>
      <c r="N326" t="s">
        <v>593</v>
      </c>
      <c r="O326" s="3">
        <f>(Sala[[#This Row],[Hora de Salida]]-Sala[[#This Row],[Hora de llegada]])+IF(Sala[[#This Row],[Estado de la Mesa]]="Ocupada",(TEXT((15/(60*24)),"h:mm")),(TEXT(0,"h:mm")))</f>
        <v>5.4166666666666675E-2</v>
      </c>
      <c r="P326" s="43">
        <f>(SUMIF(Cocina[Número de Orden],Sala[[#This Row],[Número de Orden]],Cocina[Tiempo de Preparación]))</f>
        <v>71</v>
      </c>
      <c r="Q326" s="5" t="str">
        <f>TEXT(((SUMIF(Cocina[Número de Orden],Sala[[#This Row],[Número de Orden]],Cocina[Tiempo de Preparación]))/(60*24)),"h:mm")</f>
        <v>1:11</v>
      </c>
      <c r="R326" s="3">
        <f>MAX((Sala[[#This Row],[Tiempo de permanencia]]-Sala[[#This Row],[Tiempo de preparación (h)]]),0)</f>
        <v>4.8611111111111216E-3</v>
      </c>
      <c r="S326" s="8">
        <f>SUMIF(Cocina[Número de Orden],Sala[[#This Row],[Número de Orden]],Cocina[Ganancia bruta])</f>
        <v>154</v>
      </c>
      <c r="T326" s="8">
        <f>SUMIF(Cocina[Número de Orden],Sala[[#This Row],[Número de Orden]],Cocina[Costo Unitario])</f>
        <v>72</v>
      </c>
      <c r="U326" s="2">
        <f>Sala[[#This Row],[Fecha de Salida]]</f>
        <v>45019</v>
      </c>
      <c r="V326" s="7" t="str">
        <f>TEXT(Sala[[#This Row],[Fecha factura]],"dddd")</f>
        <v>lunes</v>
      </c>
      <c r="W326" t="str">
        <f>IF(Sala[[#This Row],[Tiempo de degustación]]&gt;0,"Sí","No")</f>
        <v>Sí</v>
      </c>
      <c r="X326" t="str">
        <f>IF(Sala[[#This Row],[Cobrada]]="Sí",Sala[[#This Row],[Método de Pago]],"Impago")</f>
        <v>Tarjeta de crédito</v>
      </c>
      <c r="Y326">
        <f>IF(Sala[[#This Row],[Cobrada]]="Sí",Sala[[#This Row],[Propina]],0)</f>
        <v>32.5</v>
      </c>
      <c r="Z326">
        <f>(IF(Sala[[#This Row],[Cobrada]]="Sí",Sala[[#This Row],[Monto total]],0))+Sala[[#This Row],[Propina real]]</f>
        <v>186.5</v>
      </c>
    </row>
    <row r="327" spans="1:26" x14ac:dyDescent="0.25">
      <c r="A327">
        <v>14</v>
      </c>
      <c r="B327" t="s">
        <v>331</v>
      </c>
      <c r="C327">
        <v>4</v>
      </c>
      <c r="D327" s="2">
        <v>45020</v>
      </c>
      <c r="E327" s="3">
        <v>6.8750000000000006E-2</v>
      </c>
      <c r="F327" s="2">
        <v>45020</v>
      </c>
      <c r="G327" s="3">
        <v>0.23194444444444445</v>
      </c>
      <c r="H327" s="1" t="s">
        <v>11</v>
      </c>
      <c r="I327" t="s">
        <v>12</v>
      </c>
      <c r="J327" t="s">
        <v>600</v>
      </c>
      <c r="K327" s="9">
        <v>13.85</v>
      </c>
      <c r="L327" t="s">
        <v>28</v>
      </c>
      <c r="M327">
        <v>326</v>
      </c>
      <c r="N327" t="s">
        <v>593</v>
      </c>
      <c r="O327" s="3">
        <f>(Sala[[#This Row],[Hora de Salida]]-Sala[[#This Row],[Hora de llegada]])+IF(Sala[[#This Row],[Estado de la Mesa]]="Ocupada",(TEXT((15/(60*24)),"h:mm")),(TEXT(0,"h:mm")))</f>
        <v>0.1736111111111111</v>
      </c>
      <c r="P327" s="43">
        <f>(SUMIF(Cocina[Número de Orden],Sala[[#This Row],[Número de Orden]],Cocina[Tiempo de Preparación]))</f>
        <v>91</v>
      </c>
      <c r="Q327" s="5" t="str">
        <f>TEXT(((SUMIF(Cocina[Número de Orden],Sala[[#This Row],[Número de Orden]],Cocina[Tiempo de Preparación]))/(60*24)),"h:mm")</f>
        <v>1:31</v>
      </c>
      <c r="R327" s="3">
        <f>MAX((Sala[[#This Row],[Tiempo de permanencia]]-Sala[[#This Row],[Tiempo de preparación (h)]]),0)</f>
        <v>0.11041666666666666</v>
      </c>
      <c r="S327" s="8">
        <f>SUMIF(Cocina[Número de Orden],Sala[[#This Row],[Número de Orden]],Cocina[Ganancia bruta])</f>
        <v>81</v>
      </c>
      <c r="T327" s="8">
        <f>SUMIF(Cocina[Número de Orden],Sala[[#This Row],[Número de Orden]],Cocina[Costo Unitario])</f>
        <v>47</v>
      </c>
      <c r="U327" s="2">
        <f>Sala[[#This Row],[Fecha de Salida]]</f>
        <v>45020</v>
      </c>
      <c r="V327" s="7" t="str">
        <f>TEXT(Sala[[#This Row],[Fecha factura]],"dddd")</f>
        <v>martes</v>
      </c>
      <c r="W327" t="str">
        <f>IF(Sala[[#This Row],[Tiempo de degustación]]&gt;0,"Sí","No")</f>
        <v>Sí</v>
      </c>
      <c r="X327" t="str">
        <f>IF(Sala[[#This Row],[Cobrada]]="Sí",Sala[[#This Row],[Método de Pago]],"Impago")</f>
        <v>Tarjeta de débito</v>
      </c>
      <c r="Y327">
        <f>IF(Sala[[#This Row],[Cobrada]]="Sí",Sala[[#This Row],[Propina]],0)</f>
        <v>13.85</v>
      </c>
      <c r="Z327">
        <f>(IF(Sala[[#This Row],[Cobrada]]="Sí",Sala[[#This Row],[Monto total]],0))+Sala[[#This Row],[Propina real]]</f>
        <v>94.85</v>
      </c>
    </row>
    <row r="328" spans="1:26" x14ac:dyDescent="0.25">
      <c r="A328">
        <v>12</v>
      </c>
      <c r="B328" t="s">
        <v>228</v>
      </c>
      <c r="C328">
        <v>5</v>
      </c>
      <c r="D328" s="2">
        <v>45020</v>
      </c>
      <c r="E328" s="3">
        <v>0.12430555555555556</v>
      </c>
      <c r="F328" s="2">
        <v>45020</v>
      </c>
      <c r="G328" s="3">
        <v>0.19166666666666668</v>
      </c>
      <c r="H328" s="1" t="s">
        <v>20</v>
      </c>
      <c r="I328" t="s">
        <v>25</v>
      </c>
      <c r="J328" t="s">
        <v>601</v>
      </c>
      <c r="K328" s="9">
        <v>15.08</v>
      </c>
      <c r="L328" t="s">
        <v>9</v>
      </c>
      <c r="M328">
        <v>327</v>
      </c>
      <c r="N328" t="s">
        <v>14</v>
      </c>
      <c r="O328" s="3">
        <f>(Sala[[#This Row],[Hora de Salida]]-Sala[[#This Row],[Hora de llegada]])+IF(Sala[[#This Row],[Estado de la Mesa]]="Ocupada",(TEXT((15/(60*24)),"h:mm")),(TEXT(0,"h:mm")))</f>
        <v>6.7361111111111122E-2</v>
      </c>
      <c r="P328" s="43">
        <f>(SUMIF(Cocina[Número de Orden],Sala[[#This Row],[Número de Orden]],Cocina[Tiempo de Preparación]))</f>
        <v>74</v>
      </c>
      <c r="Q328" s="5" t="str">
        <f>TEXT(((SUMIF(Cocina[Número de Orden],Sala[[#This Row],[Número de Orden]],Cocina[Tiempo de Preparación]))/(60*24)),"h:mm")</f>
        <v>1:14</v>
      </c>
      <c r="R328" s="3">
        <f>MAX((Sala[[#This Row],[Tiempo de permanencia]]-Sala[[#This Row],[Tiempo de preparación (h)]]),0)</f>
        <v>1.5972222222222235E-2</v>
      </c>
      <c r="S328" s="8">
        <f>SUMIF(Cocina[Número de Orden],Sala[[#This Row],[Número de Orden]],Cocina[Ganancia bruta])</f>
        <v>147</v>
      </c>
      <c r="T328" s="8">
        <f>SUMIF(Cocina[Número de Orden],Sala[[#This Row],[Número de Orden]],Cocina[Costo Unitario])</f>
        <v>46</v>
      </c>
      <c r="U328" s="2">
        <f>Sala[[#This Row],[Fecha de Salida]]</f>
        <v>45020</v>
      </c>
      <c r="V328" s="7" t="str">
        <f>TEXT(Sala[[#This Row],[Fecha factura]],"dddd")</f>
        <v>martes</v>
      </c>
      <c r="W328" t="str">
        <f>IF(Sala[[#This Row],[Tiempo de degustación]]&gt;0,"Sí","No")</f>
        <v>Sí</v>
      </c>
      <c r="X328" t="str">
        <f>IF(Sala[[#This Row],[Cobrada]]="Sí",Sala[[#This Row],[Método de Pago]],"Impago")</f>
        <v>Tarjeta de crédito</v>
      </c>
      <c r="Y328">
        <f>IF(Sala[[#This Row],[Cobrada]]="Sí",Sala[[#This Row],[Propina]],0)</f>
        <v>15.08</v>
      </c>
      <c r="Z328">
        <f>(IF(Sala[[#This Row],[Cobrada]]="Sí",Sala[[#This Row],[Monto total]],0))+Sala[[#This Row],[Propina real]]</f>
        <v>162.08000000000001</v>
      </c>
    </row>
    <row r="329" spans="1:26" x14ac:dyDescent="0.25">
      <c r="A329">
        <v>4</v>
      </c>
      <c r="B329" t="s">
        <v>332</v>
      </c>
      <c r="C329">
        <v>3</v>
      </c>
      <c r="D329" s="2">
        <v>45020</v>
      </c>
      <c r="E329" s="3">
        <v>7.2222222222222215E-2</v>
      </c>
      <c r="F329" s="2">
        <v>45020</v>
      </c>
      <c r="G329" s="3">
        <v>0.17152777777777778</v>
      </c>
      <c r="H329" s="1" t="s">
        <v>16</v>
      </c>
      <c r="I329" t="s">
        <v>25</v>
      </c>
      <c r="J329" t="s">
        <v>601</v>
      </c>
      <c r="K329" s="9">
        <v>13.85</v>
      </c>
      <c r="L329" t="s">
        <v>9</v>
      </c>
      <c r="M329">
        <v>328</v>
      </c>
      <c r="N329" t="s">
        <v>47</v>
      </c>
      <c r="O329" s="3">
        <f>(Sala[[#This Row],[Hora de Salida]]-Sala[[#This Row],[Hora de llegada]])+IF(Sala[[#This Row],[Estado de la Mesa]]="Ocupada",(TEXT((15/(60*24)),"h:mm")),(TEXT(0,"h:mm")))</f>
        <v>9.9305555555555564E-2</v>
      </c>
      <c r="P329" s="43">
        <f>(SUMIF(Cocina[Número de Orden],Sala[[#This Row],[Número de Orden]],Cocina[Tiempo de Preparación]))</f>
        <v>21</v>
      </c>
      <c r="Q329" s="5" t="str">
        <f>TEXT(((SUMIF(Cocina[Número de Orden],Sala[[#This Row],[Número de Orden]],Cocina[Tiempo de Preparación]))/(60*24)),"h:mm")</f>
        <v>0:21</v>
      </c>
      <c r="R329" s="3">
        <f>MAX((Sala[[#This Row],[Tiempo de permanencia]]-Sala[[#This Row],[Tiempo de preparación (h)]]),0)</f>
        <v>8.4722222222222227E-2</v>
      </c>
      <c r="S329" s="8">
        <f>SUMIF(Cocina[Número de Orden],Sala[[#This Row],[Número de Orden]],Cocina[Ganancia bruta])</f>
        <v>35</v>
      </c>
      <c r="T329" s="8">
        <f>SUMIF(Cocina[Número de Orden],Sala[[#This Row],[Número de Orden]],Cocina[Costo Unitario])</f>
        <v>21</v>
      </c>
      <c r="U329" s="2">
        <f>Sala[[#This Row],[Fecha de Salida]]</f>
        <v>45020</v>
      </c>
      <c r="V329" s="7" t="str">
        <f>TEXT(Sala[[#This Row],[Fecha factura]],"dddd")</f>
        <v>martes</v>
      </c>
      <c r="W329" t="str">
        <f>IF(Sala[[#This Row],[Tiempo de degustación]]&gt;0,"Sí","No")</f>
        <v>Sí</v>
      </c>
      <c r="X329" t="str">
        <f>IF(Sala[[#This Row],[Cobrada]]="Sí",Sala[[#This Row],[Método de Pago]],"Impago")</f>
        <v>Tarjeta de crédito</v>
      </c>
      <c r="Y329">
        <f>IF(Sala[[#This Row],[Cobrada]]="Sí",Sala[[#This Row],[Propina]],0)</f>
        <v>13.85</v>
      </c>
      <c r="Z329">
        <f>(IF(Sala[[#This Row],[Cobrada]]="Sí",Sala[[#This Row],[Monto total]],0))+Sala[[#This Row],[Propina real]]</f>
        <v>48.85</v>
      </c>
    </row>
    <row r="330" spans="1:26" x14ac:dyDescent="0.25">
      <c r="A330">
        <v>13</v>
      </c>
      <c r="B330" t="s">
        <v>333</v>
      </c>
      <c r="C330">
        <v>1</v>
      </c>
      <c r="D330" s="2">
        <v>45020</v>
      </c>
      <c r="E330" s="3">
        <v>1.8055555555555554E-2</v>
      </c>
      <c r="F330" s="2">
        <v>45020</v>
      </c>
      <c r="G330" s="3">
        <v>0.11180555555555556</v>
      </c>
      <c r="H330" s="1" t="s">
        <v>16</v>
      </c>
      <c r="I330" t="s">
        <v>8</v>
      </c>
      <c r="J330" t="s">
        <v>601</v>
      </c>
      <c r="K330" s="9">
        <v>38.89</v>
      </c>
      <c r="L330" t="s">
        <v>28</v>
      </c>
      <c r="M330">
        <v>329</v>
      </c>
      <c r="N330" t="s">
        <v>32</v>
      </c>
      <c r="O330" s="3">
        <f>(Sala[[#This Row],[Hora de Salida]]-Sala[[#This Row],[Hora de llegada]])+IF(Sala[[#This Row],[Estado de la Mesa]]="Ocupada",(TEXT((15/(60*24)),"h:mm")),(TEXT(0,"h:mm")))</f>
        <v>0.10416666666666667</v>
      </c>
      <c r="P330" s="43">
        <f>(SUMIF(Cocina[Número de Orden],Sala[[#This Row],[Número de Orden]],Cocina[Tiempo de Preparación]))</f>
        <v>139</v>
      </c>
      <c r="Q330" s="5" t="str">
        <f>TEXT(((SUMIF(Cocina[Número de Orden],Sala[[#This Row],[Número de Orden]],Cocina[Tiempo de Preparación]))/(60*24)),"h:mm")</f>
        <v>2:19</v>
      </c>
      <c r="R330" s="3">
        <f>MAX((Sala[[#This Row],[Tiempo de permanencia]]-Sala[[#This Row],[Tiempo de preparación (h)]]),0)</f>
        <v>7.6388888888888895E-3</v>
      </c>
      <c r="S330" s="8">
        <f>SUMIF(Cocina[Número de Orden],Sala[[#This Row],[Número de Orden]],Cocina[Ganancia bruta])</f>
        <v>207</v>
      </c>
      <c r="T330" s="8">
        <f>SUMIF(Cocina[Número de Orden],Sala[[#This Row],[Número de Orden]],Cocina[Costo Unitario])</f>
        <v>71</v>
      </c>
      <c r="U330" s="2">
        <f>Sala[[#This Row],[Fecha de Salida]]</f>
        <v>45020</v>
      </c>
      <c r="V330" s="7" t="str">
        <f>TEXT(Sala[[#This Row],[Fecha factura]],"dddd")</f>
        <v>martes</v>
      </c>
      <c r="W330" t="str">
        <f>IF(Sala[[#This Row],[Tiempo de degustación]]&gt;0,"Sí","No")</f>
        <v>Sí</v>
      </c>
      <c r="X330" t="str">
        <f>IF(Sala[[#This Row],[Cobrada]]="Sí",Sala[[#This Row],[Método de Pago]],"Impago")</f>
        <v>Tarjeta de crédito</v>
      </c>
      <c r="Y330">
        <f>IF(Sala[[#This Row],[Cobrada]]="Sí",Sala[[#This Row],[Propina]],0)</f>
        <v>38.89</v>
      </c>
      <c r="Z330">
        <f>(IF(Sala[[#This Row],[Cobrada]]="Sí",Sala[[#This Row],[Monto total]],0))+Sala[[#This Row],[Propina real]]</f>
        <v>245.89</v>
      </c>
    </row>
    <row r="331" spans="1:26" x14ac:dyDescent="0.25">
      <c r="A331">
        <v>10</v>
      </c>
      <c r="B331" t="s">
        <v>334</v>
      </c>
      <c r="C331">
        <v>6</v>
      </c>
      <c r="D331" s="2">
        <v>45020</v>
      </c>
      <c r="E331" s="3">
        <v>7.6388888888888895E-2</v>
      </c>
      <c r="F331" s="2">
        <v>45020</v>
      </c>
      <c r="G331" s="3">
        <v>0.16458333333333333</v>
      </c>
      <c r="H331" s="1" t="s">
        <v>7</v>
      </c>
      <c r="I331" t="s">
        <v>12</v>
      </c>
      <c r="J331" t="s">
        <v>601</v>
      </c>
      <c r="K331" s="9">
        <v>32.17</v>
      </c>
      <c r="L331" t="s">
        <v>28</v>
      </c>
      <c r="M331">
        <v>330</v>
      </c>
      <c r="N331" t="s">
        <v>32</v>
      </c>
      <c r="O331" s="3">
        <f>(Sala[[#This Row],[Hora de Salida]]-Sala[[#This Row],[Hora de llegada]])+IF(Sala[[#This Row],[Estado de la Mesa]]="Ocupada",(TEXT((15/(60*24)),"h:mm")),(TEXT(0,"h:mm")))</f>
        <v>9.8611111111111108E-2</v>
      </c>
      <c r="P331" s="43">
        <f>(SUMIF(Cocina[Número de Orden],Sala[[#This Row],[Número de Orden]],Cocina[Tiempo de Preparación]))</f>
        <v>140</v>
      </c>
      <c r="Q331" s="5" t="str">
        <f>TEXT(((SUMIF(Cocina[Número de Orden],Sala[[#This Row],[Número de Orden]],Cocina[Tiempo de Preparación]))/(60*24)),"h:mm")</f>
        <v>2:20</v>
      </c>
      <c r="R331" s="3">
        <f>MAX((Sala[[#This Row],[Tiempo de permanencia]]-Sala[[#This Row],[Tiempo de preparación (h)]]),0)</f>
        <v>1.388888888888884E-3</v>
      </c>
      <c r="S331" s="8">
        <f>SUMIF(Cocina[Número de Orden],Sala[[#This Row],[Número de Orden]],Cocina[Ganancia bruta])</f>
        <v>217</v>
      </c>
      <c r="T331" s="8">
        <f>SUMIF(Cocina[Número de Orden],Sala[[#This Row],[Número de Orden]],Cocina[Costo Unitario])</f>
        <v>58</v>
      </c>
      <c r="U331" s="2">
        <f>Sala[[#This Row],[Fecha de Salida]]</f>
        <v>45020</v>
      </c>
      <c r="V331" s="7" t="str">
        <f>TEXT(Sala[[#This Row],[Fecha factura]],"dddd")</f>
        <v>martes</v>
      </c>
      <c r="W331" t="str">
        <f>IF(Sala[[#This Row],[Tiempo de degustación]]&gt;0,"Sí","No")</f>
        <v>Sí</v>
      </c>
      <c r="X331" t="str">
        <f>IF(Sala[[#This Row],[Cobrada]]="Sí",Sala[[#This Row],[Método de Pago]],"Impago")</f>
        <v>Tarjeta de crédito</v>
      </c>
      <c r="Y331">
        <f>IF(Sala[[#This Row],[Cobrada]]="Sí",Sala[[#This Row],[Propina]],0)</f>
        <v>32.17</v>
      </c>
      <c r="Z331">
        <f>(IF(Sala[[#This Row],[Cobrada]]="Sí",Sala[[#This Row],[Monto total]],0))+Sala[[#This Row],[Propina real]]</f>
        <v>249.17000000000002</v>
      </c>
    </row>
    <row r="332" spans="1:26" x14ac:dyDescent="0.25">
      <c r="A332">
        <v>20</v>
      </c>
      <c r="B332" t="s">
        <v>335</v>
      </c>
      <c r="C332">
        <v>3</v>
      </c>
      <c r="D332" s="2">
        <v>45020</v>
      </c>
      <c r="E332" s="3">
        <v>0.12916666666666668</v>
      </c>
      <c r="F332" s="2">
        <v>45020</v>
      </c>
      <c r="G332" s="3">
        <v>0.26180555555555557</v>
      </c>
      <c r="H332" s="1" t="s">
        <v>23</v>
      </c>
      <c r="I332" t="s">
        <v>25</v>
      </c>
      <c r="J332" t="s">
        <v>600</v>
      </c>
      <c r="K332" s="9">
        <v>36.61</v>
      </c>
      <c r="L332" t="s">
        <v>9</v>
      </c>
      <c r="M332">
        <v>331</v>
      </c>
      <c r="N332" t="s">
        <v>21</v>
      </c>
      <c r="O332" s="3">
        <f>(Sala[[#This Row],[Hora de Salida]]-Sala[[#This Row],[Hora de llegada]])+IF(Sala[[#This Row],[Estado de la Mesa]]="Ocupada",(TEXT((15/(60*24)),"h:mm")),(TEXT(0,"h:mm")))</f>
        <v>0.13263888888888889</v>
      </c>
      <c r="P332" s="43">
        <f>(SUMIF(Cocina[Número de Orden],Sala[[#This Row],[Número de Orden]],Cocina[Tiempo de Preparación]))</f>
        <v>121</v>
      </c>
      <c r="Q332" s="5" t="str">
        <f>TEXT(((SUMIF(Cocina[Número de Orden],Sala[[#This Row],[Número de Orden]],Cocina[Tiempo de Preparación]))/(60*24)),"h:mm")</f>
        <v>2:01</v>
      </c>
      <c r="R332" s="3">
        <f>MAX((Sala[[#This Row],[Tiempo de permanencia]]-Sala[[#This Row],[Tiempo de preparación (h)]]),0)</f>
        <v>4.8611111111111105E-2</v>
      </c>
      <c r="S332" s="8">
        <f>SUMIF(Cocina[Número de Orden],Sala[[#This Row],[Número de Orden]],Cocina[Ganancia bruta])</f>
        <v>173</v>
      </c>
      <c r="T332" s="8">
        <f>SUMIF(Cocina[Número de Orden],Sala[[#This Row],[Número de Orden]],Cocina[Costo Unitario])</f>
        <v>61</v>
      </c>
      <c r="U332" s="2">
        <f>Sala[[#This Row],[Fecha de Salida]]</f>
        <v>45020</v>
      </c>
      <c r="V332" s="7" t="str">
        <f>TEXT(Sala[[#This Row],[Fecha factura]],"dddd")</f>
        <v>martes</v>
      </c>
      <c r="W332" t="str">
        <f>IF(Sala[[#This Row],[Tiempo de degustación]]&gt;0,"Sí","No")</f>
        <v>Sí</v>
      </c>
      <c r="X332" t="str">
        <f>IF(Sala[[#This Row],[Cobrada]]="Sí",Sala[[#This Row],[Método de Pago]],"Impago")</f>
        <v>Tarjeta de débito</v>
      </c>
      <c r="Y332">
        <f>IF(Sala[[#This Row],[Cobrada]]="Sí",Sala[[#This Row],[Propina]],0)</f>
        <v>36.61</v>
      </c>
      <c r="Z332">
        <f>(IF(Sala[[#This Row],[Cobrada]]="Sí",Sala[[#This Row],[Monto total]],0))+Sala[[#This Row],[Propina real]]</f>
        <v>209.61</v>
      </c>
    </row>
    <row r="333" spans="1:26" x14ac:dyDescent="0.25">
      <c r="A333">
        <v>6</v>
      </c>
      <c r="B333" t="s">
        <v>336</v>
      </c>
      <c r="C333">
        <v>1</v>
      </c>
      <c r="D333" s="2">
        <v>45020</v>
      </c>
      <c r="E333" s="3">
        <v>9.7222222222222224E-3</v>
      </c>
      <c r="F333" s="2">
        <v>45020</v>
      </c>
      <c r="G333" s="3">
        <v>6.1805555555555558E-2</v>
      </c>
      <c r="H333" s="1" t="s">
        <v>16</v>
      </c>
      <c r="I333" t="s">
        <v>8</v>
      </c>
      <c r="J333" t="s">
        <v>600</v>
      </c>
      <c r="K333" s="9">
        <v>25.21</v>
      </c>
      <c r="L333" t="s">
        <v>9</v>
      </c>
      <c r="M333">
        <v>332</v>
      </c>
      <c r="N333" t="s">
        <v>59</v>
      </c>
      <c r="O333" s="3">
        <f>(Sala[[#This Row],[Hora de Salida]]-Sala[[#This Row],[Hora de llegada]])+IF(Sala[[#This Row],[Estado de la Mesa]]="Ocupada",(TEXT((15/(60*24)),"h:mm")),(TEXT(0,"h:mm")))</f>
        <v>5.2083333333333336E-2</v>
      </c>
      <c r="P333" s="43">
        <f>(SUMIF(Cocina[Número de Orden],Sala[[#This Row],[Número de Orden]],Cocina[Tiempo de Preparación]))</f>
        <v>17</v>
      </c>
      <c r="Q333" s="5" t="str">
        <f>TEXT(((SUMIF(Cocina[Número de Orden],Sala[[#This Row],[Número de Orden]],Cocina[Tiempo de Preparación]))/(60*24)),"h:mm")</f>
        <v>0:17</v>
      </c>
      <c r="R333" s="3">
        <f>MAX((Sala[[#This Row],[Tiempo de permanencia]]-Sala[[#This Row],[Tiempo de preparación (h)]]),0)</f>
        <v>4.027777777777778E-2</v>
      </c>
      <c r="S333" s="8">
        <f>SUMIF(Cocina[Número de Orden],Sala[[#This Row],[Número de Orden]],Cocina[Ganancia bruta])</f>
        <v>120</v>
      </c>
      <c r="T333" s="8">
        <f>SUMIF(Cocina[Número de Orden],Sala[[#This Row],[Número de Orden]],Cocina[Costo Unitario])</f>
        <v>25</v>
      </c>
      <c r="U333" s="2">
        <f>Sala[[#This Row],[Fecha de Salida]]</f>
        <v>45020</v>
      </c>
      <c r="V333" s="7" t="str">
        <f>TEXT(Sala[[#This Row],[Fecha factura]],"dddd")</f>
        <v>martes</v>
      </c>
      <c r="W333" t="str">
        <f>IF(Sala[[#This Row],[Tiempo de degustación]]&gt;0,"Sí","No")</f>
        <v>Sí</v>
      </c>
      <c r="X333" t="str">
        <f>IF(Sala[[#This Row],[Cobrada]]="Sí",Sala[[#This Row],[Método de Pago]],"Impago")</f>
        <v>Tarjeta de débito</v>
      </c>
      <c r="Y333">
        <f>IF(Sala[[#This Row],[Cobrada]]="Sí",Sala[[#This Row],[Propina]],0)</f>
        <v>25.21</v>
      </c>
      <c r="Z333">
        <f>(IF(Sala[[#This Row],[Cobrada]]="Sí",Sala[[#This Row],[Monto total]],0))+Sala[[#This Row],[Propina real]]</f>
        <v>145.21</v>
      </c>
    </row>
    <row r="334" spans="1:26" x14ac:dyDescent="0.25">
      <c r="A334">
        <v>6</v>
      </c>
      <c r="B334" t="s">
        <v>337</v>
      </c>
      <c r="C334">
        <v>1</v>
      </c>
      <c r="D334" s="2">
        <v>45020</v>
      </c>
      <c r="E334" s="3">
        <v>0.13194444444444445</v>
      </c>
      <c r="F334" s="2">
        <v>45020</v>
      </c>
      <c r="G334" s="3">
        <v>0.18680555555555556</v>
      </c>
      <c r="H334" s="1" t="s">
        <v>23</v>
      </c>
      <c r="I334" t="s">
        <v>25</v>
      </c>
      <c r="J334" t="s">
        <v>601</v>
      </c>
      <c r="K334" s="9">
        <v>13.19</v>
      </c>
      <c r="L334" t="s">
        <v>17</v>
      </c>
      <c r="M334">
        <v>333</v>
      </c>
      <c r="N334" t="s">
        <v>21</v>
      </c>
      <c r="O334" s="3">
        <f>(Sala[[#This Row],[Hora de Salida]]-Sala[[#This Row],[Hora de llegada]])+IF(Sala[[#This Row],[Estado de la Mesa]]="Ocupada",(TEXT((15/(60*24)),"h:mm")),(TEXT(0,"h:mm")))</f>
        <v>5.486111111111111E-2</v>
      </c>
      <c r="P334" s="43">
        <f>(SUMIF(Cocina[Número de Orden],Sala[[#This Row],[Número de Orden]],Cocina[Tiempo de Preparación]))</f>
        <v>61</v>
      </c>
      <c r="Q334" s="5" t="str">
        <f>TEXT(((SUMIF(Cocina[Número de Orden],Sala[[#This Row],[Número de Orden]],Cocina[Tiempo de Preparación]))/(60*24)),"h:mm")</f>
        <v>1:01</v>
      </c>
      <c r="R334" s="3">
        <f>MAX((Sala[[#This Row],[Tiempo de permanencia]]-Sala[[#This Row],[Tiempo de preparación (h)]]),0)</f>
        <v>1.2499999999999997E-2</v>
      </c>
      <c r="S334" s="8">
        <f>SUMIF(Cocina[Número de Orden],Sala[[#This Row],[Número de Orden]],Cocina[Ganancia bruta])</f>
        <v>72</v>
      </c>
      <c r="T334" s="8">
        <f>SUMIF(Cocina[Número de Orden],Sala[[#This Row],[Número de Orden]],Cocina[Costo Unitario])</f>
        <v>32</v>
      </c>
      <c r="U334" s="2">
        <f>Sala[[#This Row],[Fecha de Salida]]</f>
        <v>45020</v>
      </c>
      <c r="V334" s="7" t="str">
        <f>TEXT(Sala[[#This Row],[Fecha factura]],"dddd")</f>
        <v>martes</v>
      </c>
      <c r="W334" t="str">
        <f>IF(Sala[[#This Row],[Tiempo de degustación]]&gt;0,"Sí","No")</f>
        <v>Sí</v>
      </c>
      <c r="X334" t="str">
        <f>IF(Sala[[#This Row],[Cobrada]]="Sí",Sala[[#This Row],[Método de Pago]],"Impago")</f>
        <v>Tarjeta de crédito</v>
      </c>
      <c r="Y334">
        <f>IF(Sala[[#This Row],[Cobrada]]="Sí",Sala[[#This Row],[Propina]],0)</f>
        <v>13.19</v>
      </c>
      <c r="Z334">
        <f>(IF(Sala[[#This Row],[Cobrada]]="Sí",Sala[[#This Row],[Monto total]],0))+Sala[[#This Row],[Propina real]]</f>
        <v>85.19</v>
      </c>
    </row>
    <row r="335" spans="1:26" x14ac:dyDescent="0.25">
      <c r="A335">
        <v>12</v>
      </c>
      <c r="B335" t="s">
        <v>338</v>
      </c>
      <c r="C335">
        <v>4</v>
      </c>
      <c r="D335" s="2">
        <v>45020</v>
      </c>
      <c r="E335" s="3">
        <v>0.11874999999999999</v>
      </c>
      <c r="F335" s="2">
        <v>45020</v>
      </c>
      <c r="G335" s="3">
        <v>0.27152777777777776</v>
      </c>
      <c r="H335" s="1" t="s">
        <v>11</v>
      </c>
      <c r="I335" t="s">
        <v>12</v>
      </c>
      <c r="J335" t="s">
        <v>601</v>
      </c>
      <c r="K335" s="9">
        <v>17.5</v>
      </c>
      <c r="L335" t="s">
        <v>17</v>
      </c>
      <c r="M335">
        <v>334</v>
      </c>
      <c r="N335" t="s">
        <v>59</v>
      </c>
      <c r="O335" s="3">
        <f>(Sala[[#This Row],[Hora de Salida]]-Sala[[#This Row],[Hora de llegada]])+IF(Sala[[#This Row],[Estado de la Mesa]]="Ocupada",(TEXT((15/(60*24)),"h:mm")),(TEXT(0,"h:mm")))</f>
        <v>0.15277777777777776</v>
      </c>
      <c r="P335" s="43">
        <f>(SUMIF(Cocina[Número de Orden],Sala[[#This Row],[Número de Orden]],Cocina[Tiempo de Preparación]))</f>
        <v>156</v>
      </c>
      <c r="Q335" s="5" t="str">
        <f>TEXT(((SUMIF(Cocina[Número de Orden],Sala[[#This Row],[Número de Orden]],Cocina[Tiempo de Preparación]))/(60*24)),"h:mm")</f>
        <v>2:36</v>
      </c>
      <c r="R335" s="3">
        <f>MAX((Sala[[#This Row],[Tiempo de permanencia]]-Sala[[#This Row],[Tiempo de preparación (h)]]),0)</f>
        <v>4.4444444444444425E-2</v>
      </c>
      <c r="S335" s="8">
        <f>SUMIF(Cocina[Número de Orden],Sala[[#This Row],[Número de Orden]],Cocina[Ganancia bruta])</f>
        <v>173</v>
      </c>
      <c r="T335" s="8">
        <f>SUMIF(Cocina[Número de Orden],Sala[[#This Row],[Número de Orden]],Cocina[Costo Unitario])</f>
        <v>59</v>
      </c>
      <c r="U335" s="2">
        <f>Sala[[#This Row],[Fecha de Salida]]</f>
        <v>45020</v>
      </c>
      <c r="V335" s="7" t="str">
        <f>TEXT(Sala[[#This Row],[Fecha factura]],"dddd")</f>
        <v>martes</v>
      </c>
      <c r="W335" t="str">
        <f>IF(Sala[[#This Row],[Tiempo de degustación]]&gt;0,"Sí","No")</f>
        <v>Sí</v>
      </c>
      <c r="X335" t="str">
        <f>IF(Sala[[#This Row],[Cobrada]]="Sí",Sala[[#This Row],[Método de Pago]],"Impago")</f>
        <v>Tarjeta de crédito</v>
      </c>
      <c r="Y335">
        <f>IF(Sala[[#This Row],[Cobrada]]="Sí",Sala[[#This Row],[Propina]],0)</f>
        <v>17.5</v>
      </c>
      <c r="Z335">
        <f>(IF(Sala[[#This Row],[Cobrada]]="Sí",Sala[[#This Row],[Monto total]],0))+Sala[[#This Row],[Propina real]]</f>
        <v>190.5</v>
      </c>
    </row>
    <row r="336" spans="1:26" x14ac:dyDescent="0.25">
      <c r="A336">
        <v>14</v>
      </c>
      <c r="B336" t="s">
        <v>339</v>
      </c>
      <c r="C336">
        <v>3</v>
      </c>
      <c r="D336" s="2">
        <v>45020</v>
      </c>
      <c r="E336" s="3">
        <v>8.0555555555555561E-2</v>
      </c>
      <c r="F336" s="2">
        <v>45020</v>
      </c>
      <c r="G336" s="3">
        <v>0.13125000000000001</v>
      </c>
      <c r="H336" s="1" t="s">
        <v>23</v>
      </c>
      <c r="I336" t="s">
        <v>8</v>
      </c>
      <c r="J336" t="s">
        <v>600</v>
      </c>
      <c r="K336" s="9">
        <v>41.56</v>
      </c>
      <c r="L336" t="s">
        <v>17</v>
      </c>
      <c r="M336">
        <v>335</v>
      </c>
      <c r="N336" t="s">
        <v>18</v>
      </c>
      <c r="O336" s="3">
        <f>(Sala[[#This Row],[Hora de Salida]]-Sala[[#This Row],[Hora de llegada]])+IF(Sala[[#This Row],[Estado de la Mesa]]="Ocupada",(TEXT((15/(60*24)),"h:mm")),(TEXT(0,"h:mm")))</f>
        <v>5.0694444444444445E-2</v>
      </c>
      <c r="P336" s="43">
        <f>(SUMIF(Cocina[Número de Orden],Sala[[#This Row],[Número de Orden]],Cocina[Tiempo de Preparación]))</f>
        <v>69</v>
      </c>
      <c r="Q336" s="5" t="str">
        <f>TEXT(((SUMIF(Cocina[Número de Orden],Sala[[#This Row],[Número de Orden]],Cocina[Tiempo de Preparación]))/(60*24)),"h:mm")</f>
        <v>1:09</v>
      </c>
      <c r="R336" s="3">
        <f>MAX((Sala[[#This Row],[Tiempo de permanencia]]-Sala[[#This Row],[Tiempo de preparación (h)]]),0)</f>
        <v>2.7777777777777748E-3</v>
      </c>
      <c r="S336" s="8">
        <f>SUMIF(Cocina[Número de Orden],Sala[[#This Row],[Número de Orden]],Cocina[Ganancia bruta])</f>
        <v>114</v>
      </c>
      <c r="T336" s="8">
        <f>SUMIF(Cocina[Número de Orden],Sala[[#This Row],[Número de Orden]],Cocina[Costo Unitario])</f>
        <v>34</v>
      </c>
      <c r="U336" s="2">
        <f>Sala[[#This Row],[Fecha de Salida]]</f>
        <v>45020</v>
      </c>
      <c r="V336" s="7" t="str">
        <f>TEXT(Sala[[#This Row],[Fecha factura]],"dddd")</f>
        <v>martes</v>
      </c>
      <c r="W336" t="str">
        <f>IF(Sala[[#This Row],[Tiempo de degustación]]&gt;0,"Sí","No")</f>
        <v>Sí</v>
      </c>
      <c r="X336" t="str">
        <f>IF(Sala[[#This Row],[Cobrada]]="Sí",Sala[[#This Row],[Método de Pago]],"Impago")</f>
        <v>Tarjeta de débito</v>
      </c>
      <c r="Y336">
        <f>IF(Sala[[#This Row],[Cobrada]]="Sí",Sala[[#This Row],[Propina]],0)</f>
        <v>41.56</v>
      </c>
      <c r="Z336">
        <f>(IF(Sala[[#This Row],[Cobrada]]="Sí",Sala[[#This Row],[Monto total]],0))+Sala[[#This Row],[Propina real]]</f>
        <v>155.56</v>
      </c>
    </row>
    <row r="337" spans="1:26" x14ac:dyDescent="0.25">
      <c r="A337">
        <v>4</v>
      </c>
      <c r="B337" t="s">
        <v>340</v>
      </c>
      <c r="C337">
        <v>5</v>
      </c>
      <c r="D337" s="2">
        <v>45020</v>
      </c>
      <c r="E337" s="3">
        <v>6.5972222222222224E-2</v>
      </c>
      <c r="F337" s="2">
        <v>45020</v>
      </c>
      <c r="G337" s="3">
        <v>0.20208333333333334</v>
      </c>
      <c r="H337" s="1" t="s">
        <v>16</v>
      </c>
      <c r="I337" t="s">
        <v>25</v>
      </c>
      <c r="J337" t="s">
        <v>601</v>
      </c>
      <c r="K337" s="9">
        <v>17.93</v>
      </c>
      <c r="L337" t="s">
        <v>17</v>
      </c>
      <c r="M337">
        <v>336</v>
      </c>
      <c r="N337" t="s">
        <v>59</v>
      </c>
      <c r="O337" s="3">
        <f>(Sala[[#This Row],[Hora de Salida]]-Sala[[#This Row],[Hora de llegada]])+IF(Sala[[#This Row],[Estado de la Mesa]]="Ocupada",(TEXT((15/(60*24)),"h:mm")),(TEXT(0,"h:mm")))</f>
        <v>0.13611111111111113</v>
      </c>
      <c r="P337" s="43">
        <f>(SUMIF(Cocina[Número de Orden],Sala[[#This Row],[Número de Orden]],Cocina[Tiempo de Preparación]))</f>
        <v>65</v>
      </c>
      <c r="Q337" s="5" t="str">
        <f>TEXT(((SUMIF(Cocina[Número de Orden],Sala[[#This Row],[Número de Orden]],Cocina[Tiempo de Preparación]))/(60*24)),"h:mm")</f>
        <v>1:05</v>
      </c>
      <c r="R337" s="3">
        <f>MAX((Sala[[#This Row],[Tiempo de permanencia]]-Sala[[#This Row],[Tiempo de preparación (h)]]),0)</f>
        <v>9.0972222222222232E-2</v>
      </c>
      <c r="S337" s="8">
        <f>SUMIF(Cocina[Número de Orden],Sala[[#This Row],[Número de Orden]],Cocina[Ganancia bruta])</f>
        <v>158</v>
      </c>
      <c r="T337" s="8">
        <f>SUMIF(Cocina[Número de Orden],Sala[[#This Row],[Número de Orden]],Cocina[Costo Unitario])</f>
        <v>39</v>
      </c>
      <c r="U337" s="2">
        <f>Sala[[#This Row],[Fecha de Salida]]</f>
        <v>45020</v>
      </c>
      <c r="V337" s="7" t="str">
        <f>TEXT(Sala[[#This Row],[Fecha factura]],"dddd")</f>
        <v>martes</v>
      </c>
      <c r="W337" t="str">
        <f>IF(Sala[[#This Row],[Tiempo de degustación]]&gt;0,"Sí","No")</f>
        <v>Sí</v>
      </c>
      <c r="X337" t="str">
        <f>IF(Sala[[#This Row],[Cobrada]]="Sí",Sala[[#This Row],[Método de Pago]],"Impago")</f>
        <v>Tarjeta de crédito</v>
      </c>
      <c r="Y337">
        <f>IF(Sala[[#This Row],[Cobrada]]="Sí",Sala[[#This Row],[Propina]],0)</f>
        <v>17.93</v>
      </c>
      <c r="Z337">
        <f>(IF(Sala[[#This Row],[Cobrada]]="Sí",Sala[[#This Row],[Monto total]],0))+Sala[[#This Row],[Propina real]]</f>
        <v>175.93</v>
      </c>
    </row>
    <row r="338" spans="1:26" x14ac:dyDescent="0.25">
      <c r="A338">
        <v>11</v>
      </c>
      <c r="B338" t="s">
        <v>341</v>
      </c>
      <c r="C338">
        <v>2</v>
      </c>
      <c r="D338" s="2">
        <v>45020</v>
      </c>
      <c r="E338" s="3">
        <v>6.805555555555555E-2</v>
      </c>
      <c r="F338" s="2">
        <v>45020</v>
      </c>
      <c r="G338" s="3">
        <v>0.18819444444444444</v>
      </c>
      <c r="H338" s="1" t="s">
        <v>20</v>
      </c>
      <c r="I338" t="s">
        <v>25</v>
      </c>
      <c r="J338" t="s">
        <v>601</v>
      </c>
      <c r="K338" s="9">
        <v>19.28</v>
      </c>
      <c r="L338" t="s">
        <v>9</v>
      </c>
      <c r="M338">
        <v>337</v>
      </c>
      <c r="N338" t="s">
        <v>18</v>
      </c>
      <c r="O338" s="3">
        <f>(Sala[[#This Row],[Hora de Salida]]-Sala[[#This Row],[Hora de llegada]])+IF(Sala[[#This Row],[Estado de la Mesa]]="Ocupada",(TEXT((15/(60*24)),"h:mm")),(TEXT(0,"h:mm")))</f>
        <v>0.12013888888888889</v>
      </c>
      <c r="P338" s="43">
        <f>(SUMIF(Cocina[Número de Orden],Sala[[#This Row],[Número de Orden]],Cocina[Tiempo de Preparación]))</f>
        <v>58</v>
      </c>
      <c r="Q338" s="5" t="str">
        <f>TEXT(((SUMIF(Cocina[Número de Orden],Sala[[#This Row],[Número de Orden]],Cocina[Tiempo de Preparación]))/(60*24)),"h:mm")</f>
        <v>0:58</v>
      </c>
      <c r="R338" s="3">
        <f>MAX((Sala[[#This Row],[Tiempo de permanencia]]-Sala[[#This Row],[Tiempo de preparación (h)]]),0)</f>
        <v>7.9861111111111105E-2</v>
      </c>
      <c r="S338" s="8">
        <f>SUMIF(Cocina[Número de Orden],Sala[[#This Row],[Número de Orden]],Cocina[Ganancia bruta])</f>
        <v>100</v>
      </c>
      <c r="T338" s="8">
        <f>SUMIF(Cocina[Número de Orden],Sala[[#This Row],[Número de Orden]],Cocina[Costo Unitario])</f>
        <v>30</v>
      </c>
      <c r="U338" s="2">
        <f>Sala[[#This Row],[Fecha de Salida]]</f>
        <v>45020</v>
      </c>
      <c r="V338" s="7" t="str">
        <f>TEXT(Sala[[#This Row],[Fecha factura]],"dddd")</f>
        <v>martes</v>
      </c>
      <c r="W338" t="str">
        <f>IF(Sala[[#This Row],[Tiempo de degustación]]&gt;0,"Sí","No")</f>
        <v>Sí</v>
      </c>
      <c r="X338" t="str">
        <f>IF(Sala[[#This Row],[Cobrada]]="Sí",Sala[[#This Row],[Método de Pago]],"Impago")</f>
        <v>Tarjeta de crédito</v>
      </c>
      <c r="Y338">
        <f>IF(Sala[[#This Row],[Cobrada]]="Sí",Sala[[#This Row],[Propina]],0)</f>
        <v>19.28</v>
      </c>
      <c r="Z338">
        <f>(IF(Sala[[#This Row],[Cobrada]]="Sí",Sala[[#This Row],[Monto total]],0))+Sala[[#This Row],[Propina real]]</f>
        <v>119.28</v>
      </c>
    </row>
    <row r="339" spans="1:26" x14ac:dyDescent="0.25">
      <c r="A339">
        <v>18</v>
      </c>
      <c r="B339" t="s">
        <v>342</v>
      </c>
      <c r="C339">
        <v>2</v>
      </c>
      <c r="D339" s="2">
        <v>45020</v>
      </c>
      <c r="E339" s="3">
        <v>2.2222222222222223E-2</v>
      </c>
      <c r="F339" s="2">
        <v>45020</v>
      </c>
      <c r="G339" s="3">
        <v>0.14583333333333334</v>
      </c>
      <c r="H339" s="1" t="s">
        <v>20</v>
      </c>
      <c r="I339" t="s">
        <v>8</v>
      </c>
      <c r="J339" t="s">
        <v>600</v>
      </c>
      <c r="K339" s="9">
        <v>30.62</v>
      </c>
      <c r="L339" t="s">
        <v>9</v>
      </c>
      <c r="M339">
        <v>338</v>
      </c>
      <c r="N339" t="s">
        <v>44</v>
      </c>
      <c r="O339" s="3">
        <f>(Sala[[#This Row],[Hora de Salida]]-Sala[[#This Row],[Hora de llegada]])+IF(Sala[[#This Row],[Estado de la Mesa]]="Ocupada",(TEXT((15/(60*24)),"h:mm")),(TEXT(0,"h:mm")))</f>
        <v>0.12361111111111112</v>
      </c>
      <c r="P339" s="43">
        <f>(SUMIF(Cocina[Número de Orden],Sala[[#This Row],[Número de Orden]],Cocina[Tiempo de Preparación]))</f>
        <v>143</v>
      </c>
      <c r="Q339" s="5" t="str">
        <f>TEXT(((SUMIF(Cocina[Número de Orden],Sala[[#This Row],[Número de Orden]],Cocina[Tiempo de Preparación]))/(60*24)),"h:mm")</f>
        <v>2:23</v>
      </c>
      <c r="R339" s="3">
        <f>MAX((Sala[[#This Row],[Tiempo de permanencia]]-Sala[[#This Row],[Tiempo de preparación (h)]]),0)</f>
        <v>2.4305555555555566E-2</v>
      </c>
      <c r="S339" s="8">
        <f>SUMIF(Cocina[Número de Orden],Sala[[#This Row],[Número de Orden]],Cocina[Ganancia bruta])</f>
        <v>279</v>
      </c>
      <c r="T339" s="8">
        <f>SUMIF(Cocina[Número de Orden],Sala[[#This Row],[Número de Orden]],Cocina[Costo Unitario])</f>
        <v>64</v>
      </c>
      <c r="U339" s="2">
        <f>Sala[[#This Row],[Fecha de Salida]]</f>
        <v>45020</v>
      </c>
      <c r="V339" s="7" t="str">
        <f>TEXT(Sala[[#This Row],[Fecha factura]],"dddd")</f>
        <v>martes</v>
      </c>
      <c r="W339" t="str">
        <f>IF(Sala[[#This Row],[Tiempo de degustación]]&gt;0,"Sí","No")</f>
        <v>Sí</v>
      </c>
      <c r="X339" t="str">
        <f>IF(Sala[[#This Row],[Cobrada]]="Sí",Sala[[#This Row],[Método de Pago]],"Impago")</f>
        <v>Tarjeta de débito</v>
      </c>
      <c r="Y339">
        <f>IF(Sala[[#This Row],[Cobrada]]="Sí",Sala[[#This Row],[Propina]],0)</f>
        <v>30.62</v>
      </c>
      <c r="Z339">
        <f>(IF(Sala[[#This Row],[Cobrada]]="Sí",Sala[[#This Row],[Monto total]],0))+Sala[[#This Row],[Propina real]]</f>
        <v>309.62</v>
      </c>
    </row>
    <row r="340" spans="1:26" x14ac:dyDescent="0.25">
      <c r="A340">
        <v>13</v>
      </c>
      <c r="B340" t="s">
        <v>343</v>
      </c>
      <c r="C340">
        <v>2</v>
      </c>
      <c r="D340" s="2">
        <v>45020</v>
      </c>
      <c r="E340" s="3">
        <v>0</v>
      </c>
      <c r="F340" s="2">
        <v>45020</v>
      </c>
      <c r="G340" s="3">
        <v>8.4027777777777785E-2</v>
      </c>
      <c r="H340" s="1" t="s">
        <v>7</v>
      </c>
      <c r="I340" t="s">
        <v>12</v>
      </c>
      <c r="J340" t="s">
        <v>600</v>
      </c>
      <c r="K340" s="9">
        <v>19.600000000000001</v>
      </c>
      <c r="L340" t="s">
        <v>9</v>
      </c>
      <c r="M340">
        <v>339</v>
      </c>
      <c r="N340" t="s">
        <v>593</v>
      </c>
      <c r="O340" s="3">
        <f>(Sala[[#This Row],[Hora de Salida]]-Sala[[#This Row],[Hora de llegada]])+IF(Sala[[#This Row],[Estado de la Mesa]]="Ocupada",(TEXT((15/(60*24)),"h:mm")),(TEXT(0,"h:mm")))</f>
        <v>8.4027777777777785E-2</v>
      </c>
      <c r="P340" s="43">
        <f>(SUMIF(Cocina[Número de Orden],Sala[[#This Row],[Número de Orden]],Cocina[Tiempo de Preparación]))</f>
        <v>46</v>
      </c>
      <c r="Q340" s="5" t="str">
        <f>TEXT(((SUMIF(Cocina[Número de Orden],Sala[[#This Row],[Número de Orden]],Cocina[Tiempo de Preparación]))/(60*24)),"h:mm")</f>
        <v>0:46</v>
      </c>
      <c r="R340" s="3">
        <f>MAX((Sala[[#This Row],[Tiempo de permanencia]]-Sala[[#This Row],[Tiempo de preparación (h)]]),0)</f>
        <v>5.2083333333333343E-2</v>
      </c>
      <c r="S340" s="8">
        <f>SUMIF(Cocina[Número de Orden],Sala[[#This Row],[Número de Orden]],Cocina[Ganancia bruta])</f>
        <v>104</v>
      </c>
      <c r="T340" s="8">
        <f>SUMIF(Cocina[Número de Orden],Sala[[#This Row],[Número de Orden]],Cocina[Costo Unitario])</f>
        <v>31</v>
      </c>
      <c r="U340" s="2">
        <f>Sala[[#This Row],[Fecha de Salida]]</f>
        <v>45020</v>
      </c>
      <c r="V340" s="7" t="str">
        <f>TEXT(Sala[[#This Row],[Fecha factura]],"dddd")</f>
        <v>martes</v>
      </c>
      <c r="W340" t="str">
        <f>IF(Sala[[#This Row],[Tiempo de degustación]]&gt;0,"Sí","No")</f>
        <v>Sí</v>
      </c>
      <c r="X340" t="str">
        <f>IF(Sala[[#This Row],[Cobrada]]="Sí",Sala[[#This Row],[Método de Pago]],"Impago")</f>
        <v>Tarjeta de débito</v>
      </c>
      <c r="Y340">
        <f>IF(Sala[[#This Row],[Cobrada]]="Sí",Sala[[#This Row],[Propina]],0)</f>
        <v>19.600000000000001</v>
      </c>
      <c r="Z340">
        <f>(IF(Sala[[#This Row],[Cobrada]]="Sí",Sala[[#This Row],[Monto total]],0))+Sala[[#This Row],[Propina real]]</f>
        <v>123.6</v>
      </c>
    </row>
    <row r="341" spans="1:26" x14ac:dyDescent="0.25">
      <c r="A341">
        <v>15</v>
      </c>
      <c r="B341" t="s">
        <v>344</v>
      </c>
      <c r="C341">
        <v>1</v>
      </c>
      <c r="D341" s="2">
        <v>45020</v>
      </c>
      <c r="E341" s="3">
        <v>0.05</v>
      </c>
      <c r="F341" s="2">
        <v>45020</v>
      </c>
      <c r="G341" s="3">
        <v>0.19305555555555556</v>
      </c>
      <c r="H341" s="1" t="s">
        <v>7</v>
      </c>
      <c r="I341" t="s">
        <v>8</v>
      </c>
      <c r="J341" t="s">
        <v>601</v>
      </c>
      <c r="K341" s="9">
        <v>38.520000000000003</v>
      </c>
      <c r="L341" t="s">
        <v>17</v>
      </c>
      <c r="M341">
        <v>340</v>
      </c>
      <c r="N341" t="s">
        <v>594</v>
      </c>
      <c r="O341" s="3">
        <f>(Sala[[#This Row],[Hora de Salida]]-Sala[[#This Row],[Hora de llegada]])+IF(Sala[[#This Row],[Estado de la Mesa]]="Ocupada",(TEXT((15/(60*24)),"h:mm")),(TEXT(0,"h:mm")))</f>
        <v>0.14305555555555555</v>
      </c>
      <c r="P341" s="43">
        <f>(SUMIF(Cocina[Número de Orden],Sala[[#This Row],[Número de Orden]],Cocina[Tiempo de Preparación]))</f>
        <v>91</v>
      </c>
      <c r="Q341" s="5" t="str">
        <f>TEXT(((SUMIF(Cocina[Número de Orden],Sala[[#This Row],[Número de Orden]],Cocina[Tiempo de Preparación]))/(60*24)),"h:mm")</f>
        <v>1:31</v>
      </c>
      <c r="R341" s="3">
        <f>MAX((Sala[[#This Row],[Tiempo de permanencia]]-Sala[[#This Row],[Tiempo de preparación (h)]]),0)</f>
        <v>7.9861111111111105E-2</v>
      </c>
      <c r="S341" s="8">
        <f>SUMIF(Cocina[Número de Orden],Sala[[#This Row],[Número de Orden]],Cocina[Ganancia bruta])</f>
        <v>164</v>
      </c>
      <c r="T341" s="8">
        <f>SUMIF(Cocina[Número de Orden],Sala[[#This Row],[Número de Orden]],Cocina[Costo Unitario])</f>
        <v>41</v>
      </c>
      <c r="U341" s="2">
        <f>Sala[[#This Row],[Fecha de Salida]]</f>
        <v>45020</v>
      </c>
      <c r="V341" s="7" t="str">
        <f>TEXT(Sala[[#This Row],[Fecha factura]],"dddd")</f>
        <v>martes</v>
      </c>
      <c r="W341" t="str">
        <f>IF(Sala[[#This Row],[Tiempo de degustación]]&gt;0,"Sí","No")</f>
        <v>Sí</v>
      </c>
      <c r="X341" t="str">
        <f>IF(Sala[[#This Row],[Cobrada]]="Sí",Sala[[#This Row],[Método de Pago]],"Impago")</f>
        <v>Tarjeta de crédito</v>
      </c>
      <c r="Y341">
        <f>IF(Sala[[#This Row],[Cobrada]]="Sí",Sala[[#This Row],[Propina]],0)</f>
        <v>38.520000000000003</v>
      </c>
      <c r="Z341">
        <f>(IF(Sala[[#This Row],[Cobrada]]="Sí",Sala[[#This Row],[Monto total]],0))+Sala[[#This Row],[Propina real]]</f>
        <v>202.52</v>
      </c>
    </row>
    <row r="342" spans="1:26" x14ac:dyDescent="0.25">
      <c r="A342">
        <v>14</v>
      </c>
      <c r="B342" t="s">
        <v>345</v>
      </c>
      <c r="C342">
        <v>5</v>
      </c>
      <c r="D342" s="2">
        <v>45020</v>
      </c>
      <c r="E342" s="3">
        <v>8.6805555555555552E-2</v>
      </c>
      <c r="F342" s="2">
        <v>45020</v>
      </c>
      <c r="G342" s="3">
        <v>0.17986111111111111</v>
      </c>
      <c r="H342" s="1" t="s">
        <v>7</v>
      </c>
      <c r="I342" t="s">
        <v>12</v>
      </c>
      <c r="J342" t="s">
        <v>601</v>
      </c>
      <c r="K342" s="9">
        <v>47.05</v>
      </c>
      <c r="L342" t="s">
        <v>17</v>
      </c>
      <c r="M342">
        <v>341</v>
      </c>
      <c r="N342" t="s">
        <v>593</v>
      </c>
      <c r="O342" s="3">
        <f>(Sala[[#This Row],[Hora de Salida]]-Sala[[#This Row],[Hora de llegada]])+IF(Sala[[#This Row],[Estado de la Mesa]]="Ocupada",(TEXT((15/(60*24)),"h:mm")),(TEXT(0,"h:mm")))</f>
        <v>9.3055555555555558E-2</v>
      </c>
      <c r="P342" s="43">
        <f>(SUMIF(Cocina[Número de Orden],Sala[[#This Row],[Número de Orden]],Cocina[Tiempo de Preparación]))</f>
        <v>88</v>
      </c>
      <c r="Q342" s="5" t="str">
        <f>TEXT(((SUMIF(Cocina[Número de Orden],Sala[[#This Row],[Número de Orden]],Cocina[Tiempo de Preparación]))/(60*24)),"h:mm")</f>
        <v>1:28</v>
      </c>
      <c r="R342" s="3">
        <f>MAX((Sala[[#This Row],[Tiempo de permanencia]]-Sala[[#This Row],[Tiempo de preparación (h)]]),0)</f>
        <v>3.1944444444444449E-2</v>
      </c>
      <c r="S342" s="8">
        <f>SUMIF(Cocina[Número de Orden],Sala[[#This Row],[Número de Orden]],Cocina[Ganancia bruta])</f>
        <v>177</v>
      </c>
      <c r="T342" s="8">
        <f>SUMIF(Cocina[Número de Orden],Sala[[#This Row],[Número de Orden]],Cocina[Costo Unitario])</f>
        <v>50</v>
      </c>
      <c r="U342" s="2">
        <f>Sala[[#This Row],[Fecha de Salida]]</f>
        <v>45020</v>
      </c>
      <c r="V342" s="7" t="str">
        <f>TEXT(Sala[[#This Row],[Fecha factura]],"dddd")</f>
        <v>martes</v>
      </c>
      <c r="W342" t="str">
        <f>IF(Sala[[#This Row],[Tiempo de degustación]]&gt;0,"Sí","No")</f>
        <v>Sí</v>
      </c>
      <c r="X342" t="str">
        <f>IF(Sala[[#This Row],[Cobrada]]="Sí",Sala[[#This Row],[Método de Pago]],"Impago")</f>
        <v>Tarjeta de crédito</v>
      </c>
      <c r="Y342">
        <f>IF(Sala[[#This Row],[Cobrada]]="Sí",Sala[[#This Row],[Propina]],0)</f>
        <v>47.05</v>
      </c>
      <c r="Z342">
        <f>(IF(Sala[[#This Row],[Cobrada]]="Sí",Sala[[#This Row],[Monto total]],0))+Sala[[#This Row],[Propina real]]</f>
        <v>224.05</v>
      </c>
    </row>
    <row r="343" spans="1:26" x14ac:dyDescent="0.25">
      <c r="A343">
        <v>19</v>
      </c>
      <c r="B343" t="s">
        <v>346</v>
      </c>
      <c r="C343">
        <v>5</v>
      </c>
      <c r="D343" s="2">
        <v>45020</v>
      </c>
      <c r="E343" s="3">
        <v>0.10416666666666667</v>
      </c>
      <c r="F343" s="2">
        <v>45020</v>
      </c>
      <c r="G343" s="3">
        <v>0.25763888888888886</v>
      </c>
      <c r="H343" s="1" t="s">
        <v>7</v>
      </c>
      <c r="I343" t="s">
        <v>12</v>
      </c>
      <c r="J343" t="s">
        <v>601</v>
      </c>
      <c r="K343" s="9">
        <v>20.059999999999999</v>
      </c>
      <c r="L343" t="s">
        <v>17</v>
      </c>
      <c r="M343">
        <v>342</v>
      </c>
      <c r="N343" t="s">
        <v>32</v>
      </c>
      <c r="O343" s="3">
        <f>(Sala[[#This Row],[Hora de Salida]]-Sala[[#This Row],[Hora de llegada]])+IF(Sala[[#This Row],[Estado de la Mesa]]="Ocupada",(TEXT((15/(60*24)),"h:mm")),(TEXT(0,"h:mm")))</f>
        <v>0.15347222222222218</v>
      </c>
      <c r="P343" s="43">
        <f>(SUMIF(Cocina[Número de Orden],Sala[[#This Row],[Número de Orden]],Cocina[Tiempo de Preparación]))</f>
        <v>54</v>
      </c>
      <c r="Q343" s="5" t="str">
        <f>TEXT(((SUMIF(Cocina[Número de Orden],Sala[[#This Row],[Número de Orden]],Cocina[Tiempo de Preparación]))/(60*24)),"h:mm")</f>
        <v>0:54</v>
      </c>
      <c r="R343" s="3">
        <f>MAX((Sala[[#This Row],[Tiempo de permanencia]]-Sala[[#This Row],[Tiempo de preparación (h)]]),0)</f>
        <v>0.11597222222222217</v>
      </c>
      <c r="S343" s="8">
        <f>SUMIF(Cocina[Número de Orden],Sala[[#This Row],[Número de Orden]],Cocina[Ganancia bruta])</f>
        <v>102</v>
      </c>
      <c r="T343" s="8">
        <f>SUMIF(Cocina[Número de Orden],Sala[[#This Row],[Número de Orden]],Cocina[Costo Unitario])</f>
        <v>30</v>
      </c>
      <c r="U343" s="2">
        <f>Sala[[#This Row],[Fecha de Salida]]</f>
        <v>45020</v>
      </c>
      <c r="V343" s="7" t="str">
        <f>TEXT(Sala[[#This Row],[Fecha factura]],"dddd")</f>
        <v>martes</v>
      </c>
      <c r="W343" t="str">
        <f>IF(Sala[[#This Row],[Tiempo de degustación]]&gt;0,"Sí","No")</f>
        <v>Sí</v>
      </c>
      <c r="X343" t="str">
        <f>IF(Sala[[#This Row],[Cobrada]]="Sí",Sala[[#This Row],[Método de Pago]],"Impago")</f>
        <v>Tarjeta de crédito</v>
      </c>
      <c r="Y343">
        <f>IF(Sala[[#This Row],[Cobrada]]="Sí",Sala[[#This Row],[Propina]],0)</f>
        <v>20.059999999999999</v>
      </c>
      <c r="Z343">
        <f>(IF(Sala[[#This Row],[Cobrada]]="Sí",Sala[[#This Row],[Monto total]],0))+Sala[[#This Row],[Propina real]]</f>
        <v>122.06</v>
      </c>
    </row>
    <row r="344" spans="1:26" x14ac:dyDescent="0.25">
      <c r="A344">
        <v>12</v>
      </c>
      <c r="B344" t="s">
        <v>347</v>
      </c>
      <c r="C344">
        <v>1</v>
      </c>
      <c r="D344" s="2">
        <v>45020</v>
      </c>
      <c r="E344" s="3">
        <v>0.16388888888888889</v>
      </c>
      <c r="F344" s="2">
        <v>45020</v>
      </c>
      <c r="G344" s="3">
        <v>0.23958333333333334</v>
      </c>
      <c r="H344" s="1" t="s">
        <v>20</v>
      </c>
      <c r="I344" t="s">
        <v>8</v>
      </c>
      <c r="J344" t="s">
        <v>601</v>
      </c>
      <c r="K344" s="9">
        <v>23.01</v>
      </c>
      <c r="L344" t="s">
        <v>28</v>
      </c>
      <c r="M344">
        <v>343</v>
      </c>
      <c r="N344" t="s">
        <v>593</v>
      </c>
      <c r="O344" s="3">
        <f>(Sala[[#This Row],[Hora de Salida]]-Sala[[#This Row],[Hora de llegada]])+IF(Sala[[#This Row],[Estado de la Mesa]]="Ocupada",(TEXT((15/(60*24)),"h:mm")),(TEXT(0,"h:mm")))</f>
        <v>8.6111111111111124E-2</v>
      </c>
      <c r="P344" s="43">
        <f>(SUMIF(Cocina[Número de Orden],Sala[[#This Row],[Número de Orden]],Cocina[Tiempo de Preparación]))</f>
        <v>101</v>
      </c>
      <c r="Q344" s="5" t="str">
        <f>TEXT(((SUMIF(Cocina[Número de Orden],Sala[[#This Row],[Número de Orden]],Cocina[Tiempo de Preparación]))/(60*24)),"h:mm")</f>
        <v>1:41</v>
      </c>
      <c r="R344" s="3">
        <f>MAX((Sala[[#This Row],[Tiempo de permanencia]]-Sala[[#This Row],[Tiempo de preparación (h)]]),0)</f>
        <v>1.5972222222222235E-2</v>
      </c>
      <c r="S344" s="8">
        <f>SUMIF(Cocina[Número de Orden],Sala[[#This Row],[Número de Orden]],Cocina[Ganancia bruta])</f>
        <v>137</v>
      </c>
      <c r="T344" s="8">
        <f>SUMIF(Cocina[Número de Orden],Sala[[#This Row],[Número de Orden]],Cocina[Costo Unitario])</f>
        <v>34</v>
      </c>
      <c r="U344" s="2">
        <f>Sala[[#This Row],[Fecha de Salida]]</f>
        <v>45020</v>
      </c>
      <c r="V344" s="7" t="str">
        <f>TEXT(Sala[[#This Row],[Fecha factura]],"dddd")</f>
        <v>martes</v>
      </c>
      <c r="W344" t="str">
        <f>IF(Sala[[#This Row],[Tiempo de degustación]]&gt;0,"Sí","No")</f>
        <v>Sí</v>
      </c>
      <c r="X344" t="str">
        <f>IF(Sala[[#This Row],[Cobrada]]="Sí",Sala[[#This Row],[Método de Pago]],"Impago")</f>
        <v>Tarjeta de crédito</v>
      </c>
      <c r="Y344">
        <f>IF(Sala[[#This Row],[Cobrada]]="Sí",Sala[[#This Row],[Propina]],0)</f>
        <v>23.01</v>
      </c>
      <c r="Z344">
        <f>(IF(Sala[[#This Row],[Cobrada]]="Sí",Sala[[#This Row],[Monto total]],0))+Sala[[#This Row],[Propina real]]</f>
        <v>160.01</v>
      </c>
    </row>
    <row r="345" spans="1:26" x14ac:dyDescent="0.25">
      <c r="A345">
        <v>15</v>
      </c>
      <c r="B345" t="s">
        <v>348</v>
      </c>
      <c r="C345">
        <v>3</v>
      </c>
      <c r="D345" s="2">
        <v>45020</v>
      </c>
      <c r="E345" s="3">
        <v>3.1944444444444442E-2</v>
      </c>
      <c r="F345" s="2">
        <v>45020</v>
      </c>
      <c r="G345" s="3">
        <v>8.611111111111111E-2</v>
      </c>
      <c r="H345" s="1" t="s">
        <v>16</v>
      </c>
      <c r="I345" t="s">
        <v>8</v>
      </c>
      <c r="J345" t="s">
        <v>601</v>
      </c>
      <c r="K345" s="9">
        <v>33.01</v>
      </c>
      <c r="L345" t="s">
        <v>28</v>
      </c>
      <c r="M345">
        <v>344</v>
      </c>
      <c r="N345" t="s">
        <v>47</v>
      </c>
      <c r="O345" s="3">
        <f>(Sala[[#This Row],[Hora de Salida]]-Sala[[#This Row],[Hora de llegada]])+IF(Sala[[#This Row],[Estado de la Mesa]]="Ocupada",(TEXT((15/(60*24)),"h:mm")),(TEXT(0,"h:mm")))</f>
        <v>6.458333333333334E-2</v>
      </c>
      <c r="P345" s="43">
        <f>(SUMIF(Cocina[Número de Orden],Sala[[#This Row],[Número de Orden]],Cocina[Tiempo de Preparación]))</f>
        <v>86</v>
      </c>
      <c r="Q345" s="5" t="str">
        <f>TEXT(((SUMIF(Cocina[Número de Orden],Sala[[#This Row],[Número de Orden]],Cocina[Tiempo de Preparación]))/(60*24)),"h:mm")</f>
        <v>1:26</v>
      </c>
      <c r="R345" s="3">
        <f>MAX((Sala[[#This Row],[Tiempo de permanencia]]-Sala[[#This Row],[Tiempo de preparación (h)]]),0)</f>
        <v>4.8611111111111147E-3</v>
      </c>
      <c r="S345" s="8">
        <f>SUMIF(Cocina[Número de Orden],Sala[[#This Row],[Número de Orden]],Cocina[Ganancia bruta])</f>
        <v>183</v>
      </c>
      <c r="T345" s="8">
        <f>SUMIF(Cocina[Número de Orden],Sala[[#This Row],[Número de Orden]],Cocina[Costo Unitario])</f>
        <v>72</v>
      </c>
      <c r="U345" s="2">
        <f>Sala[[#This Row],[Fecha de Salida]]</f>
        <v>45020</v>
      </c>
      <c r="V345" s="7" t="str">
        <f>TEXT(Sala[[#This Row],[Fecha factura]],"dddd")</f>
        <v>martes</v>
      </c>
      <c r="W345" t="str">
        <f>IF(Sala[[#This Row],[Tiempo de degustación]]&gt;0,"Sí","No")</f>
        <v>Sí</v>
      </c>
      <c r="X345" t="str">
        <f>IF(Sala[[#This Row],[Cobrada]]="Sí",Sala[[#This Row],[Método de Pago]],"Impago")</f>
        <v>Tarjeta de crédito</v>
      </c>
      <c r="Y345">
        <f>IF(Sala[[#This Row],[Cobrada]]="Sí",Sala[[#This Row],[Propina]],0)</f>
        <v>33.01</v>
      </c>
      <c r="Z345">
        <f>(IF(Sala[[#This Row],[Cobrada]]="Sí",Sala[[#This Row],[Monto total]],0))+Sala[[#This Row],[Propina real]]</f>
        <v>216.01</v>
      </c>
    </row>
    <row r="346" spans="1:26" x14ac:dyDescent="0.25">
      <c r="A346">
        <v>16</v>
      </c>
      <c r="B346" t="s">
        <v>349</v>
      </c>
      <c r="C346">
        <v>3</v>
      </c>
      <c r="D346" s="2">
        <v>45020</v>
      </c>
      <c r="E346" s="3">
        <v>5.4166666666666669E-2</v>
      </c>
      <c r="F346" s="2">
        <v>45020</v>
      </c>
      <c r="G346" s="3">
        <v>0.17986111111111111</v>
      </c>
      <c r="H346" s="1" t="s">
        <v>23</v>
      </c>
      <c r="I346" t="s">
        <v>8</v>
      </c>
      <c r="J346" t="s">
        <v>601</v>
      </c>
      <c r="K346" s="9">
        <v>13.98</v>
      </c>
      <c r="L346" t="s">
        <v>28</v>
      </c>
      <c r="M346">
        <v>345</v>
      </c>
      <c r="N346" t="s">
        <v>47</v>
      </c>
      <c r="O346" s="3">
        <f>(Sala[[#This Row],[Hora de Salida]]-Sala[[#This Row],[Hora de llegada]])+IF(Sala[[#This Row],[Estado de la Mesa]]="Ocupada",(TEXT((15/(60*24)),"h:mm")),(TEXT(0,"h:mm")))</f>
        <v>0.1361111111111111</v>
      </c>
      <c r="P346" s="43">
        <f>(SUMIF(Cocina[Número de Orden],Sala[[#This Row],[Número de Orden]],Cocina[Tiempo de Preparación]))</f>
        <v>18</v>
      </c>
      <c r="Q346" s="5" t="str">
        <f>TEXT(((SUMIF(Cocina[Número de Orden],Sala[[#This Row],[Número de Orden]],Cocina[Tiempo de Preparación]))/(60*24)),"h:mm")</f>
        <v>0:18</v>
      </c>
      <c r="R346" s="3">
        <f>MAX((Sala[[#This Row],[Tiempo de permanencia]]-Sala[[#This Row],[Tiempo de preparación (h)]]),0)</f>
        <v>0.1236111111111111</v>
      </c>
      <c r="S346" s="8">
        <f>SUMIF(Cocina[Número de Orden],Sala[[#This Row],[Número de Orden]],Cocina[Ganancia bruta])</f>
        <v>38</v>
      </c>
      <c r="T346" s="8">
        <f>SUMIF(Cocina[Número de Orden],Sala[[#This Row],[Número de Orden]],Cocina[Costo Unitario])</f>
        <v>11</v>
      </c>
      <c r="U346" s="2">
        <f>Sala[[#This Row],[Fecha de Salida]]</f>
        <v>45020</v>
      </c>
      <c r="V346" s="7" t="str">
        <f>TEXT(Sala[[#This Row],[Fecha factura]],"dddd")</f>
        <v>martes</v>
      </c>
      <c r="W346" t="str">
        <f>IF(Sala[[#This Row],[Tiempo de degustación]]&gt;0,"Sí","No")</f>
        <v>Sí</v>
      </c>
      <c r="X346" t="str">
        <f>IF(Sala[[#This Row],[Cobrada]]="Sí",Sala[[#This Row],[Método de Pago]],"Impago")</f>
        <v>Tarjeta de crédito</v>
      </c>
      <c r="Y346">
        <f>IF(Sala[[#This Row],[Cobrada]]="Sí",Sala[[#This Row],[Propina]],0)</f>
        <v>13.98</v>
      </c>
      <c r="Z346">
        <f>(IF(Sala[[#This Row],[Cobrada]]="Sí",Sala[[#This Row],[Monto total]],0))+Sala[[#This Row],[Propina real]]</f>
        <v>51.980000000000004</v>
      </c>
    </row>
    <row r="347" spans="1:26" x14ac:dyDescent="0.25">
      <c r="A347">
        <v>1</v>
      </c>
      <c r="B347" t="s">
        <v>350</v>
      </c>
      <c r="C347">
        <v>5</v>
      </c>
      <c r="D347" s="2">
        <v>45020</v>
      </c>
      <c r="E347" s="3">
        <v>2.7777777777777776E-2</v>
      </c>
      <c r="F347" s="2">
        <v>45020</v>
      </c>
      <c r="G347" s="3">
        <v>0.16388888888888889</v>
      </c>
      <c r="H347" s="1" t="s">
        <v>20</v>
      </c>
      <c r="I347" t="s">
        <v>8</v>
      </c>
      <c r="J347" t="s">
        <v>600</v>
      </c>
      <c r="K347" s="9">
        <v>35.93</v>
      </c>
      <c r="L347" t="s">
        <v>9</v>
      </c>
      <c r="M347">
        <v>346</v>
      </c>
      <c r="N347" t="s">
        <v>59</v>
      </c>
      <c r="O347" s="3">
        <f>(Sala[[#This Row],[Hora de Salida]]-Sala[[#This Row],[Hora de llegada]])+IF(Sala[[#This Row],[Estado de la Mesa]]="Ocupada",(TEXT((15/(60*24)),"h:mm")),(TEXT(0,"h:mm")))</f>
        <v>0.13611111111111113</v>
      </c>
      <c r="P347" s="43">
        <f>(SUMIF(Cocina[Número de Orden],Sala[[#This Row],[Número de Orden]],Cocina[Tiempo de Preparación]))</f>
        <v>22</v>
      </c>
      <c r="Q347" s="5" t="str">
        <f>TEXT(((SUMIF(Cocina[Número de Orden],Sala[[#This Row],[Número de Orden]],Cocina[Tiempo de Preparación]))/(60*24)),"h:mm")</f>
        <v>0:22</v>
      </c>
      <c r="R347" s="3">
        <f>MAX((Sala[[#This Row],[Tiempo de permanencia]]-Sala[[#This Row],[Tiempo de preparación (h)]]),0)</f>
        <v>0.12083333333333335</v>
      </c>
      <c r="S347" s="8">
        <f>SUMIF(Cocina[Número de Orden],Sala[[#This Row],[Número de Orden]],Cocina[Ganancia bruta])</f>
        <v>72</v>
      </c>
      <c r="T347" s="8">
        <f>SUMIF(Cocina[Número de Orden],Sala[[#This Row],[Número de Orden]],Cocina[Costo Unitario])</f>
        <v>22</v>
      </c>
      <c r="U347" s="2">
        <f>Sala[[#This Row],[Fecha de Salida]]</f>
        <v>45020</v>
      </c>
      <c r="V347" s="7" t="str">
        <f>TEXT(Sala[[#This Row],[Fecha factura]],"dddd")</f>
        <v>martes</v>
      </c>
      <c r="W347" t="str">
        <f>IF(Sala[[#This Row],[Tiempo de degustación]]&gt;0,"Sí","No")</f>
        <v>Sí</v>
      </c>
      <c r="X347" t="str">
        <f>IF(Sala[[#This Row],[Cobrada]]="Sí",Sala[[#This Row],[Método de Pago]],"Impago")</f>
        <v>Tarjeta de débito</v>
      </c>
      <c r="Y347">
        <f>IF(Sala[[#This Row],[Cobrada]]="Sí",Sala[[#This Row],[Propina]],0)</f>
        <v>35.93</v>
      </c>
      <c r="Z347">
        <f>(IF(Sala[[#This Row],[Cobrada]]="Sí",Sala[[#This Row],[Monto total]],0))+Sala[[#This Row],[Propina real]]</f>
        <v>107.93</v>
      </c>
    </row>
    <row r="348" spans="1:26" x14ac:dyDescent="0.25">
      <c r="A348">
        <v>7</v>
      </c>
      <c r="B348" t="s">
        <v>351</v>
      </c>
      <c r="C348">
        <v>4</v>
      </c>
      <c r="D348" s="2">
        <v>45020</v>
      </c>
      <c r="E348" s="3">
        <v>7.5694444444444439E-2</v>
      </c>
      <c r="F348" s="2">
        <v>45020</v>
      </c>
      <c r="G348" s="3">
        <v>0.19027777777777777</v>
      </c>
      <c r="H348" s="1" t="s">
        <v>23</v>
      </c>
      <c r="I348" t="s">
        <v>8</v>
      </c>
      <c r="J348" t="s">
        <v>601</v>
      </c>
      <c r="K348" s="9">
        <v>48.52</v>
      </c>
      <c r="L348" t="s">
        <v>9</v>
      </c>
      <c r="M348">
        <v>347</v>
      </c>
      <c r="N348" t="s">
        <v>47</v>
      </c>
      <c r="O348" s="3">
        <f>(Sala[[#This Row],[Hora de Salida]]-Sala[[#This Row],[Hora de llegada]])+IF(Sala[[#This Row],[Estado de la Mesa]]="Ocupada",(TEXT((15/(60*24)),"h:mm")),(TEXT(0,"h:mm")))</f>
        <v>0.11458333333333333</v>
      </c>
      <c r="P348" s="43">
        <f>(SUMIF(Cocina[Número de Orden],Sala[[#This Row],[Número de Orden]],Cocina[Tiempo de Preparación]))</f>
        <v>44</v>
      </c>
      <c r="Q348" s="5" t="str">
        <f>TEXT(((SUMIF(Cocina[Número de Orden],Sala[[#This Row],[Número de Orden]],Cocina[Tiempo de Preparación]))/(60*24)),"h:mm")</f>
        <v>0:44</v>
      </c>
      <c r="R348" s="3">
        <f>MAX((Sala[[#This Row],[Tiempo de permanencia]]-Sala[[#This Row],[Tiempo de preparación (h)]]),0)</f>
        <v>8.4027777777777771E-2</v>
      </c>
      <c r="S348" s="8">
        <f>SUMIF(Cocina[Número de Orden],Sala[[#This Row],[Número de Orden]],Cocina[Ganancia bruta])</f>
        <v>70</v>
      </c>
      <c r="T348" s="8">
        <f>SUMIF(Cocina[Número de Orden],Sala[[#This Row],[Número de Orden]],Cocina[Costo Unitario])</f>
        <v>21</v>
      </c>
      <c r="U348" s="2">
        <f>Sala[[#This Row],[Fecha de Salida]]</f>
        <v>45020</v>
      </c>
      <c r="V348" s="7" t="str">
        <f>TEXT(Sala[[#This Row],[Fecha factura]],"dddd")</f>
        <v>martes</v>
      </c>
      <c r="W348" t="str">
        <f>IF(Sala[[#This Row],[Tiempo de degustación]]&gt;0,"Sí","No")</f>
        <v>Sí</v>
      </c>
      <c r="X348" t="str">
        <f>IF(Sala[[#This Row],[Cobrada]]="Sí",Sala[[#This Row],[Método de Pago]],"Impago")</f>
        <v>Tarjeta de crédito</v>
      </c>
      <c r="Y348">
        <f>IF(Sala[[#This Row],[Cobrada]]="Sí",Sala[[#This Row],[Propina]],0)</f>
        <v>48.52</v>
      </c>
      <c r="Z348">
        <f>(IF(Sala[[#This Row],[Cobrada]]="Sí",Sala[[#This Row],[Monto total]],0))+Sala[[#This Row],[Propina real]]</f>
        <v>118.52000000000001</v>
      </c>
    </row>
    <row r="349" spans="1:26" x14ac:dyDescent="0.25">
      <c r="A349">
        <v>16</v>
      </c>
      <c r="B349" t="s">
        <v>352</v>
      </c>
      <c r="C349">
        <v>2</v>
      </c>
      <c r="D349" s="2">
        <v>45020</v>
      </c>
      <c r="E349" s="3">
        <v>5.347222222222222E-2</v>
      </c>
      <c r="F349" s="2">
        <v>45020</v>
      </c>
      <c r="G349" s="3">
        <v>0.2076388888888889</v>
      </c>
      <c r="H349" s="1" t="s">
        <v>16</v>
      </c>
      <c r="I349" t="s">
        <v>8</v>
      </c>
      <c r="J349" t="s">
        <v>601</v>
      </c>
      <c r="K349" s="9">
        <v>30.78</v>
      </c>
      <c r="L349" t="s">
        <v>28</v>
      </c>
      <c r="M349">
        <v>348</v>
      </c>
      <c r="N349" t="s">
        <v>21</v>
      </c>
      <c r="O349" s="3">
        <f>(Sala[[#This Row],[Hora de Salida]]-Sala[[#This Row],[Hora de llegada]])+IF(Sala[[#This Row],[Estado de la Mesa]]="Ocupada",(TEXT((15/(60*24)),"h:mm")),(TEXT(0,"h:mm")))</f>
        <v>0.16458333333333333</v>
      </c>
      <c r="P349" s="43">
        <f>(SUMIF(Cocina[Número de Orden],Sala[[#This Row],[Número de Orden]],Cocina[Tiempo de Preparación]))</f>
        <v>88</v>
      </c>
      <c r="Q349" s="5" t="str">
        <f>TEXT(((SUMIF(Cocina[Número de Orden],Sala[[#This Row],[Número de Orden]],Cocina[Tiempo de Preparación]))/(60*24)),"h:mm")</f>
        <v>1:28</v>
      </c>
      <c r="R349" s="3">
        <f>MAX((Sala[[#This Row],[Tiempo de permanencia]]-Sala[[#This Row],[Tiempo de preparación (h)]]),0)</f>
        <v>0.10347222222222222</v>
      </c>
      <c r="S349" s="8">
        <f>SUMIF(Cocina[Número de Orden],Sala[[#This Row],[Número de Orden]],Cocina[Ganancia bruta])</f>
        <v>86</v>
      </c>
      <c r="T349" s="8">
        <f>SUMIF(Cocina[Número de Orden],Sala[[#This Row],[Número de Orden]],Cocina[Costo Unitario])</f>
        <v>27</v>
      </c>
      <c r="U349" s="2">
        <f>Sala[[#This Row],[Fecha de Salida]]</f>
        <v>45020</v>
      </c>
      <c r="V349" s="7" t="str">
        <f>TEXT(Sala[[#This Row],[Fecha factura]],"dddd")</f>
        <v>martes</v>
      </c>
      <c r="W349" t="str">
        <f>IF(Sala[[#This Row],[Tiempo de degustación]]&gt;0,"Sí","No")</f>
        <v>Sí</v>
      </c>
      <c r="X349" t="str">
        <f>IF(Sala[[#This Row],[Cobrada]]="Sí",Sala[[#This Row],[Método de Pago]],"Impago")</f>
        <v>Tarjeta de crédito</v>
      </c>
      <c r="Y349">
        <f>IF(Sala[[#This Row],[Cobrada]]="Sí",Sala[[#This Row],[Propina]],0)</f>
        <v>30.78</v>
      </c>
      <c r="Z349">
        <f>(IF(Sala[[#This Row],[Cobrada]]="Sí",Sala[[#This Row],[Monto total]],0))+Sala[[#This Row],[Propina real]]</f>
        <v>116.78</v>
      </c>
    </row>
    <row r="350" spans="1:26" x14ac:dyDescent="0.25">
      <c r="A350">
        <v>13</v>
      </c>
      <c r="B350" t="s">
        <v>353</v>
      </c>
      <c r="C350">
        <v>1</v>
      </c>
      <c r="D350" s="2">
        <v>45020</v>
      </c>
      <c r="E350" s="3">
        <v>0.15833333333333333</v>
      </c>
      <c r="F350" s="2">
        <v>45020</v>
      </c>
      <c r="G350" s="3">
        <v>0.31319444444444444</v>
      </c>
      <c r="H350" s="1" t="s">
        <v>20</v>
      </c>
      <c r="I350" t="s">
        <v>12</v>
      </c>
      <c r="J350" t="s">
        <v>601</v>
      </c>
      <c r="K350" s="9">
        <v>40.630000000000003</v>
      </c>
      <c r="L350" t="s">
        <v>28</v>
      </c>
      <c r="M350">
        <v>349</v>
      </c>
      <c r="N350" t="s">
        <v>18</v>
      </c>
      <c r="O350" s="3">
        <f>(Sala[[#This Row],[Hora de Salida]]-Sala[[#This Row],[Hora de llegada]])+IF(Sala[[#This Row],[Estado de la Mesa]]="Ocupada",(TEXT((15/(60*24)),"h:mm")),(TEXT(0,"h:mm")))</f>
        <v>0.16527777777777777</v>
      </c>
      <c r="P350" s="43">
        <f>(SUMIF(Cocina[Número de Orden],Sala[[#This Row],[Número de Orden]],Cocina[Tiempo de Preparación]))</f>
        <v>85</v>
      </c>
      <c r="Q350" s="5" t="str">
        <f>TEXT(((SUMIF(Cocina[Número de Orden],Sala[[#This Row],[Número de Orden]],Cocina[Tiempo de Preparación]))/(60*24)),"h:mm")</f>
        <v>1:25</v>
      </c>
      <c r="R350" s="3">
        <f>MAX((Sala[[#This Row],[Tiempo de permanencia]]-Sala[[#This Row],[Tiempo de preparación (h)]]),0)</f>
        <v>0.10625</v>
      </c>
      <c r="S350" s="8">
        <f>SUMIF(Cocina[Número de Orden],Sala[[#This Row],[Número de Orden]],Cocina[Ganancia bruta])</f>
        <v>152</v>
      </c>
      <c r="T350" s="8">
        <f>SUMIF(Cocina[Número de Orden],Sala[[#This Row],[Número de Orden]],Cocina[Costo Unitario])</f>
        <v>50</v>
      </c>
      <c r="U350" s="2">
        <f>Sala[[#This Row],[Fecha de Salida]]</f>
        <v>45020</v>
      </c>
      <c r="V350" s="7" t="str">
        <f>TEXT(Sala[[#This Row],[Fecha factura]],"dddd")</f>
        <v>martes</v>
      </c>
      <c r="W350" t="str">
        <f>IF(Sala[[#This Row],[Tiempo de degustación]]&gt;0,"Sí","No")</f>
        <v>Sí</v>
      </c>
      <c r="X350" t="str">
        <f>IF(Sala[[#This Row],[Cobrada]]="Sí",Sala[[#This Row],[Método de Pago]],"Impago")</f>
        <v>Tarjeta de crédito</v>
      </c>
      <c r="Y350">
        <f>IF(Sala[[#This Row],[Cobrada]]="Sí",Sala[[#This Row],[Propina]],0)</f>
        <v>40.630000000000003</v>
      </c>
      <c r="Z350">
        <f>(IF(Sala[[#This Row],[Cobrada]]="Sí",Sala[[#This Row],[Monto total]],0))+Sala[[#This Row],[Propina real]]</f>
        <v>192.63</v>
      </c>
    </row>
    <row r="351" spans="1:26" x14ac:dyDescent="0.25">
      <c r="A351">
        <v>2</v>
      </c>
      <c r="B351" t="s">
        <v>354</v>
      </c>
      <c r="C351">
        <v>6</v>
      </c>
      <c r="D351" s="2">
        <v>45020</v>
      </c>
      <c r="E351" s="3">
        <v>2.4305555555555556E-2</v>
      </c>
      <c r="F351" s="2">
        <v>45020</v>
      </c>
      <c r="G351" s="3">
        <v>0.12430555555555556</v>
      </c>
      <c r="H351" s="1" t="s">
        <v>20</v>
      </c>
      <c r="I351" t="s">
        <v>12</v>
      </c>
      <c r="J351" t="s">
        <v>600</v>
      </c>
      <c r="K351" s="9">
        <v>36.21</v>
      </c>
      <c r="L351" t="s">
        <v>9</v>
      </c>
      <c r="M351">
        <v>350</v>
      </c>
      <c r="N351" t="s">
        <v>14</v>
      </c>
      <c r="O351" s="3">
        <f>(Sala[[#This Row],[Hora de Salida]]-Sala[[#This Row],[Hora de llegada]])+IF(Sala[[#This Row],[Estado de la Mesa]]="Ocupada",(TEXT((15/(60*24)),"h:mm")),(TEXT(0,"h:mm")))</f>
        <v>0.1</v>
      </c>
      <c r="P351" s="43">
        <f>(SUMIF(Cocina[Número de Orden],Sala[[#This Row],[Número de Orden]],Cocina[Tiempo de Preparación]))</f>
        <v>109</v>
      </c>
      <c r="Q351" s="5" t="str">
        <f>TEXT(((SUMIF(Cocina[Número de Orden],Sala[[#This Row],[Número de Orden]],Cocina[Tiempo de Preparación]))/(60*24)),"h:mm")</f>
        <v>1:49</v>
      </c>
      <c r="R351" s="3">
        <f>MAX((Sala[[#This Row],[Tiempo de permanencia]]-Sala[[#This Row],[Tiempo de preparación (h)]]),0)</f>
        <v>2.4305555555555566E-2</v>
      </c>
      <c r="S351" s="8">
        <f>SUMIF(Cocina[Número de Orden],Sala[[#This Row],[Número de Orden]],Cocina[Ganancia bruta])</f>
        <v>143</v>
      </c>
      <c r="T351" s="8">
        <f>SUMIF(Cocina[Número de Orden],Sala[[#This Row],[Número de Orden]],Cocina[Costo Unitario])</f>
        <v>35</v>
      </c>
      <c r="U351" s="2">
        <f>Sala[[#This Row],[Fecha de Salida]]</f>
        <v>45020</v>
      </c>
      <c r="V351" s="7" t="str">
        <f>TEXT(Sala[[#This Row],[Fecha factura]],"dddd")</f>
        <v>martes</v>
      </c>
      <c r="W351" t="str">
        <f>IF(Sala[[#This Row],[Tiempo de degustación]]&gt;0,"Sí","No")</f>
        <v>Sí</v>
      </c>
      <c r="X351" t="str">
        <f>IF(Sala[[#This Row],[Cobrada]]="Sí",Sala[[#This Row],[Método de Pago]],"Impago")</f>
        <v>Tarjeta de débito</v>
      </c>
      <c r="Y351">
        <f>IF(Sala[[#This Row],[Cobrada]]="Sí",Sala[[#This Row],[Propina]],0)</f>
        <v>36.21</v>
      </c>
      <c r="Z351">
        <f>(IF(Sala[[#This Row],[Cobrada]]="Sí",Sala[[#This Row],[Monto total]],0))+Sala[[#This Row],[Propina real]]</f>
        <v>179.21</v>
      </c>
    </row>
    <row r="352" spans="1:26" x14ac:dyDescent="0.25">
      <c r="A352">
        <v>1</v>
      </c>
      <c r="B352" t="s">
        <v>355</v>
      </c>
      <c r="C352">
        <v>6</v>
      </c>
      <c r="D352" s="2">
        <v>45020</v>
      </c>
      <c r="E352" s="3">
        <v>0.16111111111111112</v>
      </c>
      <c r="F352" s="2">
        <v>45020</v>
      </c>
      <c r="G352" s="3">
        <v>0.25624999999999998</v>
      </c>
      <c r="H352" s="1" t="s">
        <v>11</v>
      </c>
      <c r="I352" t="s">
        <v>12</v>
      </c>
      <c r="J352" t="s">
        <v>601</v>
      </c>
      <c r="K352" s="9">
        <v>48.93</v>
      </c>
      <c r="L352" t="s">
        <v>17</v>
      </c>
      <c r="M352">
        <v>351</v>
      </c>
      <c r="N352" t="s">
        <v>18</v>
      </c>
      <c r="O352" s="3">
        <f>(Sala[[#This Row],[Hora de Salida]]-Sala[[#This Row],[Hora de llegada]])+IF(Sala[[#This Row],[Estado de la Mesa]]="Ocupada",(TEXT((15/(60*24)),"h:mm")),(TEXT(0,"h:mm")))</f>
        <v>9.5138888888888856E-2</v>
      </c>
      <c r="P352" s="43">
        <f>(SUMIF(Cocina[Número de Orden],Sala[[#This Row],[Número de Orden]],Cocina[Tiempo de Preparación]))</f>
        <v>25</v>
      </c>
      <c r="Q352" s="5" t="str">
        <f>TEXT(((SUMIF(Cocina[Número de Orden],Sala[[#This Row],[Número de Orden]],Cocina[Tiempo de Preparación]))/(60*24)),"h:mm")</f>
        <v>0:25</v>
      </c>
      <c r="R352" s="3">
        <f>MAX((Sala[[#This Row],[Tiempo de permanencia]]-Sala[[#This Row],[Tiempo de preparación (h)]]),0)</f>
        <v>7.7777777777777751E-2</v>
      </c>
      <c r="S352" s="8">
        <f>SUMIF(Cocina[Número de Orden],Sala[[#This Row],[Número de Orden]],Cocina[Ganancia bruta])</f>
        <v>201</v>
      </c>
      <c r="T352" s="8">
        <f>SUMIF(Cocina[Número de Orden],Sala[[#This Row],[Número de Orden]],Cocina[Costo Unitario])</f>
        <v>40</v>
      </c>
      <c r="U352" s="2">
        <f>Sala[[#This Row],[Fecha de Salida]]</f>
        <v>45020</v>
      </c>
      <c r="V352" s="7" t="str">
        <f>TEXT(Sala[[#This Row],[Fecha factura]],"dddd")</f>
        <v>martes</v>
      </c>
      <c r="W352" t="str">
        <f>IF(Sala[[#This Row],[Tiempo de degustación]]&gt;0,"Sí","No")</f>
        <v>Sí</v>
      </c>
      <c r="X352" t="str">
        <f>IF(Sala[[#This Row],[Cobrada]]="Sí",Sala[[#This Row],[Método de Pago]],"Impago")</f>
        <v>Tarjeta de crédito</v>
      </c>
      <c r="Y352">
        <f>IF(Sala[[#This Row],[Cobrada]]="Sí",Sala[[#This Row],[Propina]],0)</f>
        <v>48.93</v>
      </c>
      <c r="Z352">
        <f>(IF(Sala[[#This Row],[Cobrada]]="Sí",Sala[[#This Row],[Monto total]],0))+Sala[[#This Row],[Propina real]]</f>
        <v>249.93</v>
      </c>
    </row>
    <row r="353" spans="1:26" x14ac:dyDescent="0.25">
      <c r="A353">
        <v>1</v>
      </c>
      <c r="B353" t="s">
        <v>39</v>
      </c>
      <c r="C353">
        <v>3</v>
      </c>
      <c r="D353" s="2">
        <v>45020</v>
      </c>
      <c r="E353" s="3">
        <v>1.1805555555555555E-2</v>
      </c>
      <c r="F353" s="2">
        <v>45020</v>
      </c>
      <c r="G353" s="3">
        <v>0.12013888888888889</v>
      </c>
      <c r="H353" s="1" t="s">
        <v>7</v>
      </c>
      <c r="I353" t="s">
        <v>12</v>
      </c>
      <c r="J353" t="s">
        <v>13</v>
      </c>
      <c r="K353" s="9">
        <v>17.55</v>
      </c>
      <c r="L353" t="s">
        <v>9</v>
      </c>
      <c r="M353">
        <v>352</v>
      </c>
      <c r="N353" t="s">
        <v>21</v>
      </c>
      <c r="O353" s="3">
        <f>(Sala[[#This Row],[Hora de Salida]]-Sala[[#This Row],[Hora de llegada]])+IF(Sala[[#This Row],[Estado de la Mesa]]="Ocupada",(TEXT((15/(60*24)),"h:mm")),(TEXT(0,"h:mm")))</f>
        <v>0.10833333333333334</v>
      </c>
      <c r="P353" s="43">
        <f>(SUMIF(Cocina[Número de Orden],Sala[[#This Row],[Número de Orden]],Cocina[Tiempo de Preparación]))</f>
        <v>7</v>
      </c>
      <c r="Q353" s="5" t="str">
        <f>TEXT(((SUMIF(Cocina[Número de Orden],Sala[[#This Row],[Número de Orden]],Cocina[Tiempo de Preparación]))/(60*24)),"h:mm")</f>
        <v>0:07</v>
      </c>
      <c r="R353" s="3">
        <f>MAX((Sala[[#This Row],[Tiempo de permanencia]]-Sala[[#This Row],[Tiempo de preparación (h)]]),0)</f>
        <v>0.10347222222222223</v>
      </c>
      <c r="S353" s="8">
        <f>SUMIF(Cocina[Número de Orden],Sala[[#This Row],[Número de Orden]],Cocina[Ganancia bruta])</f>
        <v>99</v>
      </c>
      <c r="T353" s="8">
        <f>SUMIF(Cocina[Número de Orden],Sala[[#This Row],[Número de Orden]],Cocina[Costo Unitario])</f>
        <v>20</v>
      </c>
      <c r="U353" s="2">
        <f>Sala[[#This Row],[Fecha de Salida]]</f>
        <v>45020</v>
      </c>
      <c r="V353" s="7" t="str">
        <f>TEXT(Sala[[#This Row],[Fecha factura]],"dddd")</f>
        <v>martes</v>
      </c>
      <c r="W353" t="str">
        <f>IF(Sala[[#This Row],[Tiempo de degustación]]&gt;0,"Sí","No")</f>
        <v>Sí</v>
      </c>
      <c r="X353" t="str">
        <f>IF(Sala[[#This Row],[Cobrada]]="Sí",Sala[[#This Row],[Método de Pago]],"Impago")</f>
        <v>Efectivo</v>
      </c>
      <c r="Y353">
        <f>IF(Sala[[#This Row],[Cobrada]]="Sí",Sala[[#This Row],[Propina]],0)</f>
        <v>17.55</v>
      </c>
      <c r="Z353">
        <f>(IF(Sala[[#This Row],[Cobrada]]="Sí",Sala[[#This Row],[Monto total]],0))+Sala[[#This Row],[Propina real]]</f>
        <v>116.55</v>
      </c>
    </row>
    <row r="354" spans="1:26" x14ac:dyDescent="0.25">
      <c r="A354">
        <v>7</v>
      </c>
      <c r="B354" t="s">
        <v>356</v>
      </c>
      <c r="C354">
        <v>5</v>
      </c>
      <c r="D354" s="2">
        <v>45020</v>
      </c>
      <c r="E354" s="3">
        <v>0.15694444444444444</v>
      </c>
      <c r="F354" s="2">
        <v>45020</v>
      </c>
      <c r="G354" s="3">
        <v>0.31666666666666665</v>
      </c>
      <c r="H354" s="1" t="s">
        <v>20</v>
      </c>
      <c r="I354" t="s">
        <v>25</v>
      </c>
      <c r="J354" t="s">
        <v>601</v>
      </c>
      <c r="K354" s="9">
        <v>27.37</v>
      </c>
      <c r="L354" t="s">
        <v>9</v>
      </c>
      <c r="M354">
        <v>353</v>
      </c>
      <c r="N354" t="s">
        <v>18</v>
      </c>
      <c r="O354" s="3">
        <f>(Sala[[#This Row],[Hora de Salida]]-Sala[[#This Row],[Hora de llegada]])+IF(Sala[[#This Row],[Estado de la Mesa]]="Ocupada",(TEXT((15/(60*24)),"h:mm")),(TEXT(0,"h:mm")))</f>
        <v>0.15972222222222221</v>
      </c>
      <c r="P354" s="43">
        <f>(SUMIF(Cocina[Número de Orden],Sala[[#This Row],[Número de Orden]],Cocina[Tiempo de Preparación]))</f>
        <v>128</v>
      </c>
      <c r="Q354" s="5" t="str">
        <f>TEXT(((SUMIF(Cocina[Número de Orden],Sala[[#This Row],[Número de Orden]],Cocina[Tiempo de Preparación]))/(60*24)),"h:mm")</f>
        <v>2:08</v>
      </c>
      <c r="R354" s="3">
        <f>MAX((Sala[[#This Row],[Tiempo de permanencia]]-Sala[[#This Row],[Tiempo de preparación (h)]]),0)</f>
        <v>7.0833333333333318E-2</v>
      </c>
      <c r="S354" s="8">
        <f>SUMIF(Cocina[Número de Orden],Sala[[#This Row],[Número de Orden]],Cocina[Ganancia bruta])</f>
        <v>212</v>
      </c>
      <c r="T354" s="8">
        <f>SUMIF(Cocina[Número de Orden],Sala[[#This Row],[Número de Orden]],Cocina[Costo Unitario])</f>
        <v>72</v>
      </c>
      <c r="U354" s="2">
        <f>Sala[[#This Row],[Fecha de Salida]]</f>
        <v>45020</v>
      </c>
      <c r="V354" s="7" t="str">
        <f>TEXT(Sala[[#This Row],[Fecha factura]],"dddd")</f>
        <v>martes</v>
      </c>
      <c r="W354" t="str">
        <f>IF(Sala[[#This Row],[Tiempo de degustación]]&gt;0,"Sí","No")</f>
        <v>Sí</v>
      </c>
      <c r="X354" t="str">
        <f>IF(Sala[[#This Row],[Cobrada]]="Sí",Sala[[#This Row],[Método de Pago]],"Impago")</f>
        <v>Tarjeta de crédito</v>
      </c>
      <c r="Y354">
        <f>IF(Sala[[#This Row],[Cobrada]]="Sí",Sala[[#This Row],[Propina]],0)</f>
        <v>27.37</v>
      </c>
      <c r="Z354">
        <f>(IF(Sala[[#This Row],[Cobrada]]="Sí",Sala[[#This Row],[Monto total]],0))+Sala[[#This Row],[Propina real]]</f>
        <v>239.37</v>
      </c>
    </row>
    <row r="355" spans="1:26" x14ac:dyDescent="0.25">
      <c r="A355">
        <v>12</v>
      </c>
      <c r="B355" t="s">
        <v>357</v>
      </c>
      <c r="C355">
        <v>6</v>
      </c>
      <c r="D355" s="2">
        <v>45020</v>
      </c>
      <c r="E355" s="3">
        <v>1.8055555555555554E-2</v>
      </c>
      <c r="F355" s="2">
        <v>45020</v>
      </c>
      <c r="G355" s="3">
        <v>0.14166666666666666</v>
      </c>
      <c r="H355" s="1" t="s">
        <v>20</v>
      </c>
      <c r="I355" t="s">
        <v>12</v>
      </c>
      <c r="J355" t="s">
        <v>601</v>
      </c>
      <c r="K355" s="9">
        <v>29.58</v>
      </c>
      <c r="L355" t="s">
        <v>28</v>
      </c>
      <c r="M355">
        <v>354</v>
      </c>
      <c r="N355" t="s">
        <v>21</v>
      </c>
      <c r="O355" s="3">
        <f>(Sala[[#This Row],[Hora de Salida]]-Sala[[#This Row],[Hora de llegada]])+IF(Sala[[#This Row],[Estado de la Mesa]]="Ocupada",(TEXT((15/(60*24)),"h:mm")),(TEXT(0,"h:mm")))</f>
        <v>0.13402777777777777</v>
      </c>
      <c r="P355" s="43">
        <f>(SUMIF(Cocina[Número de Orden],Sala[[#This Row],[Número de Orden]],Cocina[Tiempo de Preparación]))</f>
        <v>137</v>
      </c>
      <c r="Q355" s="5" t="str">
        <f>TEXT(((SUMIF(Cocina[Número de Orden],Sala[[#This Row],[Número de Orden]],Cocina[Tiempo de Preparación]))/(60*24)),"h:mm")</f>
        <v>2:17</v>
      </c>
      <c r="R355" s="3">
        <f>MAX((Sala[[#This Row],[Tiempo de permanencia]]-Sala[[#This Row],[Tiempo de preparación (h)]]),0)</f>
        <v>3.888888888888889E-2</v>
      </c>
      <c r="S355" s="8">
        <f>SUMIF(Cocina[Número de Orden],Sala[[#This Row],[Número de Orden]],Cocina[Ganancia bruta])</f>
        <v>181</v>
      </c>
      <c r="T355" s="8">
        <f>SUMIF(Cocina[Número de Orden],Sala[[#This Row],[Número de Orden]],Cocina[Costo Unitario])</f>
        <v>54</v>
      </c>
      <c r="U355" s="2">
        <f>Sala[[#This Row],[Fecha de Salida]]</f>
        <v>45020</v>
      </c>
      <c r="V355" s="7" t="str">
        <f>TEXT(Sala[[#This Row],[Fecha factura]],"dddd")</f>
        <v>martes</v>
      </c>
      <c r="W355" t="str">
        <f>IF(Sala[[#This Row],[Tiempo de degustación]]&gt;0,"Sí","No")</f>
        <v>Sí</v>
      </c>
      <c r="X355" t="str">
        <f>IF(Sala[[#This Row],[Cobrada]]="Sí",Sala[[#This Row],[Método de Pago]],"Impago")</f>
        <v>Tarjeta de crédito</v>
      </c>
      <c r="Y355">
        <f>IF(Sala[[#This Row],[Cobrada]]="Sí",Sala[[#This Row],[Propina]],0)</f>
        <v>29.58</v>
      </c>
      <c r="Z355">
        <f>(IF(Sala[[#This Row],[Cobrada]]="Sí",Sala[[#This Row],[Monto total]],0))+Sala[[#This Row],[Propina real]]</f>
        <v>210.57999999999998</v>
      </c>
    </row>
    <row r="356" spans="1:26" x14ac:dyDescent="0.25">
      <c r="A356">
        <v>4</v>
      </c>
      <c r="B356" t="s">
        <v>152</v>
      </c>
      <c r="C356">
        <v>4</v>
      </c>
      <c r="D356" s="2">
        <v>45020</v>
      </c>
      <c r="E356" s="3">
        <v>7.013888888888889E-2</v>
      </c>
      <c r="F356" s="2">
        <v>45020</v>
      </c>
      <c r="G356" s="3">
        <v>0.21319444444444444</v>
      </c>
      <c r="H356" s="1" t="s">
        <v>20</v>
      </c>
      <c r="I356" t="s">
        <v>12</v>
      </c>
      <c r="J356" t="s">
        <v>601</v>
      </c>
      <c r="K356" s="9">
        <v>30.53</v>
      </c>
      <c r="L356" t="s">
        <v>9</v>
      </c>
      <c r="M356">
        <v>355</v>
      </c>
      <c r="N356" t="s">
        <v>594</v>
      </c>
      <c r="O356" s="3">
        <f>(Sala[[#This Row],[Hora de Salida]]-Sala[[#This Row],[Hora de llegada]])+IF(Sala[[#This Row],[Estado de la Mesa]]="Ocupada",(TEXT((15/(60*24)),"h:mm")),(TEXT(0,"h:mm")))</f>
        <v>0.14305555555555555</v>
      </c>
      <c r="P356" s="43">
        <f>(SUMIF(Cocina[Número de Orden],Sala[[#This Row],[Número de Orden]],Cocina[Tiempo de Preparación]))</f>
        <v>7</v>
      </c>
      <c r="Q356" s="5" t="str">
        <f>TEXT(((SUMIF(Cocina[Número de Orden],Sala[[#This Row],[Número de Orden]],Cocina[Tiempo de Preparación]))/(60*24)),"h:mm")</f>
        <v>0:07</v>
      </c>
      <c r="R356" s="3">
        <f>MAX((Sala[[#This Row],[Tiempo de permanencia]]-Sala[[#This Row],[Tiempo de preparación (h)]]),0)</f>
        <v>0.13819444444444443</v>
      </c>
      <c r="S356" s="8">
        <f>SUMIF(Cocina[Número de Orden],Sala[[#This Row],[Número de Orden]],Cocina[Ganancia bruta])</f>
        <v>26</v>
      </c>
      <c r="T356" s="8">
        <f>SUMIF(Cocina[Número de Orden],Sala[[#This Row],[Número de Orden]],Cocina[Costo Unitario])</f>
        <v>15</v>
      </c>
      <c r="U356" s="2">
        <f>Sala[[#This Row],[Fecha de Salida]]</f>
        <v>45020</v>
      </c>
      <c r="V356" s="7" t="str">
        <f>TEXT(Sala[[#This Row],[Fecha factura]],"dddd")</f>
        <v>martes</v>
      </c>
      <c r="W356" t="str">
        <f>IF(Sala[[#This Row],[Tiempo de degustación]]&gt;0,"Sí","No")</f>
        <v>Sí</v>
      </c>
      <c r="X356" t="str">
        <f>IF(Sala[[#This Row],[Cobrada]]="Sí",Sala[[#This Row],[Método de Pago]],"Impago")</f>
        <v>Tarjeta de crédito</v>
      </c>
      <c r="Y356">
        <f>IF(Sala[[#This Row],[Cobrada]]="Sí",Sala[[#This Row],[Propina]],0)</f>
        <v>30.53</v>
      </c>
      <c r="Z356">
        <f>(IF(Sala[[#This Row],[Cobrada]]="Sí",Sala[[#This Row],[Monto total]],0))+Sala[[#This Row],[Propina real]]</f>
        <v>56.53</v>
      </c>
    </row>
    <row r="357" spans="1:26" x14ac:dyDescent="0.25">
      <c r="A357">
        <v>1</v>
      </c>
      <c r="B357" t="s">
        <v>358</v>
      </c>
      <c r="C357">
        <v>1</v>
      </c>
      <c r="D357" s="2">
        <v>45020</v>
      </c>
      <c r="E357" s="3">
        <v>8.3333333333333332E-3</v>
      </c>
      <c r="F357" s="2">
        <v>45020</v>
      </c>
      <c r="G357" s="3">
        <v>9.583333333333334E-2</v>
      </c>
      <c r="H357" s="1" t="s">
        <v>7</v>
      </c>
      <c r="I357" t="s">
        <v>12</v>
      </c>
      <c r="J357" t="s">
        <v>601</v>
      </c>
      <c r="K357" s="9">
        <v>28.92</v>
      </c>
      <c r="L357" t="s">
        <v>28</v>
      </c>
      <c r="M357">
        <v>356</v>
      </c>
      <c r="N357" t="s">
        <v>18</v>
      </c>
      <c r="O357" s="3">
        <f>(Sala[[#This Row],[Hora de Salida]]-Sala[[#This Row],[Hora de llegada]])+IF(Sala[[#This Row],[Estado de la Mesa]]="Ocupada",(TEXT((15/(60*24)),"h:mm")),(TEXT(0,"h:mm")))</f>
        <v>9.791666666666668E-2</v>
      </c>
      <c r="P357" s="43">
        <f>(SUMIF(Cocina[Número de Orden],Sala[[#This Row],[Número de Orden]],Cocina[Tiempo de Preparación]))</f>
        <v>7</v>
      </c>
      <c r="Q357" s="5" t="str">
        <f>TEXT(((SUMIF(Cocina[Número de Orden],Sala[[#This Row],[Número de Orden]],Cocina[Tiempo de Preparación]))/(60*24)),"h:mm")</f>
        <v>0:07</v>
      </c>
      <c r="R357" s="3">
        <f>MAX((Sala[[#This Row],[Tiempo de permanencia]]-Sala[[#This Row],[Tiempo de preparación (h)]]),0)</f>
        <v>9.3055555555555572E-2</v>
      </c>
      <c r="S357" s="8">
        <f>SUMIF(Cocina[Número de Orden],Sala[[#This Row],[Número de Orden]],Cocina[Ganancia bruta])</f>
        <v>36</v>
      </c>
      <c r="T357" s="8">
        <f>SUMIF(Cocina[Número de Orden],Sala[[#This Row],[Número de Orden]],Cocina[Costo Unitario])</f>
        <v>10</v>
      </c>
      <c r="U357" s="2">
        <f>Sala[[#This Row],[Fecha de Salida]]</f>
        <v>45020</v>
      </c>
      <c r="V357" s="7" t="str">
        <f>TEXT(Sala[[#This Row],[Fecha factura]],"dddd")</f>
        <v>martes</v>
      </c>
      <c r="W357" t="str">
        <f>IF(Sala[[#This Row],[Tiempo de degustación]]&gt;0,"Sí","No")</f>
        <v>Sí</v>
      </c>
      <c r="X357" t="str">
        <f>IF(Sala[[#This Row],[Cobrada]]="Sí",Sala[[#This Row],[Método de Pago]],"Impago")</f>
        <v>Tarjeta de crédito</v>
      </c>
      <c r="Y357">
        <f>IF(Sala[[#This Row],[Cobrada]]="Sí",Sala[[#This Row],[Propina]],0)</f>
        <v>28.92</v>
      </c>
      <c r="Z357">
        <f>(IF(Sala[[#This Row],[Cobrada]]="Sí",Sala[[#This Row],[Monto total]],0))+Sala[[#This Row],[Propina real]]</f>
        <v>64.92</v>
      </c>
    </row>
    <row r="358" spans="1:26" x14ac:dyDescent="0.25">
      <c r="A358">
        <v>17</v>
      </c>
      <c r="B358" t="s">
        <v>359</v>
      </c>
      <c r="C358">
        <v>2</v>
      </c>
      <c r="D358" s="2">
        <v>45020</v>
      </c>
      <c r="E358" s="3">
        <v>5.486111111111111E-2</v>
      </c>
      <c r="F358" s="2">
        <v>45020</v>
      </c>
      <c r="G358" s="3">
        <v>0.18472222222222223</v>
      </c>
      <c r="H358" s="1" t="s">
        <v>7</v>
      </c>
      <c r="I358" t="s">
        <v>12</v>
      </c>
      <c r="J358" t="s">
        <v>600</v>
      </c>
      <c r="K358" s="9">
        <v>26.87</v>
      </c>
      <c r="L358" t="s">
        <v>28</v>
      </c>
      <c r="M358">
        <v>357</v>
      </c>
      <c r="N358" t="s">
        <v>47</v>
      </c>
      <c r="O358" s="3">
        <f>(Sala[[#This Row],[Hora de Salida]]-Sala[[#This Row],[Hora de llegada]])+IF(Sala[[#This Row],[Estado de la Mesa]]="Ocupada",(TEXT((15/(60*24)),"h:mm")),(TEXT(0,"h:mm")))</f>
        <v>0.14027777777777778</v>
      </c>
      <c r="P358" s="43">
        <f>(SUMIF(Cocina[Número de Orden],Sala[[#This Row],[Número de Orden]],Cocina[Tiempo de Preparación]))</f>
        <v>96</v>
      </c>
      <c r="Q358" s="5" t="str">
        <f>TEXT(((SUMIF(Cocina[Número de Orden],Sala[[#This Row],[Número de Orden]],Cocina[Tiempo de Preparación]))/(60*24)),"h:mm")</f>
        <v>1:36</v>
      </c>
      <c r="R358" s="3">
        <f>MAX((Sala[[#This Row],[Tiempo de permanencia]]-Sala[[#This Row],[Tiempo de preparación (h)]]),0)</f>
        <v>7.3611111111111113E-2</v>
      </c>
      <c r="S358" s="8">
        <f>SUMIF(Cocina[Número de Orden],Sala[[#This Row],[Número de Orden]],Cocina[Ganancia bruta])</f>
        <v>168</v>
      </c>
      <c r="T358" s="8">
        <f>SUMIF(Cocina[Número de Orden],Sala[[#This Row],[Número de Orden]],Cocina[Costo Unitario])</f>
        <v>56</v>
      </c>
      <c r="U358" s="2">
        <f>Sala[[#This Row],[Fecha de Salida]]</f>
        <v>45020</v>
      </c>
      <c r="V358" s="7" t="str">
        <f>TEXT(Sala[[#This Row],[Fecha factura]],"dddd")</f>
        <v>martes</v>
      </c>
      <c r="W358" t="str">
        <f>IF(Sala[[#This Row],[Tiempo de degustación]]&gt;0,"Sí","No")</f>
        <v>Sí</v>
      </c>
      <c r="X358" t="str">
        <f>IF(Sala[[#This Row],[Cobrada]]="Sí",Sala[[#This Row],[Método de Pago]],"Impago")</f>
        <v>Tarjeta de débito</v>
      </c>
      <c r="Y358">
        <f>IF(Sala[[#This Row],[Cobrada]]="Sí",Sala[[#This Row],[Propina]],0)</f>
        <v>26.87</v>
      </c>
      <c r="Z358">
        <f>(IF(Sala[[#This Row],[Cobrada]]="Sí",Sala[[#This Row],[Monto total]],0))+Sala[[#This Row],[Propina real]]</f>
        <v>194.87</v>
      </c>
    </row>
    <row r="359" spans="1:26" x14ac:dyDescent="0.25">
      <c r="A359">
        <v>13</v>
      </c>
      <c r="B359" t="s">
        <v>297</v>
      </c>
      <c r="C359">
        <v>5</v>
      </c>
      <c r="D359" s="2">
        <v>45020</v>
      </c>
      <c r="E359" s="3">
        <v>0.10902777777777778</v>
      </c>
      <c r="F359" s="2">
        <v>45020</v>
      </c>
      <c r="G359" s="3">
        <v>0.24791666666666667</v>
      </c>
      <c r="H359" s="1" t="s">
        <v>20</v>
      </c>
      <c r="I359" t="s">
        <v>25</v>
      </c>
      <c r="J359" t="s">
        <v>601</v>
      </c>
      <c r="K359" s="9">
        <v>42.1</v>
      </c>
      <c r="L359" t="s">
        <v>9</v>
      </c>
      <c r="M359">
        <v>358</v>
      </c>
      <c r="N359" t="s">
        <v>34</v>
      </c>
      <c r="O359" s="3">
        <f>(Sala[[#This Row],[Hora de Salida]]-Sala[[#This Row],[Hora de llegada]])+IF(Sala[[#This Row],[Estado de la Mesa]]="Ocupada",(TEXT((15/(60*24)),"h:mm")),(TEXT(0,"h:mm")))</f>
        <v>0.1388888888888889</v>
      </c>
      <c r="P359" s="43">
        <f>(SUMIF(Cocina[Número de Orden],Sala[[#This Row],[Número de Orden]],Cocina[Tiempo de Preparación]))</f>
        <v>152</v>
      </c>
      <c r="Q359" s="5" t="str">
        <f>TEXT(((SUMIF(Cocina[Número de Orden],Sala[[#This Row],[Número de Orden]],Cocina[Tiempo de Preparación]))/(60*24)),"h:mm")</f>
        <v>2:32</v>
      </c>
      <c r="R359" s="3">
        <f>MAX((Sala[[#This Row],[Tiempo de permanencia]]-Sala[[#This Row],[Tiempo de preparación (h)]]),0)</f>
        <v>3.333333333333334E-2</v>
      </c>
      <c r="S359" s="8">
        <f>SUMIF(Cocina[Número de Orden],Sala[[#This Row],[Número de Orden]],Cocina[Ganancia bruta])</f>
        <v>166</v>
      </c>
      <c r="T359" s="8">
        <f>SUMIF(Cocina[Número de Orden],Sala[[#This Row],[Número de Orden]],Cocina[Costo Unitario])</f>
        <v>37</v>
      </c>
      <c r="U359" s="2">
        <f>Sala[[#This Row],[Fecha de Salida]]</f>
        <v>45020</v>
      </c>
      <c r="V359" s="7" t="str">
        <f>TEXT(Sala[[#This Row],[Fecha factura]],"dddd")</f>
        <v>martes</v>
      </c>
      <c r="W359" t="str">
        <f>IF(Sala[[#This Row],[Tiempo de degustación]]&gt;0,"Sí","No")</f>
        <v>Sí</v>
      </c>
      <c r="X359" t="str">
        <f>IF(Sala[[#This Row],[Cobrada]]="Sí",Sala[[#This Row],[Método de Pago]],"Impago")</f>
        <v>Tarjeta de crédito</v>
      </c>
      <c r="Y359">
        <f>IF(Sala[[#This Row],[Cobrada]]="Sí",Sala[[#This Row],[Propina]],0)</f>
        <v>42.1</v>
      </c>
      <c r="Z359">
        <f>(IF(Sala[[#This Row],[Cobrada]]="Sí",Sala[[#This Row],[Monto total]],0))+Sala[[#This Row],[Propina real]]</f>
        <v>208.1</v>
      </c>
    </row>
    <row r="360" spans="1:26" x14ac:dyDescent="0.25">
      <c r="A360">
        <v>11</v>
      </c>
      <c r="B360" t="s">
        <v>144</v>
      </c>
      <c r="C360">
        <v>2</v>
      </c>
      <c r="D360" s="2">
        <v>45020</v>
      </c>
      <c r="E360" s="3">
        <v>2.8472222222222222E-2</v>
      </c>
      <c r="F360" s="2">
        <v>45020</v>
      </c>
      <c r="G360" s="3">
        <v>0.1736111111111111</v>
      </c>
      <c r="H360" s="1" t="s">
        <v>16</v>
      </c>
      <c r="I360" t="s">
        <v>8</v>
      </c>
      <c r="J360" t="s">
        <v>601</v>
      </c>
      <c r="K360" s="9">
        <v>12.2</v>
      </c>
      <c r="L360" t="s">
        <v>9</v>
      </c>
      <c r="M360">
        <v>359</v>
      </c>
      <c r="N360" t="s">
        <v>593</v>
      </c>
      <c r="O360" s="3">
        <f>(Sala[[#This Row],[Hora de Salida]]-Sala[[#This Row],[Hora de llegada]])+IF(Sala[[#This Row],[Estado de la Mesa]]="Ocupada",(TEXT((15/(60*24)),"h:mm")),(TEXT(0,"h:mm")))</f>
        <v>0.14513888888888887</v>
      </c>
      <c r="P360" s="43">
        <f>(SUMIF(Cocina[Número de Orden],Sala[[#This Row],[Número de Orden]],Cocina[Tiempo de Preparación]))</f>
        <v>145</v>
      </c>
      <c r="Q360" s="5" t="str">
        <f>TEXT(((SUMIF(Cocina[Número de Orden],Sala[[#This Row],[Número de Orden]],Cocina[Tiempo de Preparación]))/(60*24)),"h:mm")</f>
        <v>2:25</v>
      </c>
      <c r="R360" s="3">
        <f>MAX((Sala[[#This Row],[Tiempo de permanencia]]-Sala[[#This Row],[Tiempo de preparación (h)]]),0)</f>
        <v>4.4444444444444425E-2</v>
      </c>
      <c r="S360" s="8">
        <f>SUMIF(Cocina[Número de Orden],Sala[[#This Row],[Número de Orden]],Cocina[Ganancia bruta])</f>
        <v>190</v>
      </c>
      <c r="T360" s="8">
        <f>SUMIF(Cocina[Número de Orden],Sala[[#This Row],[Número de Orden]],Cocina[Costo Unitario])</f>
        <v>61</v>
      </c>
      <c r="U360" s="2">
        <f>Sala[[#This Row],[Fecha de Salida]]</f>
        <v>45020</v>
      </c>
      <c r="V360" s="7" t="str">
        <f>TEXT(Sala[[#This Row],[Fecha factura]],"dddd")</f>
        <v>martes</v>
      </c>
      <c r="W360" t="str">
        <f>IF(Sala[[#This Row],[Tiempo de degustación]]&gt;0,"Sí","No")</f>
        <v>Sí</v>
      </c>
      <c r="X360" t="str">
        <f>IF(Sala[[#This Row],[Cobrada]]="Sí",Sala[[#This Row],[Método de Pago]],"Impago")</f>
        <v>Tarjeta de crédito</v>
      </c>
      <c r="Y360">
        <f>IF(Sala[[#This Row],[Cobrada]]="Sí",Sala[[#This Row],[Propina]],0)</f>
        <v>12.2</v>
      </c>
      <c r="Z360">
        <f>(IF(Sala[[#This Row],[Cobrada]]="Sí",Sala[[#This Row],[Monto total]],0))+Sala[[#This Row],[Propina real]]</f>
        <v>202.2</v>
      </c>
    </row>
    <row r="361" spans="1:26" x14ac:dyDescent="0.25">
      <c r="A361">
        <v>16</v>
      </c>
      <c r="B361" t="s">
        <v>360</v>
      </c>
      <c r="C361">
        <v>3</v>
      </c>
      <c r="D361" s="2">
        <v>45020</v>
      </c>
      <c r="E361" s="3">
        <v>4.8611111111111112E-2</v>
      </c>
      <c r="F361" s="2">
        <v>45020</v>
      </c>
      <c r="G361" s="3">
        <v>0.20694444444444443</v>
      </c>
      <c r="H361" s="1" t="s">
        <v>7</v>
      </c>
      <c r="I361" t="s">
        <v>8</v>
      </c>
      <c r="J361" t="s">
        <v>601</v>
      </c>
      <c r="K361" s="9">
        <v>39.26</v>
      </c>
      <c r="L361" t="s">
        <v>28</v>
      </c>
      <c r="M361">
        <v>360</v>
      </c>
      <c r="N361" t="s">
        <v>593</v>
      </c>
      <c r="O361" s="3">
        <f>(Sala[[#This Row],[Hora de Salida]]-Sala[[#This Row],[Hora de llegada]])+IF(Sala[[#This Row],[Estado de la Mesa]]="Ocupada",(TEXT((15/(60*24)),"h:mm")),(TEXT(0,"h:mm")))</f>
        <v>0.16874999999999998</v>
      </c>
      <c r="P361" s="43">
        <f>(SUMIF(Cocina[Número de Orden],Sala[[#This Row],[Número de Orden]],Cocina[Tiempo de Preparación]))</f>
        <v>159</v>
      </c>
      <c r="Q361" s="5" t="str">
        <f>TEXT(((SUMIF(Cocina[Número de Orden],Sala[[#This Row],[Número de Orden]],Cocina[Tiempo de Preparación]))/(60*24)),"h:mm")</f>
        <v>2:39</v>
      </c>
      <c r="R361" s="3">
        <f>MAX((Sala[[#This Row],[Tiempo de permanencia]]-Sala[[#This Row],[Tiempo de preparación (h)]]),0)</f>
        <v>5.833333333333332E-2</v>
      </c>
      <c r="S361" s="8">
        <f>SUMIF(Cocina[Número de Orden],Sala[[#This Row],[Número de Orden]],Cocina[Ganancia bruta])</f>
        <v>233</v>
      </c>
      <c r="T361" s="8">
        <f>SUMIF(Cocina[Número de Orden],Sala[[#This Row],[Número de Orden]],Cocina[Costo Unitario])</f>
        <v>65</v>
      </c>
      <c r="U361" s="2">
        <f>Sala[[#This Row],[Fecha de Salida]]</f>
        <v>45020</v>
      </c>
      <c r="V361" s="7" t="str">
        <f>TEXT(Sala[[#This Row],[Fecha factura]],"dddd")</f>
        <v>martes</v>
      </c>
      <c r="W361" t="str">
        <f>IF(Sala[[#This Row],[Tiempo de degustación]]&gt;0,"Sí","No")</f>
        <v>Sí</v>
      </c>
      <c r="X361" t="str">
        <f>IF(Sala[[#This Row],[Cobrada]]="Sí",Sala[[#This Row],[Método de Pago]],"Impago")</f>
        <v>Tarjeta de crédito</v>
      </c>
      <c r="Y361">
        <f>IF(Sala[[#This Row],[Cobrada]]="Sí",Sala[[#This Row],[Propina]],0)</f>
        <v>39.26</v>
      </c>
      <c r="Z361">
        <f>(IF(Sala[[#This Row],[Cobrada]]="Sí",Sala[[#This Row],[Monto total]],0))+Sala[[#This Row],[Propina real]]</f>
        <v>272.26</v>
      </c>
    </row>
    <row r="362" spans="1:26" x14ac:dyDescent="0.25">
      <c r="A362">
        <v>16</v>
      </c>
      <c r="B362" t="s">
        <v>361</v>
      </c>
      <c r="C362">
        <v>1</v>
      </c>
      <c r="D362" s="2">
        <v>45020</v>
      </c>
      <c r="E362" s="3">
        <v>7.8472222222222221E-2</v>
      </c>
      <c r="F362" s="2">
        <v>45020</v>
      </c>
      <c r="G362" s="3">
        <v>0.22777777777777777</v>
      </c>
      <c r="H362" s="1" t="s">
        <v>16</v>
      </c>
      <c r="I362" t="s">
        <v>25</v>
      </c>
      <c r="J362" t="s">
        <v>13</v>
      </c>
      <c r="K362" s="9">
        <v>41.73</v>
      </c>
      <c r="L362" t="s">
        <v>17</v>
      </c>
      <c r="M362">
        <v>361</v>
      </c>
      <c r="N362" t="s">
        <v>14</v>
      </c>
      <c r="O362" s="3">
        <f>(Sala[[#This Row],[Hora de Salida]]-Sala[[#This Row],[Hora de llegada]])+IF(Sala[[#This Row],[Estado de la Mesa]]="Ocupada",(TEXT((15/(60*24)),"h:mm")),(TEXT(0,"h:mm")))</f>
        <v>0.14930555555555555</v>
      </c>
      <c r="P362" s="43">
        <f>(SUMIF(Cocina[Número de Orden],Sala[[#This Row],[Número de Orden]],Cocina[Tiempo de Preparación]))</f>
        <v>112</v>
      </c>
      <c r="Q362" s="5" t="str">
        <f>TEXT(((SUMIF(Cocina[Número de Orden],Sala[[#This Row],[Número de Orden]],Cocina[Tiempo de Preparación]))/(60*24)),"h:mm")</f>
        <v>1:52</v>
      </c>
      <c r="R362" s="3">
        <f>MAX((Sala[[#This Row],[Tiempo de permanencia]]-Sala[[#This Row],[Tiempo de preparación (h)]]),0)</f>
        <v>7.1527777777777773E-2</v>
      </c>
      <c r="S362" s="8">
        <f>SUMIF(Cocina[Número de Orden],Sala[[#This Row],[Número de Orden]],Cocina[Ganancia bruta])</f>
        <v>101</v>
      </c>
      <c r="T362" s="8">
        <f>SUMIF(Cocina[Número de Orden],Sala[[#This Row],[Número de Orden]],Cocina[Costo Unitario])</f>
        <v>31</v>
      </c>
      <c r="U362" s="2">
        <f>Sala[[#This Row],[Fecha de Salida]]</f>
        <v>45020</v>
      </c>
      <c r="V362" s="7" t="str">
        <f>TEXT(Sala[[#This Row],[Fecha factura]],"dddd")</f>
        <v>martes</v>
      </c>
      <c r="W362" t="str">
        <f>IF(Sala[[#This Row],[Tiempo de degustación]]&gt;0,"Sí","No")</f>
        <v>Sí</v>
      </c>
      <c r="X362" t="str">
        <f>IF(Sala[[#This Row],[Cobrada]]="Sí",Sala[[#This Row],[Método de Pago]],"Impago")</f>
        <v>Efectivo</v>
      </c>
      <c r="Y362">
        <f>IF(Sala[[#This Row],[Cobrada]]="Sí",Sala[[#This Row],[Propina]],0)</f>
        <v>41.73</v>
      </c>
      <c r="Z362">
        <f>(IF(Sala[[#This Row],[Cobrada]]="Sí",Sala[[#This Row],[Monto total]],0))+Sala[[#This Row],[Propina real]]</f>
        <v>142.72999999999999</v>
      </c>
    </row>
    <row r="363" spans="1:26" x14ac:dyDescent="0.25">
      <c r="A363">
        <v>15</v>
      </c>
      <c r="B363" t="s">
        <v>212</v>
      </c>
      <c r="C363">
        <v>2</v>
      </c>
      <c r="D363" s="2">
        <v>45020</v>
      </c>
      <c r="E363" s="3">
        <v>8.5416666666666669E-2</v>
      </c>
      <c r="F363" s="2">
        <v>45020</v>
      </c>
      <c r="G363" s="3">
        <v>0.24930555555555556</v>
      </c>
      <c r="H363" s="1" t="s">
        <v>11</v>
      </c>
      <c r="I363" t="s">
        <v>8</v>
      </c>
      <c r="J363" t="s">
        <v>601</v>
      </c>
      <c r="K363" s="9">
        <v>47.21</v>
      </c>
      <c r="L363" t="s">
        <v>17</v>
      </c>
      <c r="M363">
        <v>362</v>
      </c>
      <c r="N363" t="s">
        <v>34</v>
      </c>
      <c r="O363" s="3">
        <f>(Sala[[#This Row],[Hora de Salida]]-Sala[[#This Row],[Hora de llegada]])+IF(Sala[[#This Row],[Estado de la Mesa]]="Ocupada",(TEXT((15/(60*24)),"h:mm")),(TEXT(0,"h:mm")))</f>
        <v>0.16388888888888889</v>
      </c>
      <c r="P363" s="43">
        <f>(SUMIF(Cocina[Número de Orden],Sala[[#This Row],[Número de Orden]],Cocina[Tiempo de Preparación]))</f>
        <v>123</v>
      </c>
      <c r="Q363" s="5" t="str">
        <f>TEXT(((SUMIF(Cocina[Número de Orden],Sala[[#This Row],[Número de Orden]],Cocina[Tiempo de Preparación]))/(60*24)),"h:mm")</f>
        <v>2:03</v>
      </c>
      <c r="R363" s="3">
        <f>MAX((Sala[[#This Row],[Tiempo de permanencia]]-Sala[[#This Row],[Tiempo de preparación (h)]]),0)</f>
        <v>7.8472222222222221E-2</v>
      </c>
      <c r="S363" s="8">
        <f>SUMIF(Cocina[Número de Orden],Sala[[#This Row],[Número de Orden]],Cocina[Ganancia bruta])</f>
        <v>62</v>
      </c>
      <c r="T363" s="8">
        <f>SUMIF(Cocina[Número de Orden],Sala[[#This Row],[Número de Orden]],Cocina[Costo Unitario])</f>
        <v>36</v>
      </c>
      <c r="U363" s="2">
        <f>Sala[[#This Row],[Fecha de Salida]]</f>
        <v>45020</v>
      </c>
      <c r="V363" s="7" t="str">
        <f>TEXT(Sala[[#This Row],[Fecha factura]],"dddd")</f>
        <v>martes</v>
      </c>
      <c r="W363" t="str">
        <f>IF(Sala[[#This Row],[Tiempo de degustación]]&gt;0,"Sí","No")</f>
        <v>Sí</v>
      </c>
      <c r="X363" t="str">
        <f>IF(Sala[[#This Row],[Cobrada]]="Sí",Sala[[#This Row],[Método de Pago]],"Impago")</f>
        <v>Tarjeta de crédito</v>
      </c>
      <c r="Y363">
        <f>IF(Sala[[#This Row],[Cobrada]]="Sí",Sala[[#This Row],[Propina]],0)</f>
        <v>47.21</v>
      </c>
      <c r="Z363">
        <f>(IF(Sala[[#This Row],[Cobrada]]="Sí",Sala[[#This Row],[Monto total]],0))+Sala[[#This Row],[Propina real]]</f>
        <v>109.21000000000001</v>
      </c>
    </row>
    <row r="364" spans="1:26" x14ac:dyDescent="0.25">
      <c r="A364">
        <v>5</v>
      </c>
      <c r="B364" t="s">
        <v>362</v>
      </c>
      <c r="C364">
        <v>2</v>
      </c>
      <c r="D364" s="2">
        <v>45020</v>
      </c>
      <c r="E364" s="3">
        <v>7.3611111111111113E-2</v>
      </c>
      <c r="F364" s="2">
        <v>45020</v>
      </c>
      <c r="G364" s="3">
        <v>0.1451388888888889</v>
      </c>
      <c r="H364" s="1" t="s">
        <v>7</v>
      </c>
      <c r="I364" t="s">
        <v>8</v>
      </c>
      <c r="J364" t="s">
        <v>601</v>
      </c>
      <c r="K364" s="9">
        <v>49.02</v>
      </c>
      <c r="L364" t="s">
        <v>28</v>
      </c>
      <c r="M364">
        <v>363</v>
      </c>
      <c r="N364" t="s">
        <v>18</v>
      </c>
      <c r="O364" s="3">
        <f>(Sala[[#This Row],[Hora de Salida]]-Sala[[#This Row],[Hora de llegada]])+IF(Sala[[#This Row],[Estado de la Mesa]]="Ocupada",(TEXT((15/(60*24)),"h:mm")),(TEXT(0,"h:mm")))</f>
        <v>8.1944444444444459E-2</v>
      </c>
      <c r="P364" s="43">
        <f>(SUMIF(Cocina[Número de Orden],Sala[[#This Row],[Número de Orden]],Cocina[Tiempo de Preparación]))</f>
        <v>149</v>
      </c>
      <c r="Q364" s="5" t="str">
        <f>TEXT(((SUMIF(Cocina[Número de Orden],Sala[[#This Row],[Número de Orden]],Cocina[Tiempo de Preparación]))/(60*24)),"h:mm")</f>
        <v>2:29</v>
      </c>
      <c r="R364" s="3">
        <f>MAX((Sala[[#This Row],[Tiempo de permanencia]]-Sala[[#This Row],[Tiempo de preparación (h)]]),0)</f>
        <v>0</v>
      </c>
      <c r="S364" s="8">
        <f>SUMIF(Cocina[Número de Orden],Sala[[#This Row],[Número de Orden]],Cocina[Ganancia bruta])</f>
        <v>240</v>
      </c>
      <c r="T364" s="8">
        <f>SUMIF(Cocina[Número de Orden],Sala[[#This Row],[Número de Orden]],Cocina[Costo Unitario])</f>
        <v>74</v>
      </c>
      <c r="U364" s="2">
        <f>Sala[[#This Row],[Fecha de Salida]]</f>
        <v>45020</v>
      </c>
      <c r="V364" s="7" t="str">
        <f>TEXT(Sala[[#This Row],[Fecha factura]],"dddd")</f>
        <v>martes</v>
      </c>
      <c r="W364" t="str">
        <f>IF(Sala[[#This Row],[Tiempo de degustación]]&gt;0,"Sí","No")</f>
        <v>No</v>
      </c>
      <c r="X364" t="str">
        <f>IF(Sala[[#This Row],[Cobrada]]="Sí",Sala[[#This Row],[Método de Pago]],"Impago")</f>
        <v>Impago</v>
      </c>
      <c r="Y364">
        <f>IF(Sala[[#This Row],[Cobrada]]="Sí",Sala[[#This Row],[Propina]],0)</f>
        <v>0</v>
      </c>
      <c r="Z364">
        <f>(IF(Sala[[#This Row],[Cobrada]]="Sí",Sala[[#This Row],[Monto total]],0))+Sala[[#This Row],[Propina real]]</f>
        <v>0</v>
      </c>
    </row>
    <row r="365" spans="1:26" x14ac:dyDescent="0.25">
      <c r="A365">
        <v>15</v>
      </c>
      <c r="B365" t="s">
        <v>363</v>
      </c>
      <c r="C365">
        <v>2</v>
      </c>
      <c r="D365" s="2">
        <v>45020</v>
      </c>
      <c r="E365" s="3">
        <v>0.15972222222222221</v>
      </c>
      <c r="F365" s="2">
        <v>45020</v>
      </c>
      <c r="G365" s="3">
        <v>0.2986111111111111</v>
      </c>
      <c r="H365" s="1" t="s">
        <v>20</v>
      </c>
      <c r="I365" t="s">
        <v>8</v>
      </c>
      <c r="J365" t="s">
        <v>600</v>
      </c>
      <c r="K365" s="9">
        <v>48.28</v>
      </c>
      <c r="L365" t="s">
        <v>9</v>
      </c>
      <c r="M365">
        <v>364</v>
      </c>
      <c r="N365" t="s">
        <v>18</v>
      </c>
      <c r="O365" s="3">
        <f>(Sala[[#This Row],[Hora de Salida]]-Sala[[#This Row],[Hora de llegada]])+IF(Sala[[#This Row],[Estado de la Mesa]]="Ocupada",(TEXT((15/(60*24)),"h:mm")),(TEXT(0,"h:mm")))</f>
        <v>0.1388888888888889</v>
      </c>
      <c r="P365" s="43">
        <f>(SUMIF(Cocina[Número de Orden],Sala[[#This Row],[Número de Orden]],Cocina[Tiempo de Preparación]))</f>
        <v>112</v>
      </c>
      <c r="Q365" s="5" t="str">
        <f>TEXT(((SUMIF(Cocina[Número de Orden],Sala[[#This Row],[Número de Orden]],Cocina[Tiempo de Preparación]))/(60*24)),"h:mm")</f>
        <v>1:52</v>
      </c>
      <c r="R365" s="3">
        <f>MAX((Sala[[#This Row],[Tiempo de permanencia]]-Sala[[#This Row],[Tiempo de preparación (h)]]),0)</f>
        <v>6.1111111111111116E-2</v>
      </c>
      <c r="S365" s="8">
        <f>SUMIF(Cocina[Número de Orden],Sala[[#This Row],[Número de Orden]],Cocina[Ganancia bruta])</f>
        <v>157</v>
      </c>
      <c r="T365" s="8">
        <f>SUMIF(Cocina[Número de Orden],Sala[[#This Row],[Número de Orden]],Cocina[Costo Unitario])</f>
        <v>61</v>
      </c>
      <c r="U365" s="2">
        <f>Sala[[#This Row],[Fecha de Salida]]</f>
        <v>45020</v>
      </c>
      <c r="V365" s="7" t="str">
        <f>TEXT(Sala[[#This Row],[Fecha factura]],"dddd")</f>
        <v>martes</v>
      </c>
      <c r="W365" t="str">
        <f>IF(Sala[[#This Row],[Tiempo de degustación]]&gt;0,"Sí","No")</f>
        <v>Sí</v>
      </c>
      <c r="X365" t="str">
        <f>IF(Sala[[#This Row],[Cobrada]]="Sí",Sala[[#This Row],[Método de Pago]],"Impago")</f>
        <v>Tarjeta de débito</v>
      </c>
      <c r="Y365">
        <f>IF(Sala[[#This Row],[Cobrada]]="Sí",Sala[[#This Row],[Propina]],0)</f>
        <v>48.28</v>
      </c>
      <c r="Z365">
        <f>(IF(Sala[[#This Row],[Cobrada]]="Sí",Sala[[#This Row],[Monto total]],0))+Sala[[#This Row],[Propina real]]</f>
        <v>205.28</v>
      </c>
    </row>
    <row r="366" spans="1:26" x14ac:dyDescent="0.25">
      <c r="A366">
        <v>4</v>
      </c>
      <c r="B366" t="s">
        <v>364</v>
      </c>
      <c r="C366">
        <v>1</v>
      </c>
      <c r="D366" s="2">
        <v>45020</v>
      </c>
      <c r="E366" s="3">
        <v>4.3749999999999997E-2</v>
      </c>
      <c r="F366" s="2">
        <v>45020</v>
      </c>
      <c r="G366" s="3">
        <v>0.18958333333333333</v>
      </c>
      <c r="H366" s="1" t="s">
        <v>7</v>
      </c>
      <c r="I366" t="s">
        <v>8</v>
      </c>
      <c r="J366" t="s">
        <v>13</v>
      </c>
      <c r="K366" s="9">
        <v>34.97</v>
      </c>
      <c r="L366" t="s">
        <v>28</v>
      </c>
      <c r="M366">
        <v>365</v>
      </c>
      <c r="N366" t="s">
        <v>47</v>
      </c>
      <c r="O366" s="3">
        <f>(Sala[[#This Row],[Hora de Salida]]-Sala[[#This Row],[Hora de llegada]])+IF(Sala[[#This Row],[Estado de la Mesa]]="Ocupada",(TEXT((15/(60*24)),"h:mm")),(TEXT(0,"h:mm")))</f>
        <v>0.15624999999999997</v>
      </c>
      <c r="P366" s="43">
        <f>(SUMIF(Cocina[Número de Orden],Sala[[#This Row],[Número de Orden]],Cocina[Tiempo de Preparación]))</f>
        <v>25</v>
      </c>
      <c r="Q366" s="5" t="str">
        <f>TEXT(((SUMIF(Cocina[Número de Orden],Sala[[#This Row],[Número de Orden]],Cocina[Tiempo de Preparación]))/(60*24)),"h:mm")</f>
        <v>0:25</v>
      </c>
      <c r="R366" s="3">
        <f>MAX((Sala[[#This Row],[Tiempo de permanencia]]-Sala[[#This Row],[Tiempo de preparación (h)]]),0)</f>
        <v>0.13888888888888887</v>
      </c>
      <c r="S366" s="8">
        <f>SUMIF(Cocina[Número de Orden],Sala[[#This Row],[Número de Orden]],Cocina[Ganancia bruta])</f>
        <v>108</v>
      </c>
      <c r="T366" s="8">
        <f>SUMIF(Cocina[Número de Orden],Sala[[#This Row],[Número de Orden]],Cocina[Costo Unitario])</f>
        <v>22</v>
      </c>
      <c r="U366" s="2">
        <f>Sala[[#This Row],[Fecha de Salida]]</f>
        <v>45020</v>
      </c>
      <c r="V366" s="7" t="str">
        <f>TEXT(Sala[[#This Row],[Fecha factura]],"dddd")</f>
        <v>martes</v>
      </c>
      <c r="W366" t="str">
        <f>IF(Sala[[#This Row],[Tiempo de degustación]]&gt;0,"Sí","No")</f>
        <v>Sí</v>
      </c>
      <c r="X366" t="str">
        <f>IF(Sala[[#This Row],[Cobrada]]="Sí",Sala[[#This Row],[Método de Pago]],"Impago")</f>
        <v>Efectivo</v>
      </c>
      <c r="Y366">
        <f>IF(Sala[[#This Row],[Cobrada]]="Sí",Sala[[#This Row],[Propina]],0)</f>
        <v>34.97</v>
      </c>
      <c r="Z366">
        <f>(IF(Sala[[#This Row],[Cobrada]]="Sí",Sala[[#This Row],[Monto total]],0))+Sala[[#This Row],[Propina real]]</f>
        <v>142.97</v>
      </c>
    </row>
    <row r="367" spans="1:26" x14ac:dyDescent="0.25">
      <c r="A367">
        <v>17</v>
      </c>
      <c r="B367" t="s">
        <v>365</v>
      </c>
      <c r="C367">
        <v>5</v>
      </c>
      <c r="D367" s="2">
        <v>45020</v>
      </c>
      <c r="E367" s="3">
        <v>6.458333333333334E-2</v>
      </c>
      <c r="F367" s="2">
        <v>45020</v>
      </c>
      <c r="G367" s="3">
        <v>0.1986111111111111</v>
      </c>
      <c r="H367" s="1" t="s">
        <v>7</v>
      </c>
      <c r="I367" t="s">
        <v>8</v>
      </c>
      <c r="J367" t="s">
        <v>13</v>
      </c>
      <c r="K367" s="9">
        <v>10.57</v>
      </c>
      <c r="L367" t="s">
        <v>9</v>
      </c>
      <c r="M367">
        <v>366</v>
      </c>
      <c r="N367" t="s">
        <v>47</v>
      </c>
      <c r="O367" s="3">
        <f>(Sala[[#This Row],[Hora de Salida]]-Sala[[#This Row],[Hora de llegada]])+IF(Sala[[#This Row],[Estado de la Mesa]]="Ocupada",(TEXT((15/(60*24)),"h:mm")),(TEXT(0,"h:mm")))</f>
        <v>0.13402777777777775</v>
      </c>
      <c r="P367" s="43">
        <f>(SUMIF(Cocina[Número de Orden],Sala[[#This Row],[Número de Orden]],Cocina[Tiempo de Preparación]))</f>
        <v>90</v>
      </c>
      <c r="Q367" s="5" t="str">
        <f>TEXT(((SUMIF(Cocina[Número de Orden],Sala[[#This Row],[Número de Orden]],Cocina[Tiempo de Preparación]))/(60*24)),"h:mm")</f>
        <v>1:30</v>
      </c>
      <c r="R367" s="3">
        <f>MAX((Sala[[#This Row],[Tiempo de permanencia]]-Sala[[#This Row],[Tiempo de preparación (h)]]),0)</f>
        <v>7.1527777777777746E-2</v>
      </c>
      <c r="S367" s="8">
        <f>SUMIF(Cocina[Número de Orden],Sala[[#This Row],[Número de Orden]],Cocina[Ganancia bruta])</f>
        <v>239</v>
      </c>
      <c r="T367" s="8">
        <f>SUMIF(Cocina[Número de Orden],Sala[[#This Row],[Número de Orden]],Cocina[Costo Unitario])</f>
        <v>62</v>
      </c>
      <c r="U367" s="2">
        <f>Sala[[#This Row],[Fecha de Salida]]</f>
        <v>45020</v>
      </c>
      <c r="V367" s="7" t="str">
        <f>TEXT(Sala[[#This Row],[Fecha factura]],"dddd")</f>
        <v>martes</v>
      </c>
      <c r="W367" t="str">
        <f>IF(Sala[[#This Row],[Tiempo de degustación]]&gt;0,"Sí","No")</f>
        <v>Sí</v>
      </c>
      <c r="X367" t="str">
        <f>IF(Sala[[#This Row],[Cobrada]]="Sí",Sala[[#This Row],[Método de Pago]],"Impago")</f>
        <v>Efectivo</v>
      </c>
      <c r="Y367">
        <f>IF(Sala[[#This Row],[Cobrada]]="Sí",Sala[[#This Row],[Propina]],0)</f>
        <v>10.57</v>
      </c>
      <c r="Z367">
        <f>(IF(Sala[[#This Row],[Cobrada]]="Sí",Sala[[#This Row],[Monto total]],0))+Sala[[#This Row],[Propina real]]</f>
        <v>249.57</v>
      </c>
    </row>
    <row r="368" spans="1:26" x14ac:dyDescent="0.25">
      <c r="A368">
        <v>12</v>
      </c>
      <c r="B368" t="s">
        <v>366</v>
      </c>
      <c r="C368">
        <v>2</v>
      </c>
      <c r="D368" s="2">
        <v>45020</v>
      </c>
      <c r="E368" s="3">
        <v>3.6805555555555557E-2</v>
      </c>
      <c r="F368" s="2">
        <v>45020</v>
      </c>
      <c r="G368" s="3">
        <v>0.15625</v>
      </c>
      <c r="H368" s="1" t="s">
        <v>7</v>
      </c>
      <c r="I368" t="s">
        <v>25</v>
      </c>
      <c r="J368" t="s">
        <v>601</v>
      </c>
      <c r="K368" s="9">
        <v>12.62</v>
      </c>
      <c r="L368" t="s">
        <v>17</v>
      </c>
      <c r="M368">
        <v>367</v>
      </c>
      <c r="N368" t="s">
        <v>47</v>
      </c>
      <c r="O368" s="3">
        <f>(Sala[[#This Row],[Hora de Salida]]-Sala[[#This Row],[Hora de llegada]])+IF(Sala[[#This Row],[Estado de la Mesa]]="Ocupada",(TEXT((15/(60*24)),"h:mm")),(TEXT(0,"h:mm")))</f>
        <v>0.11944444444444444</v>
      </c>
      <c r="P368" s="43">
        <f>(SUMIF(Cocina[Número de Orden],Sala[[#This Row],[Número de Orden]],Cocina[Tiempo de Preparación]))</f>
        <v>73</v>
      </c>
      <c r="Q368" s="5" t="str">
        <f>TEXT(((SUMIF(Cocina[Número de Orden],Sala[[#This Row],[Número de Orden]],Cocina[Tiempo de Preparación]))/(60*24)),"h:mm")</f>
        <v>1:13</v>
      </c>
      <c r="R368" s="3">
        <f>MAX((Sala[[#This Row],[Tiempo de permanencia]]-Sala[[#This Row],[Tiempo de preparación (h)]]),0)</f>
        <v>6.8749999999999992E-2</v>
      </c>
      <c r="S368" s="8">
        <f>SUMIF(Cocina[Número de Orden],Sala[[#This Row],[Número de Orden]],Cocina[Ganancia bruta])</f>
        <v>101</v>
      </c>
      <c r="T368" s="8">
        <f>SUMIF(Cocina[Número de Orden],Sala[[#This Row],[Número de Orden]],Cocina[Costo Unitario])</f>
        <v>44</v>
      </c>
      <c r="U368" s="2">
        <f>Sala[[#This Row],[Fecha de Salida]]</f>
        <v>45020</v>
      </c>
      <c r="V368" s="7" t="str">
        <f>TEXT(Sala[[#This Row],[Fecha factura]],"dddd")</f>
        <v>martes</v>
      </c>
      <c r="W368" t="str">
        <f>IF(Sala[[#This Row],[Tiempo de degustación]]&gt;0,"Sí","No")</f>
        <v>Sí</v>
      </c>
      <c r="X368" t="str">
        <f>IF(Sala[[#This Row],[Cobrada]]="Sí",Sala[[#This Row],[Método de Pago]],"Impago")</f>
        <v>Tarjeta de crédito</v>
      </c>
      <c r="Y368">
        <f>IF(Sala[[#This Row],[Cobrada]]="Sí",Sala[[#This Row],[Propina]],0)</f>
        <v>12.62</v>
      </c>
      <c r="Z368">
        <f>(IF(Sala[[#This Row],[Cobrada]]="Sí",Sala[[#This Row],[Monto total]],0))+Sala[[#This Row],[Propina real]]</f>
        <v>113.62</v>
      </c>
    </row>
    <row r="369" spans="1:26" x14ac:dyDescent="0.25">
      <c r="A369">
        <v>13</v>
      </c>
      <c r="B369" t="s">
        <v>367</v>
      </c>
      <c r="C369">
        <v>1</v>
      </c>
      <c r="D369" s="2">
        <v>45020</v>
      </c>
      <c r="E369" s="3">
        <v>0.14166666666666666</v>
      </c>
      <c r="F369" s="2">
        <v>45020</v>
      </c>
      <c r="G369" s="3">
        <v>0.23125000000000001</v>
      </c>
      <c r="H369" s="1" t="s">
        <v>11</v>
      </c>
      <c r="I369" t="s">
        <v>12</v>
      </c>
      <c r="J369" t="s">
        <v>600</v>
      </c>
      <c r="K369" s="9">
        <v>37.65</v>
      </c>
      <c r="L369" t="s">
        <v>28</v>
      </c>
      <c r="M369">
        <v>368</v>
      </c>
      <c r="N369" t="s">
        <v>14</v>
      </c>
      <c r="O369" s="3">
        <f>(Sala[[#This Row],[Hora de Salida]]-Sala[[#This Row],[Hora de llegada]])+IF(Sala[[#This Row],[Estado de la Mesa]]="Ocupada",(TEXT((15/(60*24)),"h:mm")),(TEXT(0,"h:mm")))</f>
        <v>0.10000000000000002</v>
      </c>
      <c r="P369" s="43">
        <f>(SUMIF(Cocina[Número de Orden],Sala[[#This Row],[Número de Orden]],Cocina[Tiempo de Preparación]))</f>
        <v>85</v>
      </c>
      <c r="Q369" s="5" t="str">
        <f>TEXT(((SUMIF(Cocina[Número de Orden],Sala[[#This Row],[Número de Orden]],Cocina[Tiempo de Preparación]))/(60*24)),"h:mm")</f>
        <v>1:25</v>
      </c>
      <c r="R369" s="3">
        <f>MAX((Sala[[#This Row],[Tiempo de permanencia]]-Sala[[#This Row],[Tiempo de preparación (h)]]),0)</f>
        <v>4.0972222222222243E-2</v>
      </c>
      <c r="S369" s="8">
        <f>SUMIF(Cocina[Número de Orden],Sala[[#This Row],[Número de Orden]],Cocina[Ganancia bruta])</f>
        <v>123</v>
      </c>
      <c r="T369" s="8">
        <f>SUMIF(Cocina[Número de Orden],Sala[[#This Row],[Número de Orden]],Cocina[Costo Unitario])</f>
        <v>34</v>
      </c>
      <c r="U369" s="2">
        <f>Sala[[#This Row],[Fecha de Salida]]</f>
        <v>45020</v>
      </c>
      <c r="V369" s="7" t="str">
        <f>TEXT(Sala[[#This Row],[Fecha factura]],"dddd")</f>
        <v>martes</v>
      </c>
      <c r="W369" t="str">
        <f>IF(Sala[[#This Row],[Tiempo de degustación]]&gt;0,"Sí","No")</f>
        <v>Sí</v>
      </c>
      <c r="X369" t="str">
        <f>IF(Sala[[#This Row],[Cobrada]]="Sí",Sala[[#This Row],[Método de Pago]],"Impago")</f>
        <v>Tarjeta de débito</v>
      </c>
      <c r="Y369">
        <f>IF(Sala[[#This Row],[Cobrada]]="Sí",Sala[[#This Row],[Propina]],0)</f>
        <v>37.65</v>
      </c>
      <c r="Z369">
        <f>(IF(Sala[[#This Row],[Cobrada]]="Sí",Sala[[#This Row],[Monto total]],0))+Sala[[#This Row],[Propina real]]</f>
        <v>160.65</v>
      </c>
    </row>
    <row r="370" spans="1:26" x14ac:dyDescent="0.25">
      <c r="A370">
        <v>20</v>
      </c>
      <c r="B370" t="s">
        <v>368</v>
      </c>
      <c r="C370">
        <v>2</v>
      </c>
      <c r="D370" s="2">
        <v>45020</v>
      </c>
      <c r="E370" s="3">
        <v>9.0972222222222218E-2</v>
      </c>
      <c r="F370" s="2">
        <v>45020</v>
      </c>
      <c r="G370" s="3">
        <v>0.24583333333333332</v>
      </c>
      <c r="H370" s="1" t="s">
        <v>20</v>
      </c>
      <c r="I370" t="s">
        <v>8</v>
      </c>
      <c r="J370" t="s">
        <v>601</v>
      </c>
      <c r="K370" s="9">
        <v>34.83</v>
      </c>
      <c r="L370" t="s">
        <v>17</v>
      </c>
      <c r="M370">
        <v>369</v>
      </c>
      <c r="N370" t="s">
        <v>34</v>
      </c>
      <c r="O370" s="3">
        <f>(Sala[[#This Row],[Hora de Salida]]-Sala[[#This Row],[Hora de llegada]])+IF(Sala[[#This Row],[Estado de la Mesa]]="Ocupada",(TEXT((15/(60*24)),"h:mm")),(TEXT(0,"h:mm")))</f>
        <v>0.15486111111111112</v>
      </c>
      <c r="P370" s="43">
        <f>(SUMIF(Cocina[Número de Orden],Sala[[#This Row],[Número de Orden]],Cocina[Tiempo de Preparación]))</f>
        <v>42</v>
      </c>
      <c r="Q370" s="5" t="str">
        <f>TEXT(((SUMIF(Cocina[Número de Orden],Sala[[#This Row],[Número de Orden]],Cocina[Tiempo de Preparación]))/(60*24)),"h:mm")</f>
        <v>0:42</v>
      </c>
      <c r="R370" s="3">
        <f>MAX((Sala[[#This Row],[Tiempo de permanencia]]-Sala[[#This Row],[Tiempo de preparación (h)]]),0)</f>
        <v>0.12569444444444444</v>
      </c>
      <c r="S370" s="8">
        <f>SUMIF(Cocina[Número de Orden],Sala[[#This Row],[Número de Orden]],Cocina[Ganancia bruta])</f>
        <v>242</v>
      </c>
      <c r="T370" s="8">
        <f>SUMIF(Cocina[Número de Orden],Sala[[#This Row],[Número de Orden]],Cocina[Costo Unitario])</f>
        <v>64</v>
      </c>
      <c r="U370" s="2">
        <f>Sala[[#This Row],[Fecha de Salida]]</f>
        <v>45020</v>
      </c>
      <c r="V370" s="7" t="str">
        <f>TEXT(Sala[[#This Row],[Fecha factura]],"dddd")</f>
        <v>martes</v>
      </c>
      <c r="W370" t="str">
        <f>IF(Sala[[#This Row],[Tiempo de degustación]]&gt;0,"Sí","No")</f>
        <v>Sí</v>
      </c>
      <c r="X370" t="str">
        <f>IF(Sala[[#This Row],[Cobrada]]="Sí",Sala[[#This Row],[Método de Pago]],"Impago")</f>
        <v>Tarjeta de crédito</v>
      </c>
      <c r="Y370">
        <f>IF(Sala[[#This Row],[Cobrada]]="Sí",Sala[[#This Row],[Propina]],0)</f>
        <v>34.83</v>
      </c>
      <c r="Z370">
        <f>(IF(Sala[[#This Row],[Cobrada]]="Sí",Sala[[#This Row],[Monto total]],0))+Sala[[#This Row],[Propina real]]</f>
        <v>276.83</v>
      </c>
    </row>
    <row r="371" spans="1:26" x14ac:dyDescent="0.25">
      <c r="A371">
        <v>13</v>
      </c>
      <c r="B371" t="s">
        <v>369</v>
      </c>
      <c r="C371">
        <v>6</v>
      </c>
      <c r="D371" s="2">
        <v>45020</v>
      </c>
      <c r="E371" s="3">
        <v>9.7222222222222224E-2</v>
      </c>
      <c r="F371" s="2">
        <v>45020</v>
      </c>
      <c r="G371" s="3">
        <v>0.14097222222222222</v>
      </c>
      <c r="H371" s="1" t="s">
        <v>7</v>
      </c>
      <c r="I371" t="s">
        <v>8</v>
      </c>
      <c r="J371" t="s">
        <v>601</v>
      </c>
      <c r="K371" s="9">
        <v>47.79</v>
      </c>
      <c r="L371" t="s">
        <v>17</v>
      </c>
      <c r="M371">
        <v>370</v>
      </c>
      <c r="N371" t="s">
        <v>34</v>
      </c>
      <c r="O371" s="3">
        <f>(Sala[[#This Row],[Hora de Salida]]-Sala[[#This Row],[Hora de llegada]])+IF(Sala[[#This Row],[Estado de la Mesa]]="Ocupada",(TEXT((15/(60*24)),"h:mm")),(TEXT(0,"h:mm")))</f>
        <v>4.3749999999999997E-2</v>
      </c>
      <c r="P371" s="43">
        <f>(SUMIF(Cocina[Número de Orden],Sala[[#This Row],[Número de Orden]],Cocina[Tiempo de Preparación]))</f>
        <v>33</v>
      </c>
      <c r="Q371" s="5" t="str">
        <f>TEXT(((SUMIF(Cocina[Número de Orden],Sala[[#This Row],[Número de Orden]],Cocina[Tiempo de Preparación]))/(60*24)),"h:mm")</f>
        <v>0:33</v>
      </c>
      <c r="R371" s="3">
        <f>MAX((Sala[[#This Row],[Tiempo de permanencia]]-Sala[[#This Row],[Tiempo de preparación (h)]]),0)</f>
        <v>2.0833333333333332E-2</v>
      </c>
      <c r="S371" s="8">
        <f>SUMIF(Cocina[Número de Orden],Sala[[#This Row],[Número de Orden]],Cocina[Ganancia bruta])</f>
        <v>72</v>
      </c>
      <c r="T371" s="8">
        <f>SUMIF(Cocina[Número de Orden],Sala[[#This Row],[Número de Orden]],Cocina[Costo Unitario])</f>
        <v>22</v>
      </c>
      <c r="U371" s="2">
        <f>Sala[[#This Row],[Fecha de Salida]]</f>
        <v>45020</v>
      </c>
      <c r="V371" s="7" t="str">
        <f>TEXT(Sala[[#This Row],[Fecha factura]],"dddd")</f>
        <v>martes</v>
      </c>
      <c r="W371" t="str">
        <f>IF(Sala[[#This Row],[Tiempo de degustación]]&gt;0,"Sí","No")</f>
        <v>Sí</v>
      </c>
      <c r="X371" t="str">
        <f>IF(Sala[[#This Row],[Cobrada]]="Sí",Sala[[#This Row],[Método de Pago]],"Impago")</f>
        <v>Tarjeta de crédito</v>
      </c>
      <c r="Y371">
        <f>IF(Sala[[#This Row],[Cobrada]]="Sí",Sala[[#This Row],[Propina]],0)</f>
        <v>47.79</v>
      </c>
      <c r="Z371">
        <f>(IF(Sala[[#This Row],[Cobrada]]="Sí",Sala[[#This Row],[Monto total]],0))+Sala[[#This Row],[Propina real]]</f>
        <v>119.78999999999999</v>
      </c>
    </row>
    <row r="372" spans="1:26" x14ac:dyDescent="0.25">
      <c r="A372">
        <v>4</v>
      </c>
      <c r="B372" t="s">
        <v>370</v>
      </c>
      <c r="C372">
        <v>3</v>
      </c>
      <c r="D372" s="2">
        <v>45020</v>
      </c>
      <c r="E372" s="3">
        <v>5.2777777777777778E-2</v>
      </c>
      <c r="F372" s="2">
        <v>45020</v>
      </c>
      <c r="G372" s="3">
        <v>0.18819444444444444</v>
      </c>
      <c r="H372" s="1" t="s">
        <v>23</v>
      </c>
      <c r="I372" t="s">
        <v>25</v>
      </c>
      <c r="J372" t="s">
        <v>601</v>
      </c>
      <c r="K372" s="9">
        <v>32.51</v>
      </c>
      <c r="L372" t="s">
        <v>28</v>
      </c>
      <c r="M372">
        <v>371</v>
      </c>
      <c r="N372" t="s">
        <v>44</v>
      </c>
      <c r="O372" s="3">
        <f>(Sala[[#This Row],[Hora de Salida]]-Sala[[#This Row],[Hora de llegada]])+IF(Sala[[#This Row],[Estado de la Mesa]]="Ocupada",(TEXT((15/(60*24)),"h:mm")),(TEXT(0,"h:mm")))</f>
        <v>0.14583333333333331</v>
      </c>
      <c r="P372" s="43">
        <f>(SUMIF(Cocina[Número de Orden],Sala[[#This Row],[Número de Orden]],Cocina[Tiempo de Preparación]))</f>
        <v>49</v>
      </c>
      <c r="Q372" s="5" t="str">
        <f>TEXT(((SUMIF(Cocina[Número de Orden],Sala[[#This Row],[Número de Orden]],Cocina[Tiempo de Preparación]))/(60*24)),"h:mm")</f>
        <v>0:49</v>
      </c>
      <c r="R372" s="3">
        <f>MAX((Sala[[#This Row],[Tiempo de permanencia]]-Sala[[#This Row],[Tiempo de preparación (h)]]),0)</f>
        <v>0.11180555555555555</v>
      </c>
      <c r="S372" s="8">
        <f>SUMIF(Cocina[Número de Orden],Sala[[#This Row],[Número de Orden]],Cocina[Ganancia bruta])</f>
        <v>200</v>
      </c>
      <c r="T372" s="8">
        <f>SUMIF(Cocina[Número de Orden],Sala[[#This Row],[Número de Orden]],Cocina[Costo Unitario])</f>
        <v>71</v>
      </c>
      <c r="U372" s="2">
        <f>Sala[[#This Row],[Fecha de Salida]]</f>
        <v>45020</v>
      </c>
      <c r="V372" s="7" t="str">
        <f>TEXT(Sala[[#This Row],[Fecha factura]],"dddd")</f>
        <v>martes</v>
      </c>
      <c r="W372" t="str">
        <f>IF(Sala[[#This Row],[Tiempo de degustación]]&gt;0,"Sí","No")</f>
        <v>Sí</v>
      </c>
      <c r="X372" t="str">
        <f>IF(Sala[[#This Row],[Cobrada]]="Sí",Sala[[#This Row],[Método de Pago]],"Impago")</f>
        <v>Tarjeta de crédito</v>
      </c>
      <c r="Y372">
        <f>IF(Sala[[#This Row],[Cobrada]]="Sí",Sala[[#This Row],[Propina]],0)</f>
        <v>32.51</v>
      </c>
      <c r="Z372">
        <f>(IF(Sala[[#This Row],[Cobrada]]="Sí",Sala[[#This Row],[Monto total]],0))+Sala[[#This Row],[Propina real]]</f>
        <v>232.51</v>
      </c>
    </row>
    <row r="373" spans="1:26" x14ac:dyDescent="0.25">
      <c r="A373">
        <v>14</v>
      </c>
      <c r="B373" t="s">
        <v>371</v>
      </c>
      <c r="C373">
        <v>5</v>
      </c>
      <c r="D373" s="2">
        <v>45020</v>
      </c>
      <c r="E373" s="3">
        <v>0.11527777777777778</v>
      </c>
      <c r="F373" s="2">
        <v>45020</v>
      </c>
      <c r="G373" s="3">
        <v>0.25972222222222224</v>
      </c>
      <c r="H373" s="1" t="s">
        <v>16</v>
      </c>
      <c r="I373" t="s">
        <v>8</v>
      </c>
      <c r="J373" t="s">
        <v>601</v>
      </c>
      <c r="K373" s="9">
        <v>17.170000000000002</v>
      </c>
      <c r="L373" t="s">
        <v>9</v>
      </c>
      <c r="M373">
        <v>372</v>
      </c>
      <c r="N373" t="s">
        <v>18</v>
      </c>
      <c r="O373" s="3">
        <f>(Sala[[#This Row],[Hora de Salida]]-Sala[[#This Row],[Hora de llegada]])+IF(Sala[[#This Row],[Estado de la Mesa]]="Ocupada",(TEXT((15/(60*24)),"h:mm")),(TEXT(0,"h:mm")))</f>
        <v>0.14444444444444446</v>
      </c>
      <c r="P373" s="43">
        <f>(SUMIF(Cocina[Número de Orden],Sala[[#This Row],[Número de Orden]],Cocina[Tiempo de Preparación]))</f>
        <v>22</v>
      </c>
      <c r="Q373" s="5" t="str">
        <f>TEXT(((SUMIF(Cocina[Número de Orden],Sala[[#This Row],[Número de Orden]],Cocina[Tiempo de Preparación]))/(60*24)),"h:mm")</f>
        <v>0:22</v>
      </c>
      <c r="R373" s="3">
        <f>MAX((Sala[[#This Row],[Tiempo de permanencia]]-Sala[[#This Row],[Tiempo de preparación (h)]]),0)</f>
        <v>0.12916666666666668</v>
      </c>
      <c r="S373" s="8">
        <f>SUMIF(Cocina[Número de Orden],Sala[[#This Row],[Número de Orden]],Cocina[Ganancia bruta])</f>
        <v>36</v>
      </c>
      <c r="T373" s="8">
        <f>SUMIF(Cocina[Número de Orden],Sala[[#This Row],[Número de Orden]],Cocina[Costo Unitario])</f>
        <v>10</v>
      </c>
      <c r="U373" s="2">
        <f>Sala[[#This Row],[Fecha de Salida]]</f>
        <v>45020</v>
      </c>
      <c r="V373" s="7" t="str">
        <f>TEXT(Sala[[#This Row],[Fecha factura]],"dddd")</f>
        <v>martes</v>
      </c>
      <c r="W373" t="str">
        <f>IF(Sala[[#This Row],[Tiempo de degustación]]&gt;0,"Sí","No")</f>
        <v>Sí</v>
      </c>
      <c r="X373" t="str">
        <f>IF(Sala[[#This Row],[Cobrada]]="Sí",Sala[[#This Row],[Método de Pago]],"Impago")</f>
        <v>Tarjeta de crédito</v>
      </c>
      <c r="Y373">
        <f>IF(Sala[[#This Row],[Cobrada]]="Sí",Sala[[#This Row],[Propina]],0)</f>
        <v>17.170000000000002</v>
      </c>
      <c r="Z373">
        <f>(IF(Sala[[#This Row],[Cobrada]]="Sí",Sala[[#This Row],[Monto total]],0))+Sala[[#This Row],[Propina real]]</f>
        <v>53.17</v>
      </c>
    </row>
    <row r="374" spans="1:26" x14ac:dyDescent="0.25">
      <c r="A374">
        <v>19</v>
      </c>
      <c r="B374" t="s">
        <v>372</v>
      </c>
      <c r="C374">
        <v>2</v>
      </c>
      <c r="D374" s="2">
        <v>45020</v>
      </c>
      <c r="E374" s="3">
        <v>2.5694444444444443E-2</v>
      </c>
      <c r="F374" s="2">
        <v>45020</v>
      </c>
      <c r="G374" s="3">
        <v>0.13263888888888889</v>
      </c>
      <c r="H374" s="1" t="s">
        <v>20</v>
      </c>
      <c r="I374" t="s">
        <v>12</v>
      </c>
      <c r="J374" t="s">
        <v>600</v>
      </c>
      <c r="K374" s="9">
        <v>26.62</v>
      </c>
      <c r="L374" t="s">
        <v>28</v>
      </c>
      <c r="M374">
        <v>373</v>
      </c>
      <c r="N374" t="s">
        <v>59</v>
      </c>
      <c r="O374" s="3">
        <f>(Sala[[#This Row],[Hora de Salida]]-Sala[[#This Row],[Hora de llegada]])+IF(Sala[[#This Row],[Estado de la Mesa]]="Ocupada",(TEXT((15/(60*24)),"h:mm")),(TEXT(0,"h:mm")))</f>
        <v>0.11736111111111112</v>
      </c>
      <c r="P374" s="43">
        <f>(SUMIF(Cocina[Número de Orden],Sala[[#This Row],[Número de Orden]],Cocina[Tiempo de Preparación]))</f>
        <v>116</v>
      </c>
      <c r="Q374" s="5" t="str">
        <f>TEXT(((SUMIF(Cocina[Número de Orden],Sala[[#This Row],[Número de Orden]],Cocina[Tiempo de Preparación]))/(60*24)),"h:mm")</f>
        <v>1:56</v>
      </c>
      <c r="R374" s="3">
        <f>MAX((Sala[[#This Row],[Tiempo de permanencia]]-Sala[[#This Row],[Tiempo de preparación (h)]]),0)</f>
        <v>3.6805555555555564E-2</v>
      </c>
      <c r="S374" s="8">
        <f>SUMIF(Cocina[Número de Orden],Sala[[#This Row],[Número de Orden]],Cocina[Ganancia bruta])</f>
        <v>160</v>
      </c>
      <c r="T374" s="8">
        <f>SUMIF(Cocina[Número de Orden],Sala[[#This Row],[Número de Orden]],Cocina[Costo Unitario])</f>
        <v>59</v>
      </c>
      <c r="U374" s="2">
        <f>Sala[[#This Row],[Fecha de Salida]]</f>
        <v>45020</v>
      </c>
      <c r="V374" s="7" t="str">
        <f>TEXT(Sala[[#This Row],[Fecha factura]],"dddd")</f>
        <v>martes</v>
      </c>
      <c r="W374" t="str">
        <f>IF(Sala[[#This Row],[Tiempo de degustación]]&gt;0,"Sí","No")</f>
        <v>Sí</v>
      </c>
      <c r="X374" t="str">
        <f>IF(Sala[[#This Row],[Cobrada]]="Sí",Sala[[#This Row],[Método de Pago]],"Impago")</f>
        <v>Tarjeta de débito</v>
      </c>
      <c r="Y374">
        <f>IF(Sala[[#This Row],[Cobrada]]="Sí",Sala[[#This Row],[Propina]],0)</f>
        <v>26.62</v>
      </c>
      <c r="Z374">
        <f>(IF(Sala[[#This Row],[Cobrada]]="Sí",Sala[[#This Row],[Monto total]],0))+Sala[[#This Row],[Propina real]]</f>
        <v>186.62</v>
      </c>
    </row>
    <row r="375" spans="1:26" x14ac:dyDescent="0.25">
      <c r="A375">
        <v>18</v>
      </c>
      <c r="B375" t="s">
        <v>373</v>
      </c>
      <c r="C375">
        <v>3</v>
      </c>
      <c r="D375" s="2">
        <v>45020</v>
      </c>
      <c r="E375" s="3">
        <v>0.13819444444444445</v>
      </c>
      <c r="F375" s="2">
        <v>45020</v>
      </c>
      <c r="G375" s="3">
        <v>0.18333333333333332</v>
      </c>
      <c r="H375" s="1" t="s">
        <v>16</v>
      </c>
      <c r="I375" t="s">
        <v>8</v>
      </c>
      <c r="J375" t="s">
        <v>601</v>
      </c>
      <c r="K375" s="9">
        <v>33.35</v>
      </c>
      <c r="L375" t="s">
        <v>17</v>
      </c>
      <c r="M375">
        <v>374</v>
      </c>
      <c r="N375" t="s">
        <v>21</v>
      </c>
      <c r="O375" s="3">
        <f>(Sala[[#This Row],[Hora de Salida]]-Sala[[#This Row],[Hora de llegada]])+IF(Sala[[#This Row],[Estado de la Mesa]]="Ocupada",(TEXT((15/(60*24)),"h:mm")),(TEXT(0,"h:mm")))</f>
        <v>4.5138888888888867E-2</v>
      </c>
      <c r="P375" s="43">
        <f>(SUMIF(Cocina[Número de Orden],Sala[[#This Row],[Número de Orden]],Cocina[Tiempo de Preparación]))</f>
        <v>9</v>
      </c>
      <c r="Q375" s="5" t="str">
        <f>TEXT(((SUMIF(Cocina[Número de Orden],Sala[[#This Row],[Número de Orden]],Cocina[Tiempo de Preparación]))/(60*24)),"h:mm")</f>
        <v>0:09</v>
      </c>
      <c r="R375" s="3">
        <f>MAX((Sala[[#This Row],[Tiempo de permanencia]]-Sala[[#This Row],[Tiempo de preparación (h)]]),0)</f>
        <v>3.8888888888888869E-2</v>
      </c>
      <c r="S375" s="8">
        <f>SUMIF(Cocina[Número de Orden],Sala[[#This Row],[Número de Orden]],Cocina[Ganancia bruta])</f>
        <v>35</v>
      </c>
      <c r="T375" s="8">
        <f>SUMIF(Cocina[Número de Orden],Sala[[#This Row],[Número de Orden]],Cocina[Costo Unitario])</f>
        <v>21</v>
      </c>
      <c r="U375" s="2">
        <f>Sala[[#This Row],[Fecha de Salida]]</f>
        <v>45020</v>
      </c>
      <c r="V375" s="7" t="str">
        <f>TEXT(Sala[[#This Row],[Fecha factura]],"dddd")</f>
        <v>martes</v>
      </c>
      <c r="W375" t="str">
        <f>IF(Sala[[#This Row],[Tiempo de degustación]]&gt;0,"Sí","No")</f>
        <v>Sí</v>
      </c>
      <c r="X375" t="str">
        <f>IF(Sala[[#This Row],[Cobrada]]="Sí",Sala[[#This Row],[Método de Pago]],"Impago")</f>
        <v>Tarjeta de crédito</v>
      </c>
      <c r="Y375">
        <f>IF(Sala[[#This Row],[Cobrada]]="Sí",Sala[[#This Row],[Propina]],0)</f>
        <v>33.35</v>
      </c>
      <c r="Z375">
        <f>(IF(Sala[[#This Row],[Cobrada]]="Sí",Sala[[#This Row],[Monto total]],0))+Sala[[#This Row],[Propina real]]</f>
        <v>68.349999999999994</v>
      </c>
    </row>
    <row r="376" spans="1:26" x14ac:dyDescent="0.25">
      <c r="A376">
        <v>18</v>
      </c>
      <c r="B376" t="s">
        <v>374</v>
      </c>
      <c r="C376">
        <v>1</v>
      </c>
      <c r="D376" s="2">
        <v>45020</v>
      </c>
      <c r="E376" s="3">
        <v>1.1805555555555555E-2</v>
      </c>
      <c r="F376" s="2">
        <v>45020</v>
      </c>
      <c r="G376" s="3">
        <v>0.13125000000000001</v>
      </c>
      <c r="H376" s="1" t="s">
        <v>7</v>
      </c>
      <c r="I376" t="s">
        <v>8</v>
      </c>
      <c r="J376" t="s">
        <v>601</v>
      </c>
      <c r="K376" s="9">
        <v>22.3</v>
      </c>
      <c r="L376" t="s">
        <v>9</v>
      </c>
      <c r="M376">
        <v>375</v>
      </c>
      <c r="N376" t="s">
        <v>594</v>
      </c>
      <c r="O376" s="3">
        <f>(Sala[[#This Row],[Hora de Salida]]-Sala[[#This Row],[Hora de llegada]])+IF(Sala[[#This Row],[Estado de la Mesa]]="Ocupada",(TEXT((15/(60*24)),"h:mm")),(TEXT(0,"h:mm")))</f>
        <v>0.11944444444444445</v>
      </c>
      <c r="P376" s="43">
        <f>(SUMIF(Cocina[Número de Orden],Sala[[#This Row],[Número de Orden]],Cocina[Tiempo de Preparación]))</f>
        <v>27</v>
      </c>
      <c r="Q376" s="5" t="str">
        <f>TEXT(((SUMIF(Cocina[Número de Orden],Sala[[#This Row],[Número de Orden]],Cocina[Tiempo de Preparación]))/(60*24)),"h:mm")</f>
        <v>0:27</v>
      </c>
      <c r="R376" s="3">
        <f>MAX((Sala[[#This Row],[Tiempo de permanencia]]-Sala[[#This Row],[Tiempo de preparación (h)]]),0)</f>
        <v>0.10069444444444445</v>
      </c>
      <c r="S376" s="8">
        <f>SUMIF(Cocina[Número de Orden],Sala[[#This Row],[Número de Orden]],Cocina[Ganancia bruta])</f>
        <v>93</v>
      </c>
      <c r="T376" s="8">
        <f>SUMIF(Cocina[Número de Orden],Sala[[#This Row],[Número de Orden]],Cocina[Costo Unitario])</f>
        <v>19</v>
      </c>
      <c r="U376" s="2">
        <f>Sala[[#This Row],[Fecha de Salida]]</f>
        <v>45020</v>
      </c>
      <c r="V376" s="7" t="str">
        <f>TEXT(Sala[[#This Row],[Fecha factura]],"dddd")</f>
        <v>martes</v>
      </c>
      <c r="W376" t="str">
        <f>IF(Sala[[#This Row],[Tiempo de degustación]]&gt;0,"Sí","No")</f>
        <v>Sí</v>
      </c>
      <c r="X376" t="str">
        <f>IF(Sala[[#This Row],[Cobrada]]="Sí",Sala[[#This Row],[Método de Pago]],"Impago")</f>
        <v>Tarjeta de crédito</v>
      </c>
      <c r="Y376">
        <f>IF(Sala[[#This Row],[Cobrada]]="Sí",Sala[[#This Row],[Propina]],0)</f>
        <v>22.3</v>
      </c>
      <c r="Z376">
        <f>(IF(Sala[[#This Row],[Cobrada]]="Sí",Sala[[#This Row],[Monto total]],0))+Sala[[#This Row],[Propina real]]</f>
        <v>115.3</v>
      </c>
    </row>
    <row r="377" spans="1:26" x14ac:dyDescent="0.25">
      <c r="A377">
        <v>16</v>
      </c>
      <c r="B377" t="s">
        <v>361</v>
      </c>
      <c r="C377">
        <v>4</v>
      </c>
      <c r="D377" s="2">
        <v>45020</v>
      </c>
      <c r="E377" s="3">
        <v>0.12013888888888889</v>
      </c>
      <c r="F377" s="2">
        <v>45020</v>
      </c>
      <c r="G377" s="3">
        <v>0.21666666666666667</v>
      </c>
      <c r="H377" s="1" t="s">
        <v>11</v>
      </c>
      <c r="I377" t="s">
        <v>8</v>
      </c>
      <c r="J377" t="s">
        <v>13</v>
      </c>
      <c r="K377" s="9">
        <v>27.51</v>
      </c>
      <c r="L377" t="s">
        <v>28</v>
      </c>
      <c r="M377">
        <v>376</v>
      </c>
      <c r="N377" t="s">
        <v>44</v>
      </c>
      <c r="O377" s="3">
        <f>(Sala[[#This Row],[Hora de Salida]]-Sala[[#This Row],[Hora de llegada]])+IF(Sala[[#This Row],[Estado de la Mesa]]="Ocupada",(TEXT((15/(60*24)),"h:mm")),(TEXT(0,"h:mm")))</f>
        <v>0.10694444444444445</v>
      </c>
      <c r="P377" s="43">
        <f>(SUMIF(Cocina[Número de Orden],Sala[[#This Row],[Número de Orden]],Cocina[Tiempo de Preparación]))</f>
        <v>5</v>
      </c>
      <c r="Q377" s="5" t="str">
        <f>TEXT(((SUMIF(Cocina[Número de Orden],Sala[[#This Row],[Número de Orden]],Cocina[Tiempo de Preparación]))/(60*24)),"h:mm")</f>
        <v>0:05</v>
      </c>
      <c r="R377" s="3">
        <f>MAX((Sala[[#This Row],[Tiempo de permanencia]]-Sala[[#This Row],[Tiempo de preparación (h)]]),0)</f>
        <v>0.10347222222222223</v>
      </c>
      <c r="S377" s="8">
        <f>SUMIF(Cocina[Número de Orden],Sala[[#This Row],[Número de Orden]],Cocina[Ganancia bruta])</f>
        <v>46</v>
      </c>
      <c r="T377" s="8">
        <f>SUMIF(Cocina[Número de Orden],Sala[[#This Row],[Número de Orden]],Cocina[Costo Unitario])</f>
        <v>14</v>
      </c>
      <c r="U377" s="2">
        <f>Sala[[#This Row],[Fecha de Salida]]</f>
        <v>45020</v>
      </c>
      <c r="V377" s="7" t="str">
        <f>TEXT(Sala[[#This Row],[Fecha factura]],"dddd")</f>
        <v>martes</v>
      </c>
      <c r="W377" t="str">
        <f>IF(Sala[[#This Row],[Tiempo de degustación]]&gt;0,"Sí","No")</f>
        <v>Sí</v>
      </c>
      <c r="X377" t="str">
        <f>IF(Sala[[#This Row],[Cobrada]]="Sí",Sala[[#This Row],[Método de Pago]],"Impago")</f>
        <v>Efectivo</v>
      </c>
      <c r="Y377">
        <f>IF(Sala[[#This Row],[Cobrada]]="Sí",Sala[[#This Row],[Propina]],0)</f>
        <v>27.51</v>
      </c>
      <c r="Z377">
        <f>(IF(Sala[[#This Row],[Cobrada]]="Sí",Sala[[#This Row],[Monto total]],0))+Sala[[#This Row],[Propina real]]</f>
        <v>73.510000000000005</v>
      </c>
    </row>
    <row r="378" spans="1:26" x14ac:dyDescent="0.25">
      <c r="A378">
        <v>5</v>
      </c>
      <c r="B378" t="s">
        <v>375</v>
      </c>
      <c r="C378">
        <v>1</v>
      </c>
      <c r="D378" s="2">
        <v>45020</v>
      </c>
      <c r="E378" s="3">
        <v>5.4166666666666669E-2</v>
      </c>
      <c r="F378" s="2">
        <v>45020</v>
      </c>
      <c r="G378" s="3">
        <v>0.1986111111111111</v>
      </c>
      <c r="H378" s="1" t="s">
        <v>23</v>
      </c>
      <c r="I378" t="s">
        <v>8</v>
      </c>
      <c r="J378" t="s">
        <v>601</v>
      </c>
      <c r="K378" s="9">
        <v>14.96</v>
      </c>
      <c r="L378" t="s">
        <v>17</v>
      </c>
      <c r="M378">
        <v>377</v>
      </c>
      <c r="N378" t="s">
        <v>21</v>
      </c>
      <c r="O378" s="3">
        <f>(Sala[[#This Row],[Hora de Salida]]-Sala[[#This Row],[Hora de llegada]])+IF(Sala[[#This Row],[Estado de la Mesa]]="Ocupada",(TEXT((15/(60*24)),"h:mm")),(TEXT(0,"h:mm")))</f>
        <v>0.14444444444444443</v>
      </c>
      <c r="P378" s="43">
        <f>(SUMIF(Cocina[Número de Orden],Sala[[#This Row],[Número de Orden]],Cocina[Tiempo de Preparación]))</f>
        <v>46</v>
      </c>
      <c r="Q378" s="5" t="str">
        <f>TEXT(((SUMIF(Cocina[Número de Orden],Sala[[#This Row],[Número de Orden]],Cocina[Tiempo de Preparación]))/(60*24)),"h:mm")</f>
        <v>0:46</v>
      </c>
      <c r="R378" s="3">
        <f>MAX((Sala[[#This Row],[Tiempo de permanencia]]-Sala[[#This Row],[Tiempo de preparación (h)]]),0)</f>
        <v>0.11249999999999999</v>
      </c>
      <c r="S378" s="8">
        <f>SUMIF(Cocina[Número de Orden],Sala[[#This Row],[Número de Orden]],Cocina[Ganancia bruta])</f>
        <v>100</v>
      </c>
      <c r="T378" s="8">
        <f>SUMIF(Cocina[Número de Orden],Sala[[#This Row],[Número de Orden]],Cocina[Costo Unitario])</f>
        <v>39</v>
      </c>
      <c r="U378" s="2">
        <f>Sala[[#This Row],[Fecha de Salida]]</f>
        <v>45020</v>
      </c>
      <c r="V378" s="7" t="str">
        <f>TEXT(Sala[[#This Row],[Fecha factura]],"dddd")</f>
        <v>martes</v>
      </c>
      <c r="W378" t="str">
        <f>IF(Sala[[#This Row],[Tiempo de degustación]]&gt;0,"Sí","No")</f>
        <v>Sí</v>
      </c>
      <c r="X378" t="str">
        <f>IF(Sala[[#This Row],[Cobrada]]="Sí",Sala[[#This Row],[Método de Pago]],"Impago")</f>
        <v>Tarjeta de crédito</v>
      </c>
      <c r="Y378">
        <f>IF(Sala[[#This Row],[Cobrada]]="Sí",Sala[[#This Row],[Propina]],0)</f>
        <v>14.96</v>
      </c>
      <c r="Z378">
        <f>(IF(Sala[[#This Row],[Cobrada]]="Sí",Sala[[#This Row],[Monto total]],0))+Sala[[#This Row],[Propina real]]</f>
        <v>114.96000000000001</v>
      </c>
    </row>
    <row r="379" spans="1:26" x14ac:dyDescent="0.25">
      <c r="A379">
        <v>3</v>
      </c>
      <c r="B379" t="s">
        <v>376</v>
      </c>
      <c r="C379">
        <v>1</v>
      </c>
      <c r="D379" s="2">
        <v>45020</v>
      </c>
      <c r="E379" s="3">
        <v>0.16319444444444445</v>
      </c>
      <c r="F379" s="2">
        <v>45020</v>
      </c>
      <c r="G379" s="3">
        <v>0.22083333333333333</v>
      </c>
      <c r="H379" s="1" t="s">
        <v>11</v>
      </c>
      <c r="I379" t="s">
        <v>8</v>
      </c>
      <c r="J379" t="s">
        <v>13</v>
      </c>
      <c r="K379" s="9">
        <v>40.31</v>
      </c>
      <c r="L379" t="s">
        <v>17</v>
      </c>
      <c r="M379">
        <v>378</v>
      </c>
      <c r="N379" t="s">
        <v>593</v>
      </c>
      <c r="O379" s="3">
        <f>(Sala[[#This Row],[Hora de Salida]]-Sala[[#This Row],[Hora de llegada]])+IF(Sala[[#This Row],[Estado de la Mesa]]="Ocupada",(TEXT((15/(60*24)),"h:mm")),(TEXT(0,"h:mm")))</f>
        <v>5.7638888888888878E-2</v>
      </c>
      <c r="P379" s="43">
        <f>(SUMIF(Cocina[Número de Orden],Sala[[#This Row],[Número de Orden]],Cocina[Tiempo de Preparación]))</f>
        <v>21</v>
      </c>
      <c r="Q379" s="5" t="str">
        <f>TEXT(((SUMIF(Cocina[Número de Orden],Sala[[#This Row],[Número de Orden]],Cocina[Tiempo de Preparación]))/(60*24)),"h:mm")</f>
        <v>0:21</v>
      </c>
      <c r="R379" s="3">
        <f>MAX((Sala[[#This Row],[Tiempo de permanencia]]-Sala[[#This Row],[Tiempo de preparación (h)]]),0)</f>
        <v>4.3055555555555541E-2</v>
      </c>
      <c r="S379" s="8">
        <f>SUMIF(Cocina[Número de Orden],Sala[[#This Row],[Número de Orden]],Cocina[Ganancia bruta])</f>
        <v>49</v>
      </c>
      <c r="T379" s="8">
        <f>SUMIF(Cocina[Número de Orden],Sala[[#This Row],[Número de Orden]],Cocina[Costo Unitario])</f>
        <v>29</v>
      </c>
      <c r="U379" s="2">
        <f>Sala[[#This Row],[Fecha de Salida]]</f>
        <v>45020</v>
      </c>
      <c r="V379" s="7" t="str">
        <f>TEXT(Sala[[#This Row],[Fecha factura]],"dddd")</f>
        <v>martes</v>
      </c>
      <c r="W379" t="str">
        <f>IF(Sala[[#This Row],[Tiempo de degustación]]&gt;0,"Sí","No")</f>
        <v>Sí</v>
      </c>
      <c r="X379" t="str">
        <f>IF(Sala[[#This Row],[Cobrada]]="Sí",Sala[[#This Row],[Método de Pago]],"Impago")</f>
        <v>Efectivo</v>
      </c>
      <c r="Y379">
        <f>IF(Sala[[#This Row],[Cobrada]]="Sí",Sala[[#This Row],[Propina]],0)</f>
        <v>40.31</v>
      </c>
      <c r="Z379">
        <f>(IF(Sala[[#This Row],[Cobrada]]="Sí",Sala[[#This Row],[Monto total]],0))+Sala[[#This Row],[Propina real]]</f>
        <v>89.31</v>
      </c>
    </row>
    <row r="380" spans="1:26" x14ac:dyDescent="0.25">
      <c r="A380">
        <v>4</v>
      </c>
      <c r="B380" t="s">
        <v>219</v>
      </c>
      <c r="C380">
        <v>2</v>
      </c>
      <c r="D380" s="2">
        <v>45020</v>
      </c>
      <c r="E380" s="3">
        <v>6.3194444444444442E-2</v>
      </c>
      <c r="F380" s="2">
        <v>45020</v>
      </c>
      <c r="G380" s="3">
        <v>0.16458333333333333</v>
      </c>
      <c r="H380" s="1" t="s">
        <v>7</v>
      </c>
      <c r="I380" t="s">
        <v>12</v>
      </c>
      <c r="J380" t="s">
        <v>601</v>
      </c>
      <c r="K380" s="9">
        <v>10.61</v>
      </c>
      <c r="L380" t="s">
        <v>28</v>
      </c>
      <c r="M380">
        <v>379</v>
      </c>
      <c r="N380" t="s">
        <v>47</v>
      </c>
      <c r="O380" s="3">
        <f>(Sala[[#This Row],[Hora de Salida]]-Sala[[#This Row],[Hora de llegada]])+IF(Sala[[#This Row],[Estado de la Mesa]]="Ocupada",(TEXT((15/(60*24)),"h:mm")),(TEXT(0,"h:mm")))</f>
        <v>0.11180555555555556</v>
      </c>
      <c r="P380" s="43">
        <f>(SUMIF(Cocina[Número de Orden],Sala[[#This Row],[Número de Orden]],Cocina[Tiempo de Preparación]))</f>
        <v>6</v>
      </c>
      <c r="Q380" s="5" t="str">
        <f>TEXT(((SUMIF(Cocina[Número de Orden],Sala[[#This Row],[Número de Orden]],Cocina[Tiempo de Preparación]))/(60*24)),"h:mm")</f>
        <v>0:06</v>
      </c>
      <c r="R380" s="3">
        <f>MAX((Sala[[#This Row],[Tiempo de permanencia]]-Sala[[#This Row],[Tiempo de preparación (h)]]),0)</f>
        <v>0.1076388888888889</v>
      </c>
      <c r="S380" s="8">
        <f>SUMIF(Cocina[Número de Orden],Sala[[#This Row],[Número de Orden]],Cocina[Ganancia bruta])</f>
        <v>70</v>
      </c>
      <c r="T380" s="8">
        <f>SUMIF(Cocina[Número de Orden],Sala[[#This Row],[Número de Orden]],Cocina[Costo Unitario])</f>
        <v>21</v>
      </c>
      <c r="U380" s="2">
        <f>Sala[[#This Row],[Fecha de Salida]]</f>
        <v>45020</v>
      </c>
      <c r="V380" s="7" t="str">
        <f>TEXT(Sala[[#This Row],[Fecha factura]],"dddd")</f>
        <v>martes</v>
      </c>
      <c r="W380" t="str">
        <f>IF(Sala[[#This Row],[Tiempo de degustación]]&gt;0,"Sí","No")</f>
        <v>Sí</v>
      </c>
      <c r="X380" t="str">
        <f>IF(Sala[[#This Row],[Cobrada]]="Sí",Sala[[#This Row],[Método de Pago]],"Impago")</f>
        <v>Tarjeta de crédito</v>
      </c>
      <c r="Y380">
        <f>IF(Sala[[#This Row],[Cobrada]]="Sí",Sala[[#This Row],[Propina]],0)</f>
        <v>10.61</v>
      </c>
      <c r="Z380">
        <f>(IF(Sala[[#This Row],[Cobrada]]="Sí",Sala[[#This Row],[Monto total]],0))+Sala[[#This Row],[Propina real]]</f>
        <v>80.61</v>
      </c>
    </row>
    <row r="381" spans="1:26" x14ac:dyDescent="0.25">
      <c r="A381">
        <v>5</v>
      </c>
      <c r="B381" t="s">
        <v>187</v>
      </c>
      <c r="C381">
        <v>1</v>
      </c>
      <c r="D381" s="2">
        <v>45020</v>
      </c>
      <c r="E381" s="3">
        <v>4.027777777777778E-2</v>
      </c>
      <c r="F381" s="2">
        <v>45020</v>
      </c>
      <c r="G381" s="3">
        <v>0.18958333333333333</v>
      </c>
      <c r="H381" s="1" t="s">
        <v>7</v>
      </c>
      <c r="I381" t="s">
        <v>25</v>
      </c>
      <c r="J381" t="s">
        <v>600</v>
      </c>
      <c r="K381" s="9">
        <v>22.53</v>
      </c>
      <c r="L381" t="s">
        <v>17</v>
      </c>
      <c r="M381">
        <v>380</v>
      </c>
      <c r="N381" t="s">
        <v>59</v>
      </c>
      <c r="O381" s="3">
        <f>(Sala[[#This Row],[Hora de Salida]]-Sala[[#This Row],[Hora de llegada]])+IF(Sala[[#This Row],[Estado de la Mesa]]="Ocupada",(TEXT((15/(60*24)),"h:mm")),(TEXT(0,"h:mm")))</f>
        <v>0.14930555555555555</v>
      </c>
      <c r="P381" s="43">
        <f>(SUMIF(Cocina[Número de Orden],Sala[[#This Row],[Número de Orden]],Cocina[Tiempo de Preparación]))</f>
        <v>93</v>
      </c>
      <c r="Q381" s="5" t="str">
        <f>TEXT(((SUMIF(Cocina[Número de Orden],Sala[[#This Row],[Número de Orden]],Cocina[Tiempo de Preparación]))/(60*24)),"h:mm")</f>
        <v>1:33</v>
      </c>
      <c r="R381" s="3">
        <f>MAX((Sala[[#This Row],[Tiempo de permanencia]]-Sala[[#This Row],[Tiempo de preparación (h)]]),0)</f>
        <v>8.4722222222222213E-2</v>
      </c>
      <c r="S381" s="8">
        <f>SUMIF(Cocina[Número de Orden],Sala[[#This Row],[Número de Orden]],Cocina[Ganancia bruta])</f>
        <v>137</v>
      </c>
      <c r="T381" s="8">
        <f>SUMIF(Cocina[Número de Orden],Sala[[#This Row],[Número de Orden]],Cocina[Costo Unitario])</f>
        <v>31</v>
      </c>
      <c r="U381" s="2">
        <f>Sala[[#This Row],[Fecha de Salida]]</f>
        <v>45020</v>
      </c>
      <c r="V381" s="7" t="str">
        <f>TEXT(Sala[[#This Row],[Fecha factura]],"dddd")</f>
        <v>martes</v>
      </c>
      <c r="W381" t="str">
        <f>IF(Sala[[#This Row],[Tiempo de degustación]]&gt;0,"Sí","No")</f>
        <v>Sí</v>
      </c>
      <c r="X381" t="str">
        <f>IF(Sala[[#This Row],[Cobrada]]="Sí",Sala[[#This Row],[Método de Pago]],"Impago")</f>
        <v>Tarjeta de débito</v>
      </c>
      <c r="Y381">
        <f>IF(Sala[[#This Row],[Cobrada]]="Sí",Sala[[#This Row],[Propina]],0)</f>
        <v>22.53</v>
      </c>
      <c r="Z381">
        <f>(IF(Sala[[#This Row],[Cobrada]]="Sí",Sala[[#This Row],[Monto total]],0))+Sala[[#This Row],[Propina real]]</f>
        <v>159.53</v>
      </c>
    </row>
    <row r="382" spans="1:26" x14ac:dyDescent="0.25">
      <c r="A382">
        <v>4</v>
      </c>
      <c r="B382" t="s">
        <v>377</v>
      </c>
      <c r="C382">
        <v>1</v>
      </c>
      <c r="D382" s="2">
        <v>45020</v>
      </c>
      <c r="E382" s="3">
        <v>3.9583333333333331E-2</v>
      </c>
      <c r="F382" s="2">
        <v>45020</v>
      </c>
      <c r="G382" s="3">
        <v>0.18888888888888888</v>
      </c>
      <c r="H382" s="1" t="s">
        <v>11</v>
      </c>
      <c r="I382" t="s">
        <v>12</v>
      </c>
      <c r="J382" t="s">
        <v>600</v>
      </c>
      <c r="K382" s="9">
        <v>27.69</v>
      </c>
      <c r="L382" t="s">
        <v>17</v>
      </c>
      <c r="M382">
        <v>381</v>
      </c>
      <c r="N382" t="s">
        <v>34</v>
      </c>
      <c r="O382" s="3">
        <f>(Sala[[#This Row],[Hora de Salida]]-Sala[[#This Row],[Hora de llegada]])+IF(Sala[[#This Row],[Estado de la Mesa]]="Ocupada",(TEXT((15/(60*24)),"h:mm")),(TEXT(0,"h:mm")))</f>
        <v>0.14930555555555555</v>
      </c>
      <c r="P382" s="43">
        <f>(SUMIF(Cocina[Número de Orden],Sala[[#This Row],[Número de Orden]],Cocina[Tiempo de Preparación]))</f>
        <v>47</v>
      </c>
      <c r="Q382" s="5" t="str">
        <f>TEXT(((SUMIF(Cocina[Número de Orden],Sala[[#This Row],[Número de Orden]],Cocina[Tiempo de Preparación]))/(60*24)),"h:mm")</f>
        <v>0:47</v>
      </c>
      <c r="R382" s="3">
        <f>MAX((Sala[[#This Row],[Tiempo de permanencia]]-Sala[[#This Row],[Tiempo de preparación (h)]]),0)</f>
        <v>0.11666666666666667</v>
      </c>
      <c r="S382" s="8">
        <f>SUMIF(Cocina[Número de Orden],Sala[[#This Row],[Número de Orden]],Cocina[Ganancia bruta])</f>
        <v>144</v>
      </c>
      <c r="T382" s="8">
        <f>SUMIF(Cocina[Número de Orden],Sala[[#This Row],[Número de Orden]],Cocina[Costo Unitario])</f>
        <v>35</v>
      </c>
      <c r="U382" s="2">
        <f>Sala[[#This Row],[Fecha de Salida]]</f>
        <v>45020</v>
      </c>
      <c r="V382" s="7" t="str">
        <f>TEXT(Sala[[#This Row],[Fecha factura]],"dddd")</f>
        <v>martes</v>
      </c>
      <c r="W382" t="str">
        <f>IF(Sala[[#This Row],[Tiempo de degustación]]&gt;0,"Sí","No")</f>
        <v>Sí</v>
      </c>
      <c r="X382" t="str">
        <f>IF(Sala[[#This Row],[Cobrada]]="Sí",Sala[[#This Row],[Método de Pago]],"Impago")</f>
        <v>Tarjeta de débito</v>
      </c>
      <c r="Y382">
        <f>IF(Sala[[#This Row],[Cobrada]]="Sí",Sala[[#This Row],[Propina]],0)</f>
        <v>27.69</v>
      </c>
      <c r="Z382">
        <f>(IF(Sala[[#This Row],[Cobrada]]="Sí",Sala[[#This Row],[Monto total]],0))+Sala[[#This Row],[Propina real]]</f>
        <v>171.69</v>
      </c>
    </row>
    <row r="383" spans="1:26" x14ac:dyDescent="0.25">
      <c r="A383">
        <v>20</v>
      </c>
      <c r="B383" t="s">
        <v>105</v>
      </c>
      <c r="C383">
        <v>6</v>
      </c>
      <c r="D383" s="2">
        <v>45020</v>
      </c>
      <c r="E383" s="3">
        <v>0.13125000000000001</v>
      </c>
      <c r="F383" s="2">
        <v>45020</v>
      </c>
      <c r="G383" s="3">
        <v>0.26874999999999999</v>
      </c>
      <c r="H383" s="1" t="s">
        <v>16</v>
      </c>
      <c r="I383" t="s">
        <v>25</v>
      </c>
      <c r="J383" t="s">
        <v>600</v>
      </c>
      <c r="K383" s="9">
        <v>19.8</v>
      </c>
      <c r="L383" t="s">
        <v>9</v>
      </c>
      <c r="M383">
        <v>382</v>
      </c>
      <c r="N383" t="s">
        <v>44</v>
      </c>
      <c r="O383" s="3">
        <f>(Sala[[#This Row],[Hora de Salida]]-Sala[[#This Row],[Hora de llegada]])+IF(Sala[[#This Row],[Estado de la Mesa]]="Ocupada",(TEXT((15/(60*24)),"h:mm")),(TEXT(0,"h:mm")))</f>
        <v>0.13749999999999998</v>
      </c>
      <c r="P383" s="43">
        <f>(SUMIF(Cocina[Número de Orden],Sala[[#This Row],[Número de Orden]],Cocina[Tiempo de Preparación]))</f>
        <v>54</v>
      </c>
      <c r="Q383" s="5" t="str">
        <f>TEXT(((SUMIF(Cocina[Número de Orden],Sala[[#This Row],[Número de Orden]],Cocina[Tiempo de Preparación]))/(60*24)),"h:mm")</f>
        <v>0:54</v>
      </c>
      <c r="R383" s="3">
        <f>MAX((Sala[[#This Row],[Tiempo de permanencia]]-Sala[[#This Row],[Tiempo de preparación (h)]]),0)</f>
        <v>9.9999999999999978E-2</v>
      </c>
      <c r="S383" s="8">
        <f>SUMIF(Cocina[Número de Orden],Sala[[#This Row],[Número de Orden]],Cocina[Ganancia bruta])</f>
        <v>87</v>
      </c>
      <c r="T383" s="8">
        <f>SUMIF(Cocina[Número de Orden],Sala[[#This Row],[Número de Orden]],Cocina[Costo Unitario])</f>
        <v>17</v>
      </c>
      <c r="U383" s="2">
        <f>Sala[[#This Row],[Fecha de Salida]]</f>
        <v>45020</v>
      </c>
      <c r="V383" s="7" t="str">
        <f>TEXT(Sala[[#This Row],[Fecha factura]],"dddd")</f>
        <v>martes</v>
      </c>
      <c r="W383" t="str">
        <f>IF(Sala[[#This Row],[Tiempo de degustación]]&gt;0,"Sí","No")</f>
        <v>Sí</v>
      </c>
      <c r="X383" t="str">
        <f>IF(Sala[[#This Row],[Cobrada]]="Sí",Sala[[#This Row],[Método de Pago]],"Impago")</f>
        <v>Tarjeta de débito</v>
      </c>
      <c r="Y383">
        <f>IF(Sala[[#This Row],[Cobrada]]="Sí",Sala[[#This Row],[Propina]],0)</f>
        <v>19.8</v>
      </c>
      <c r="Z383">
        <f>(IF(Sala[[#This Row],[Cobrada]]="Sí",Sala[[#This Row],[Monto total]],0))+Sala[[#This Row],[Propina real]]</f>
        <v>106.8</v>
      </c>
    </row>
    <row r="384" spans="1:26" x14ac:dyDescent="0.25">
      <c r="A384">
        <v>6</v>
      </c>
      <c r="B384" t="s">
        <v>378</v>
      </c>
      <c r="C384">
        <v>6</v>
      </c>
      <c r="D384" s="2">
        <v>45020</v>
      </c>
      <c r="E384" s="3">
        <v>0.1451388888888889</v>
      </c>
      <c r="F384" s="2">
        <v>45020</v>
      </c>
      <c r="G384" s="3">
        <v>0.27291666666666664</v>
      </c>
      <c r="H384" s="1" t="s">
        <v>23</v>
      </c>
      <c r="I384" t="s">
        <v>8</v>
      </c>
      <c r="J384" t="s">
        <v>601</v>
      </c>
      <c r="K384" s="9">
        <v>31.33</v>
      </c>
      <c r="L384" t="s">
        <v>17</v>
      </c>
      <c r="M384">
        <v>383</v>
      </c>
      <c r="N384" t="s">
        <v>47</v>
      </c>
      <c r="O384" s="3">
        <f>(Sala[[#This Row],[Hora de Salida]]-Sala[[#This Row],[Hora de llegada]])+IF(Sala[[#This Row],[Estado de la Mesa]]="Ocupada",(TEXT((15/(60*24)),"h:mm")),(TEXT(0,"h:mm")))</f>
        <v>0.12777777777777774</v>
      </c>
      <c r="P384" s="43">
        <f>(SUMIF(Cocina[Número de Orden],Sala[[#This Row],[Número de Orden]],Cocina[Tiempo de Preparación]))</f>
        <v>9</v>
      </c>
      <c r="Q384" s="5" t="str">
        <f>TEXT(((SUMIF(Cocina[Número de Orden],Sala[[#This Row],[Número de Orden]],Cocina[Tiempo de Preparación]))/(60*24)),"h:mm")</f>
        <v>0:09</v>
      </c>
      <c r="R384" s="3">
        <f>MAX((Sala[[#This Row],[Tiempo de permanencia]]-Sala[[#This Row],[Tiempo de preparación (h)]]),0)</f>
        <v>0.12152777777777773</v>
      </c>
      <c r="S384" s="8">
        <f>SUMIF(Cocina[Número de Orden],Sala[[#This Row],[Número de Orden]],Cocina[Ganancia bruta])</f>
        <v>108</v>
      </c>
      <c r="T384" s="8">
        <f>SUMIF(Cocina[Número de Orden],Sala[[#This Row],[Número de Orden]],Cocina[Costo Unitario])</f>
        <v>22</v>
      </c>
      <c r="U384" s="2">
        <f>Sala[[#This Row],[Fecha de Salida]]</f>
        <v>45020</v>
      </c>
      <c r="V384" s="7" t="str">
        <f>TEXT(Sala[[#This Row],[Fecha factura]],"dddd")</f>
        <v>martes</v>
      </c>
      <c r="W384" t="str">
        <f>IF(Sala[[#This Row],[Tiempo de degustación]]&gt;0,"Sí","No")</f>
        <v>Sí</v>
      </c>
      <c r="X384" t="str">
        <f>IF(Sala[[#This Row],[Cobrada]]="Sí",Sala[[#This Row],[Método de Pago]],"Impago")</f>
        <v>Tarjeta de crédito</v>
      </c>
      <c r="Y384">
        <f>IF(Sala[[#This Row],[Cobrada]]="Sí",Sala[[#This Row],[Propina]],0)</f>
        <v>31.33</v>
      </c>
      <c r="Z384">
        <f>(IF(Sala[[#This Row],[Cobrada]]="Sí",Sala[[#This Row],[Monto total]],0))+Sala[[#This Row],[Propina real]]</f>
        <v>139.32999999999998</v>
      </c>
    </row>
    <row r="385" spans="1:26" x14ac:dyDescent="0.25">
      <c r="A385">
        <v>1</v>
      </c>
      <c r="B385" t="s">
        <v>379</v>
      </c>
      <c r="C385">
        <v>5</v>
      </c>
      <c r="D385" s="2">
        <v>45020</v>
      </c>
      <c r="E385" s="3">
        <v>7.6388888888888886E-3</v>
      </c>
      <c r="F385" s="2">
        <v>45020</v>
      </c>
      <c r="G385" s="3">
        <v>0.10625</v>
      </c>
      <c r="H385" s="1" t="s">
        <v>11</v>
      </c>
      <c r="I385" t="s">
        <v>12</v>
      </c>
      <c r="J385" t="s">
        <v>600</v>
      </c>
      <c r="K385" s="9">
        <v>39.32</v>
      </c>
      <c r="L385" t="s">
        <v>9</v>
      </c>
      <c r="M385">
        <v>384</v>
      </c>
      <c r="N385" t="s">
        <v>29</v>
      </c>
      <c r="O385" s="3">
        <f>(Sala[[#This Row],[Hora de Salida]]-Sala[[#This Row],[Hora de llegada]])+IF(Sala[[#This Row],[Estado de la Mesa]]="Ocupada",(TEXT((15/(60*24)),"h:mm")),(TEXT(0,"h:mm")))</f>
        <v>9.8611111111111108E-2</v>
      </c>
      <c r="P385" s="43">
        <f>(SUMIF(Cocina[Número de Orden],Sala[[#This Row],[Número de Orden]],Cocina[Tiempo de Preparación]))</f>
        <v>110</v>
      </c>
      <c r="Q385" s="5" t="str">
        <f>TEXT(((SUMIF(Cocina[Número de Orden],Sala[[#This Row],[Número de Orden]],Cocina[Tiempo de Preparación]))/(60*24)),"h:mm")</f>
        <v>1:50</v>
      </c>
      <c r="R385" s="3">
        <f>MAX((Sala[[#This Row],[Tiempo de permanencia]]-Sala[[#This Row],[Tiempo de preparación (h)]]),0)</f>
        <v>2.2222222222222213E-2</v>
      </c>
      <c r="S385" s="8">
        <f>SUMIF(Cocina[Número de Orden],Sala[[#This Row],[Número de Orden]],Cocina[Ganancia bruta])</f>
        <v>120</v>
      </c>
      <c r="T385" s="8">
        <f>SUMIF(Cocina[Número de Orden],Sala[[#This Row],[Número de Orden]],Cocina[Costo Unitario])</f>
        <v>37</v>
      </c>
      <c r="U385" s="2">
        <f>Sala[[#This Row],[Fecha de Salida]]</f>
        <v>45020</v>
      </c>
      <c r="V385" s="7" t="str">
        <f>TEXT(Sala[[#This Row],[Fecha factura]],"dddd")</f>
        <v>martes</v>
      </c>
      <c r="W385" t="str">
        <f>IF(Sala[[#This Row],[Tiempo de degustación]]&gt;0,"Sí","No")</f>
        <v>Sí</v>
      </c>
      <c r="X385" t="str">
        <f>IF(Sala[[#This Row],[Cobrada]]="Sí",Sala[[#This Row],[Método de Pago]],"Impago")</f>
        <v>Tarjeta de débito</v>
      </c>
      <c r="Y385">
        <f>IF(Sala[[#This Row],[Cobrada]]="Sí",Sala[[#This Row],[Propina]],0)</f>
        <v>39.32</v>
      </c>
      <c r="Z385">
        <f>(IF(Sala[[#This Row],[Cobrada]]="Sí",Sala[[#This Row],[Monto total]],0))+Sala[[#This Row],[Propina real]]</f>
        <v>159.32</v>
      </c>
    </row>
    <row r="386" spans="1:26" x14ac:dyDescent="0.25">
      <c r="A386">
        <v>6</v>
      </c>
      <c r="B386" t="s">
        <v>380</v>
      </c>
      <c r="C386">
        <v>6</v>
      </c>
      <c r="D386" s="2">
        <v>45021</v>
      </c>
      <c r="E386" s="3">
        <v>0.15069444444444444</v>
      </c>
      <c r="F386" s="2">
        <v>45021</v>
      </c>
      <c r="G386" s="3">
        <v>0.27986111111111112</v>
      </c>
      <c r="H386" s="1" t="s">
        <v>7</v>
      </c>
      <c r="I386" t="s">
        <v>12</v>
      </c>
      <c r="J386" t="s">
        <v>601</v>
      </c>
      <c r="K386" s="9">
        <v>11.14</v>
      </c>
      <c r="L386" t="s">
        <v>28</v>
      </c>
      <c r="M386">
        <v>385</v>
      </c>
      <c r="N386" t="s">
        <v>594</v>
      </c>
      <c r="O386" s="3">
        <f>(Sala[[#This Row],[Hora de Salida]]-Sala[[#This Row],[Hora de llegada]])+IF(Sala[[#This Row],[Estado de la Mesa]]="Ocupada",(TEXT((15/(60*24)),"h:mm")),(TEXT(0,"h:mm")))</f>
        <v>0.13958333333333334</v>
      </c>
      <c r="P386" s="43">
        <f>(SUMIF(Cocina[Número de Orden],Sala[[#This Row],[Número de Orden]],Cocina[Tiempo de Preparación]))</f>
        <v>22</v>
      </c>
      <c r="Q386" s="5" t="str">
        <f>TEXT(((SUMIF(Cocina[Número de Orden],Sala[[#This Row],[Número de Orden]],Cocina[Tiempo de Preparación]))/(60*24)),"h:mm")</f>
        <v>0:22</v>
      </c>
      <c r="R386" s="3">
        <f>MAX((Sala[[#This Row],[Tiempo de permanencia]]-Sala[[#This Row],[Tiempo de preparación (h)]]),0)</f>
        <v>0.12430555555555556</v>
      </c>
      <c r="S386" s="8">
        <f>SUMIF(Cocina[Número de Orden],Sala[[#This Row],[Número de Orden]],Cocina[Ganancia bruta])</f>
        <v>60</v>
      </c>
      <c r="T386" s="8">
        <f>SUMIF(Cocina[Número de Orden],Sala[[#This Row],[Número de Orden]],Cocina[Costo Unitario])</f>
        <v>18</v>
      </c>
      <c r="U386" s="2">
        <f>Sala[[#This Row],[Fecha de Salida]]</f>
        <v>45021</v>
      </c>
      <c r="V386" s="7" t="str">
        <f>TEXT(Sala[[#This Row],[Fecha factura]],"dddd")</f>
        <v>miércoles</v>
      </c>
      <c r="W386" t="str">
        <f>IF(Sala[[#This Row],[Tiempo de degustación]]&gt;0,"Sí","No")</f>
        <v>Sí</v>
      </c>
      <c r="X386" t="str">
        <f>IF(Sala[[#This Row],[Cobrada]]="Sí",Sala[[#This Row],[Método de Pago]],"Impago")</f>
        <v>Tarjeta de crédito</v>
      </c>
      <c r="Y386">
        <f>IF(Sala[[#This Row],[Cobrada]]="Sí",Sala[[#This Row],[Propina]],0)</f>
        <v>11.14</v>
      </c>
      <c r="Z386">
        <f>(IF(Sala[[#This Row],[Cobrada]]="Sí",Sala[[#This Row],[Monto total]],0))+Sala[[#This Row],[Propina real]]</f>
        <v>71.14</v>
      </c>
    </row>
    <row r="387" spans="1:26" x14ac:dyDescent="0.25">
      <c r="A387">
        <v>5</v>
      </c>
      <c r="B387" t="s">
        <v>334</v>
      </c>
      <c r="C387">
        <v>2</v>
      </c>
      <c r="D387" s="2">
        <v>45021</v>
      </c>
      <c r="E387" s="3">
        <v>2.2916666666666665E-2</v>
      </c>
      <c r="F387" s="2">
        <v>45021</v>
      </c>
      <c r="G387" s="3">
        <v>0.12361111111111112</v>
      </c>
      <c r="H387" s="1" t="s">
        <v>23</v>
      </c>
      <c r="I387" t="s">
        <v>8</v>
      </c>
      <c r="J387" t="s">
        <v>600</v>
      </c>
      <c r="K387" s="9">
        <v>28.96</v>
      </c>
      <c r="L387" t="s">
        <v>28</v>
      </c>
      <c r="M387">
        <v>386</v>
      </c>
      <c r="N387" t="s">
        <v>29</v>
      </c>
      <c r="O387" s="3">
        <f>(Sala[[#This Row],[Hora de Salida]]-Sala[[#This Row],[Hora de llegada]])+IF(Sala[[#This Row],[Estado de la Mesa]]="Ocupada",(TEXT((15/(60*24)),"h:mm")),(TEXT(0,"h:mm")))</f>
        <v>0.11111111111111112</v>
      </c>
      <c r="P387" s="43">
        <f>(SUMIF(Cocina[Número de Orden],Sala[[#This Row],[Número de Orden]],Cocina[Tiempo de Preparación]))</f>
        <v>40</v>
      </c>
      <c r="Q387" s="5" t="str">
        <f>TEXT(((SUMIF(Cocina[Número de Orden],Sala[[#This Row],[Número de Orden]],Cocina[Tiempo de Preparación]))/(60*24)),"h:mm")</f>
        <v>0:40</v>
      </c>
      <c r="R387" s="3">
        <f>MAX((Sala[[#This Row],[Tiempo de permanencia]]-Sala[[#This Row],[Tiempo de preparación (h)]]),0)</f>
        <v>8.3333333333333343E-2</v>
      </c>
      <c r="S387" s="8">
        <f>SUMIF(Cocina[Número de Orden],Sala[[#This Row],[Número de Orden]],Cocina[Ganancia bruta])</f>
        <v>99</v>
      </c>
      <c r="T387" s="8">
        <f>SUMIF(Cocina[Número de Orden],Sala[[#This Row],[Número de Orden]],Cocina[Costo Unitario])</f>
        <v>20</v>
      </c>
      <c r="U387" s="2">
        <f>Sala[[#This Row],[Fecha de Salida]]</f>
        <v>45021</v>
      </c>
      <c r="V387" s="7" t="str">
        <f>TEXT(Sala[[#This Row],[Fecha factura]],"dddd")</f>
        <v>miércoles</v>
      </c>
      <c r="W387" t="str">
        <f>IF(Sala[[#This Row],[Tiempo de degustación]]&gt;0,"Sí","No")</f>
        <v>Sí</v>
      </c>
      <c r="X387" t="str">
        <f>IF(Sala[[#This Row],[Cobrada]]="Sí",Sala[[#This Row],[Método de Pago]],"Impago")</f>
        <v>Tarjeta de débito</v>
      </c>
      <c r="Y387">
        <f>IF(Sala[[#This Row],[Cobrada]]="Sí",Sala[[#This Row],[Propina]],0)</f>
        <v>28.96</v>
      </c>
      <c r="Z387">
        <f>(IF(Sala[[#This Row],[Cobrada]]="Sí",Sala[[#This Row],[Monto total]],0))+Sala[[#This Row],[Propina real]]</f>
        <v>127.96000000000001</v>
      </c>
    </row>
    <row r="388" spans="1:26" x14ac:dyDescent="0.25">
      <c r="A388">
        <v>6</v>
      </c>
      <c r="B388" t="s">
        <v>381</v>
      </c>
      <c r="C388">
        <v>5</v>
      </c>
      <c r="D388" s="2">
        <v>45021</v>
      </c>
      <c r="E388" s="3">
        <v>0.13125000000000001</v>
      </c>
      <c r="F388" s="2">
        <v>45021</v>
      </c>
      <c r="G388" s="3">
        <v>0.25694444444444442</v>
      </c>
      <c r="H388" s="1" t="s">
        <v>20</v>
      </c>
      <c r="I388" t="s">
        <v>8</v>
      </c>
      <c r="J388" t="s">
        <v>13</v>
      </c>
      <c r="K388" s="9">
        <v>20.84</v>
      </c>
      <c r="L388" t="s">
        <v>28</v>
      </c>
      <c r="M388">
        <v>387</v>
      </c>
      <c r="N388" t="s">
        <v>29</v>
      </c>
      <c r="O388" s="3">
        <f>(Sala[[#This Row],[Hora de Salida]]-Sala[[#This Row],[Hora de llegada]])+IF(Sala[[#This Row],[Estado de la Mesa]]="Ocupada",(TEXT((15/(60*24)),"h:mm")),(TEXT(0,"h:mm")))</f>
        <v>0.13611111111111107</v>
      </c>
      <c r="P388" s="43">
        <f>(SUMIF(Cocina[Número de Orden],Sala[[#This Row],[Número de Orden]],Cocina[Tiempo de Preparación]))</f>
        <v>18</v>
      </c>
      <c r="Q388" s="5" t="str">
        <f>TEXT(((SUMIF(Cocina[Número de Orden],Sala[[#This Row],[Número de Orden]],Cocina[Tiempo de Preparación]))/(60*24)),"h:mm")</f>
        <v>0:18</v>
      </c>
      <c r="R388" s="3">
        <f>MAX((Sala[[#This Row],[Tiempo de permanencia]]-Sala[[#This Row],[Tiempo de preparación (h)]]),0)</f>
        <v>0.12361111111111107</v>
      </c>
      <c r="S388" s="8">
        <f>SUMIF(Cocina[Número de Orden],Sala[[#This Row],[Número de Orden]],Cocina[Ganancia bruta])</f>
        <v>93</v>
      </c>
      <c r="T388" s="8">
        <f>SUMIF(Cocina[Número de Orden],Sala[[#This Row],[Número de Orden]],Cocina[Costo Unitario])</f>
        <v>19</v>
      </c>
      <c r="U388" s="2">
        <f>Sala[[#This Row],[Fecha de Salida]]</f>
        <v>45021</v>
      </c>
      <c r="V388" s="7" t="str">
        <f>TEXT(Sala[[#This Row],[Fecha factura]],"dddd")</f>
        <v>miércoles</v>
      </c>
      <c r="W388" t="str">
        <f>IF(Sala[[#This Row],[Tiempo de degustación]]&gt;0,"Sí","No")</f>
        <v>Sí</v>
      </c>
      <c r="X388" t="str">
        <f>IF(Sala[[#This Row],[Cobrada]]="Sí",Sala[[#This Row],[Método de Pago]],"Impago")</f>
        <v>Efectivo</v>
      </c>
      <c r="Y388">
        <f>IF(Sala[[#This Row],[Cobrada]]="Sí",Sala[[#This Row],[Propina]],0)</f>
        <v>20.84</v>
      </c>
      <c r="Z388">
        <f>(IF(Sala[[#This Row],[Cobrada]]="Sí",Sala[[#This Row],[Monto total]],0))+Sala[[#This Row],[Propina real]]</f>
        <v>113.84</v>
      </c>
    </row>
    <row r="389" spans="1:26" x14ac:dyDescent="0.25">
      <c r="A389">
        <v>18</v>
      </c>
      <c r="B389" t="s">
        <v>199</v>
      </c>
      <c r="C389">
        <v>2</v>
      </c>
      <c r="D389" s="2">
        <v>45021</v>
      </c>
      <c r="E389" s="3">
        <v>2.2916666666666665E-2</v>
      </c>
      <c r="F389" s="2">
        <v>45021</v>
      </c>
      <c r="G389" s="3">
        <v>0.14930555555555555</v>
      </c>
      <c r="H389" s="1" t="s">
        <v>16</v>
      </c>
      <c r="I389" t="s">
        <v>8</v>
      </c>
      <c r="J389" t="s">
        <v>601</v>
      </c>
      <c r="K389" s="9">
        <v>27.03</v>
      </c>
      <c r="L389" t="s">
        <v>17</v>
      </c>
      <c r="M389">
        <v>388</v>
      </c>
      <c r="N389" t="s">
        <v>594</v>
      </c>
      <c r="O389" s="3">
        <f>(Sala[[#This Row],[Hora de Salida]]-Sala[[#This Row],[Hora de llegada]])+IF(Sala[[#This Row],[Estado de la Mesa]]="Ocupada",(TEXT((15/(60*24)),"h:mm")),(TEXT(0,"h:mm")))</f>
        <v>0.12638888888888888</v>
      </c>
      <c r="P389" s="43">
        <f>(SUMIF(Cocina[Número de Orden],Sala[[#This Row],[Número de Orden]],Cocina[Tiempo de Preparación]))</f>
        <v>171</v>
      </c>
      <c r="Q389" s="5" t="str">
        <f>TEXT(((SUMIF(Cocina[Número de Orden],Sala[[#This Row],[Número de Orden]],Cocina[Tiempo de Preparación]))/(60*24)),"h:mm")</f>
        <v>2:51</v>
      </c>
      <c r="R389" s="3">
        <f>MAX((Sala[[#This Row],[Tiempo de permanencia]]-Sala[[#This Row],[Tiempo de preparación (h)]]),0)</f>
        <v>7.6388888888888895E-3</v>
      </c>
      <c r="S389" s="8">
        <f>SUMIF(Cocina[Número de Orden],Sala[[#This Row],[Número de Orden]],Cocina[Ganancia bruta])</f>
        <v>291</v>
      </c>
      <c r="T389" s="8">
        <f>SUMIF(Cocina[Número de Orden],Sala[[#This Row],[Número de Orden]],Cocina[Costo Unitario])</f>
        <v>78</v>
      </c>
      <c r="U389" s="2">
        <f>Sala[[#This Row],[Fecha de Salida]]</f>
        <v>45021</v>
      </c>
      <c r="V389" s="7" t="str">
        <f>TEXT(Sala[[#This Row],[Fecha factura]],"dddd")</f>
        <v>miércoles</v>
      </c>
      <c r="W389" t="str">
        <f>IF(Sala[[#This Row],[Tiempo de degustación]]&gt;0,"Sí","No")</f>
        <v>Sí</v>
      </c>
      <c r="X389" t="str">
        <f>IF(Sala[[#This Row],[Cobrada]]="Sí",Sala[[#This Row],[Método de Pago]],"Impago")</f>
        <v>Tarjeta de crédito</v>
      </c>
      <c r="Y389">
        <f>IF(Sala[[#This Row],[Cobrada]]="Sí",Sala[[#This Row],[Propina]],0)</f>
        <v>27.03</v>
      </c>
      <c r="Z389">
        <f>(IF(Sala[[#This Row],[Cobrada]]="Sí",Sala[[#This Row],[Monto total]],0))+Sala[[#This Row],[Propina real]]</f>
        <v>318.02999999999997</v>
      </c>
    </row>
    <row r="390" spans="1:26" x14ac:dyDescent="0.25">
      <c r="A390">
        <v>19</v>
      </c>
      <c r="B390" t="s">
        <v>382</v>
      </c>
      <c r="C390">
        <v>5</v>
      </c>
      <c r="D390" s="2">
        <v>45021</v>
      </c>
      <c r="E390" s="3">
        <v>1.3888888888888889E-3</v>
      </c>
      <c r="F390" s="2">
        <v>45021</v>
      </c>
      <c r="G390" s="3">
        <v>9.375E-2</v>
      </c>
      <c r="H390" s="1" t="s">
        <v>7</v>
      </c>
      <c r="I390" t="s">
        <v>8</v>
      </c>
      <c r="J390" t="s">
        <v>601</v>
      </c>
      <c r="K390" s="9">
        <v>39.14</v>
      </c>
      <c r="L390" t="s">
        <v>9</v>
      </c>
      <c r="M390">
        <v>389</v>
      </c>
      <c r="N390" t="s">
        <v>29</v>
      </c>
      <c r="O390" s="3">
        <f>(Sala[[#This Row],[Hora de Salida]]-Sala[[#This Row],[Hora de llegada]])+IF(Sala[[#This Row],[Estado de la Mesa]]="Ocupada",(TEXT((15/(60*24)),"h:mm")),(TEXT(0,"h:mm")))</f>
        <v>9.2361111111111116E-2</v>
      </c>
      <c r="P390" s="43">
        <f>(SUMIF(Cocina[Número de Orden],Sala[[#This Row],[Número de Orden]],Cocina[Tiempo de Preparación]))</f>
        <v>24</v>
      </c>
      <c r="Q390" s="5" t="str">
        <f>TEXT(((SUMIF(Cocina[Número de Orden],Sala[[#This Row],[Número de Orden]],Cocina[Tiempo de Preparación]))/(60*24)),"h:mm")</f>
        <v>0:24</v>
      </c>
      <c r="R390" s="3">
        <f>MAX((Sala[[#This Row],[Tiempo de permanencia]]-Sala[[#This Row],[Tiempo de preparación (h)]]),0)</f>
        <v>7.5694444444444453E-2</v>
      </c>
      <c r="S390" s="8">
        <f>SUMIF(Cocina[Número de Orden],Sala[[#This Row],[Número de Orden]],Cocina[Ganancia bruta])</f>
        <v>33</v>
      </c>
      <c r="T390" s="8">
        <f>SUMIF(Cocina[Número de Orden],Sala[[#This Row],[Número de Orden]],Cocina[Costo Unitario])</f>
        <v>20</v>
      </c>
      <c r="U390" s="2">
        <f>Sala[[#This Row],[Fecha de Salida]]</f>
        <v>45021</v>
      </c>
      <c r="V390" s="7" t="str">
        <f>TEXT(Sala[[#This Row],[Fecha factura]],"dddd")</f>
        <v>miércoles</v>
      </c>
      <c r="W390" t="str">
        <f>IF(Sala[[#This Row],[Tiempo de degustación]]&gt;0,"Sí","No")</f>
        <v>Sí</v>
      </c>
      <c r="X390" t="str">
        <f>IF(Sala[[#This Row],[Cobrada]]="Sí",Sala[[#This Row],[Método de Pago]],"Impago")</f>
        <v>Tarjeta de crédito</v>
      </c>
      <c r="Y390">
        <f>IF(Sala[[#This Row],[Cobrada]]="Sí",Sala[[#This Row],[Propina]],0)</f>
        <v>39.14</v>
      </c>
      <c r="Z390">
        <f>(IF(Sala[[#This Row],[Cobrada]]="Sí",Sala[[#This Row],[Monto total]],0))+Sala[[#This Row],[Propina real]]</f>
        <v>72.14</v>
      </c>
    </row>
    <row r="391" spans="1:26" x14ac:dyDescent="0.25">
      <c r="A391">
        <v>9</v>
      </c>
      <c r="B391" t="s">
        <v>67</v>
      </c>
      <c r="C391">
        <v>2</v>
      </c>
      <c r="D391" s="2">
        <v>45021</v>
      </c>
      <c r="E391" s="3">
        <v>0.12430555555555556</v>
      </c>
      <c r="F391" s="2">
        <v>45021</v>
      </c>
      <c r="G391" s="3">
        <v>0.22152777777777777</v>
      </c>
      <c r="H391" s="1" t="s">
        <v>7</v>
      </c>
      <c r="I391" t="s">
        <v>8</v>
      </c>
      <c r="J391" t="s">
        <v>601</v>
      </c>
      <c r="K391" s="9">
        <v>42.68</v>
      </c>
      <c r="L391" t="s">
        <v>9</v>
      </c>
      <c r="M391">
        <v>390</v>
      </c>
      <c r="N391" t="s">
        <v>47</v>
      </c>
      <c r="O391" s="3">
        <f>(Sala[[#This Row],[Hora de Salida]]-Sala[[#This Row],[Hora de llegada]])+IF(Sala[[#This Row],[Estado de la Mesa]]="Ocupada",(TEXT((15/(60*24)),"h:mm")),(TEXT(0,"h:mm")))</f>
        <v>9.722222222222221E-2</v>
      </c>
      <c r="P391" s="43">
        <f>(SUMIF(Cocina[Número de Orden],Sala[[#This Row],[Número de Orden]],Cocina[Tiempo de Preparación]))</f>
        <v>93</v>
      </c>
      <c r="Q391" s="5" t="str">
        <f>TEXT(((SUMIF(Cocina[Número de Orden],Sala[[#This Row],[Número de Orden]],Cocina[Tiempo de Preparación]))/(60*24)),"h:mm")</f>
        <v>1:33</v>
      </c>
      <c r="R391" s="3">
        <f>MAX((Sala[[#This Row],[Tiempo de permanencia]]-Sala[[#This Row],[Tiempo de preparación (h)]]),0)</f>
        <v>3.263888888888887E-2</v>
      </c>
      <c r="S391" s="8">
        <f>SUMIF(Cocina[Número de Orden],Sala[[#This Row],[Número de Orden]],Cocina[Ganancia bruta])</f>
        <v>143</v>
      </c>
      <c r="T391" s="8">
        <f>SUMIF(Cocina[Número de Orden],Sala[[#This Row],[Número de Orden]],Cocina[Costo Unitario])</f>
        <v>41</v>
      </c>
      <c r="U391" s="2">
        <f>Sala[[#This Row],[Fecha de Salida]]</f>
        <v>45021</v>
      </c>
      <c r="V391" s="7" t="str">
        <f>TEXT(Sala[[#This Row],[Fecha factura]],"dddd")</f>
        <v>miércoles</v>
      </c>
      <c r="W391" t="str">
        <f>IF(Sala[[#This Row],[Tiempo de degustación]]&gt;0,"Sí","No")</f>
        <v>Sí</v>
      </c>
      <c r="X391" t="str">
        <f>IF(Sala[[#This Row],[Cobrada]]="Sí",Sala[[#This Row],[Método de Pago]],"Impago")</f>
        <v>Tarjeta de crédito</v>
      </c>
      <c r="Y391">
        <f>IF(Sala[[#This Row],[Cobrada]]="Sí",Sala[[#This Row],[Propina]],0)</f>
        <v>42.68</v>
      </c>
      <c r="Z391">
        <f>(IF(Sala[[#This Row],[Cobrada]]="Sí",Sala[[#This Row],[Monto total]],0))+Sala[[#This Row],[Propina real]]</f>
        <v>185.68</v>
      </c>
    </row>
    <row r="392" spans="1:26" x14ac:dyDescent="0.25">
      <c r="A392">
        <v>15</v>
      </c>
      <c r="B392" t="s">
        <v>383</v>
      </c>
      <c r="C392">
        <v>1</v>
      </c>
      <c r="D392" s="2">
        <v>45021</v>
      </c>
      <c r="E392" s="3">
        <v>8.6805555555555552E-2</v>
      </c>
      <c r="F392" s="2">
        <v>45021</v>
      </c>
      <c r="G392" s="3">
        <v>0.17291666666666666</v>
      </c>
      <c r="H392" s="1" t="s">
        <v>7</v>
      </c>
      <c r="I392" t="s">
        <v>8</v>
      </c>
      <c r="J392" t="s">
        <v>601</v>
      </c>
      <c r="K392" s="9">
        <v>48.6</v>
      </c>
      <c r="L392" t="s">
        <v>9</v>
      </c>
      <c r="M392">
        <v>391</v>
      </c>
      <c r="N392" t="s">
        <v>44</v>
      </c>
      <c r="O392" s="3">
        <f>(Sala[[#This Row],[Hora de Salida]]-Sala[[#This Row],[Hora de llegada]])+IF(Sala[[#This Row],[Estado de la Mesa]]="Ocupada",(TEXT((15/(60*24)),"h:mm")),(TEXT(0,"h:mm")))</f>
        <v>8.611111111111111E-2</v>
      </c>
      <c r="P392" s="43">
        <f>(SUMIF(Cocina[Número de Orden],Sala[[#This Row],[Número de Orden]],Cocina[Tiempo de Preparación]))</f>
        <v>35</v>
      </c>
      <c r="Q392" s="5" t="str">
        <f>TEXT(((SUMIF(Cocina[Número de Orden],Sala[[#This Row],[Número de Orden]],Cocina[Tiempo de Preparación]))/(60*24)),"h:mm")</f>
        <v>0:35</v>
      </c>
      <c r="R392" s="3">
        <f>MAX((Sala[[#This Row],[Tiempo de permanencia]]-Sala[[#This Row],[Tiempo de preparación (h)]]),0)</f>
        <v>6.1805555555555558E-2</v>
      </c>
      <c r="S392" s="8">
        <f>SUMIF(Cocina[Número de Orden],Sala[[#This Row],[Número de Orden]],Cocina[Ganancia bruta])</f>
        <v>22</v>
      </c>
      <c r="T392" s="8">
        <f>SUMIF(Cocina[Número de Orden],Sala[[#This Row],[Número de Orden]],Cocina[Costo Unitario])</f>
        <v>13</v>
      </c>
      <c r="U392" s="2">
        <f>Sala[[#This Row],[Fecha de Salida]]</f>
        <v>45021</v>
      </c>
      <c r="V392" s="7" t="str">
        <f>TEXT(Sala[[#This Row],[Fecha factura]],"dddd")</f>
        <v>miércoles</v>
      </c>
      <c r="W392" t="str">
        <f>IF(Sala[[#This Row],[Tiempo de degustación]]&gt;0,"Sí","No")</f>
        <v>Sí</v>
      </c>
      <c r="X392" t="str">
        <f>IF(Sala[[#This Row],[Cobrada]]="Sí",Sala[[#This Row],[Método de Pago]],"Impago")</f>
        <v>Tarjeta de crédito</v>
      </c>
      <c r="Y392">
        <f>IF(Sala[[#This Row],[Cobrada]]="Sí",Sala[[#This Row],[Propina]],0)</f>
        <v>48.6</v>
      </c>
      <c r="Z392">
        <f>(IF(Sala[[#This Row],[Cobrada]]="Sí",Sala[[#This Row],[Monto total]],0))+Sala[[#This Row],[Propina real]]</f>
        <v>70.599999999999994</v>
      </c>
    </row>
    <row r="393" spans="1:26" x14ac:dyDescent="0.25">
      <c r="A393">
        <v>14</v>
      </c>
      <c r="B393" t="s">
        <v>384</v>
      </c>
      <c r="C393">
        <v>3</v>
      </c>
      <c r="D393" s="2">
        <v>45021</v>
      </c>
      <c r="E393" s="3">
        <v>2.2916666666666665E-2</v>
      </c>
      <c r="F393" s="2">
        <v>45021</v>
      </c>
      <c r="G393" s="3">
        <v>0.17222222222222222</v>
      </c>
      <c r="H393" s="1" t="s">
        <v>16</v>
      </c>
      <c r="I393" t="s">
        <v>8</v>
      </c>
      <c r="J393" t="s">
        <v>601</v>
      </c>
      <c r="K393" s="9">
        <v>32.729999999999997</v>
      </c>
      <c r="L393" t="s">
        <v>28</v>
      </c>
      <c r="M393">
        <v>392</v>
      </c>
      <c r="N393" t="s">
        <v>32</v>
      </c>
      <c r="O393" s="3">
        <f>(Sala[[#This Row],[Hora de Salida]]-Sala[[#This Row],[Hora de llegada]])+IF(Sala[[#This Row],[Estado de la Mesa]]="Ocupada",(TEXT((15/(60*24)),"h:mm")),(TEXT(0,"h:mm")))</f>
        <v>0.15972222222222221</v>
      </c>
      <c r="P393" s="43">
        <f>(SUMIF(Cocina[Número de Orden],Sala[[#This Row],[Número de Orden]],Cocina[Tiempo de Preparación]))</f>
        <v>54</v>
      </c>
      <c r="Q393" s="5" t="str">
        <f>TEXT(((SUMIF(Cocina[Número de Orden],Sala[[#This Row],[Número de Orden]],Cocina[Tiempo de Preparación]))/(60*24)),"h:mm")</f>
        <v>0:54</v>
      </c>
      <c r="R393" s="3">
        <f>MAX((Sala[[#This Row],[Tiempo de permanencia]]-Sala[[#This Row],[Tiempo de preparación (h)]]),0)</f>
        <v>0.1222222222222222</v>
      </c>
      <c r="S393" s="8">
        <f>SUMIF(Cocina[Número de Orden],Sala[[#This Row],[Número de Orden]],Cocina[Ganancia bruta])</f>
        <v>120</v>
      </c>
      <c r="T393" s="8">
        <f>SUMIF(Cocina[Número de Orden],Sala[[#This Row],[Número de Orden]],Cocina[Costo Unitario])</f>
        <v>33</v>
      </c>
      <c r="U393" s="2">
        <f>Sala[[#This Row],[Fecha de Salida]]</f>
        <v>45021</v>
      </c>
      <c r="V393" s="7" t="str">
        <f>TEXT(Sala[[#This Row],[Fecha factura]],"dddd")</f>
        <v>miércoles</v>
      </c>
      <c r="W393" t="str">
        <f>IF(Sala[[#This Row],[Tiempo de degustación]]&gt;0,"Sí","No")</f>
        <v>Sí</v>
      </c>
      <c r="X393" t="str">
        <f>IF(Sala[[#This Row],[Cobrada]]="Sí",Sala[[#This Row],[Método de Pago]],"Impago")</f>
        <v>Tarjeta de crédito</v>
      </c>
      <c r="Y393">
        <f>IF(Sala[[#This Row],[Cobrada]]="Sí",Sala[[#This Row],[Propina]],0)</f>
        <v>32.729999999999997</v>
      </c>
      <c r="Z393">
        <f>(IF(Sala[[#This Row],[Cobrada]]="Sí",Sala[[#This Row],[Monto total]],0))+Sala[[#This Row],[Propina real]]</f>
        <v>152.72999999999999</v>
      </c>
    </row>
    <row r="394" spans="1:26" x14ac:dyDescent="0.25">
      <c r="A394">
        <v>13</v>
      </c>
      <c r="B394" t="s">
        <v>385</v>
      </c>
      <c r="C394">
        <v>3</v>
      </c>
      <c r="D394" s="2">
        <v>45021</v>
      </c>
      <c r="E394" s="3">
        <v>0.10625</v>
      </c>
      <c r="F394" s="2">
        <v>45021</v>
      </c>
      <c r="G394" s="3">
        <v>0.22013888888888888</v>
      </c>
      <c r="H394" s="1" t="s">
        <v>23</v>
      </c>
      <c r="I394" t="s">
        <v>8</v>
      </c>
      <c r="J394" t="s">
        <v>601</v>
      </c>
      <c r="K394" s="9">
        <v>12.54</v>
      </c>
      <c r="L394" t="s">
        <v>28</v>
      </c>
      <c r="M394">
        <v>393</v>
      </c>
      <c r="N394" t="s">
        <v>14</v>
      </c>
      <c r="O394" s="3">
        <f>(Sala[[#This Row],[Hora de Salida]]-Sala[[#This Row],[Hora de llegada]])+IF(Sala[[#This Row],[Estado de la Mesa]]="Ocupada",(TEXT((15/(60*24)),"h:mm")),(TEXT(0,"h:mm")))</f>
        <v>0.12430555555555556</v>
      </c>
      <c r="P394" s="43">
        <f>(SUMIF(Cocina[Número de Orden],Sala[[#This Row],[Número de Orden]],Cocina[Tiempo de Preparación]))</f>
        <v>109</v>
      </c>
      <c r="Q394" s="5" t="str">
        <f>TEXT(((SUMIF(Cocina[Número de Orden],Sala[[#This Row],[Número de Orden]],Cocina[Tiempo de Preparación]))/(60*24)),"h:mm")</f>
        <v>1:49</v>
      </c>
      <c r="R394" s="3">
        <f>MAX((Sala[[#This Row],[Tiempo de permanencia]]-Sala[[#This Row],[Tiempo de preparación (h)]]),0)</f>
        <v>4.8611111111111119E-2</v>
      </c>
      <c r="S394" s="8">
        <f>SUMIF(Cocina[Número de Orden],Sala[[#This Row],[Número de Orden]],Cocina[Ganancia bruta])</f>
        <v>208</v>
      </c>
      <c r="T394" s="8">
        <f>SUMIF(Cocina[Número de Orden],Sala[[#This Row],[Número de Orden]],Cocina[Costo Unitario])</f>
        <v>58</v>
      </c>
      <c r="U394" s="2">
        <f>Sala[[#This Row],[Fecha de Salida]]</f>
        <v>45021</v>
      </c>
      <c r="V394" s="7" t="str">
        <f>TEXT(Sala[[#This Row],[Fecha factura]],"dddd")</f>
        <v>miércoles</v>
      </c>
      <c r="W394" t="str">
        <f>IF(Sala[[#This Row],[Tiempo de degustación]]&gt;0,"Sí","No")</f>
        <v>Sí</v>
      </c>
      <c r="X394" t="str">
        <f>IF(Sala[[#This Row],[Cobrada]]="Sí",Sala[[#This Row],[Método de Pago]],"Impago")</f>
        <v>Tarjeta de crédito</v>
      </c>
      <c r="Y394">
        <f>IF(Sala[[#This Row],[Cobrada]]="Sí",Sala[[#This Row],[Propina]],0)</f>
        <v>12.54</v>
      </c>
      <c r="Z394">
        <f>(IF(Sala[[#This Row],[Cobrada]]="Sí",Sala[[#This Row],[Monto total]],0))+Sala[[#This Row],[Propina real]]</f>
        <v>220.54</v>
      </c>
    </row>
    <row r="395" spans="1:26" x14ac:dyDescent="0.25">
      <c r="A395">
        <v>17</v>
      </c>
      <c r="B395" t="s">
        <v>31</v>
      </c>
      <c r="C395">
        <v>1</v>
      </c>
      <c r="D395" s="2">
        <v>45021</v>
      </c>
      <c r="E395" s="3">
        <v>0.14305555555555555</v>
      </c>
      <c r="F395" s="2">
        <v>45021</v>
      </c>
      <c r="G395" s="3">
        <v>0.29305555555555557</v>
      </c>
      <c r="H395" s="1" t="s">
        <v>7</v>
      </c>
      <c r="I395" t="s">
        <v>8</v>
      </c>
      <c r="J395" t="s">
        <v>601</v>
      </c>
      <c r="K395" s="9">
        <v>18.05</v>
      </c>
      <c r="L395" t="s">
        <v>28</v>
      </c>
      <c r="M395">
        <v>394</v>
      </c>
      <c r="N395" t="s">
        <v>18</v>
      </c>
      <c r="O395" s="3">
        <f>(Sala[[#This Row],[Hora de Salida]]-Sala[[#This Row],[Hora de llegada]])+IF(Sala[[#This Row],[Estado de la Mesa]]="Ocupada",(TEXT((15/(60*24)),"h:mm")),(TEXT(0,"h:mm")))</f>
        <v>0.16041666666666668</v>
      </c>
      <c r="P395" s="43">
        <f>(SUMIF(Cocina[Número de Orden],Sala[[#This Row],[Número de Orden]],Cocina[Tiempo de Preparación]))</f>
        <v>47</v>
      </c>
      <c r="Q395" s="5" t="str">
        <f>TEXT(((SUMIF(Cocina[Número de Orden],Sala[[#This Row],[Número de Orden]],Cocina[Tiempo de Preparación]))/(60*24)),"h:mm")</f>
        <v>0:47</v>
      </c>
      <c r="R395" s="3">
        <f>MAX((Sala[[#This Row],[Tiempo de permanencia]]-Sala[[#This Row],[Tiempo de preparación (h)]]),0)</f>
        <v>0.1277777777777778</v>
      </c>
      <c r="S395" s="8">
        <f>SUMIF(Cocina[Número de Orden],Sala[[#This Row],[Número de Orden]],Cocina[Ganancia bruta])</f>
        <v>77</v>
      </c>
      <c r="T395" s="8">
        <f>SUMIF(Cocina[Número de Orden],Sala[[#This Row],[Número de Orden]],Cocina[Costo Unitario])</f>
        <v>31</v>
      </c>
      <c r="U395" s="2">
        <f>Sala[[#This Row],[Fecha de Salida]]</f>
        <v>45021</v>
      </c>
      <c r="V395" s="7" t="str">
        <f>TEXT(Sala[[#This Row],[Fecha factura]],"dddd")</f>
        <v>miércoles</v>
      </c>
      <c r="W395" t="str">
        <f>IF(Sala[[#This Row],[Tiempo de degustación]]&gt;0,"Sí","No")</f>
        <v>Sí</v>
      </c>
      <c r="X395" t="str">
        <f>IF(Sala[[#This Row],[Cobrada]]="Sí",Sala[[#This Row],[Método de Pago]],"Impago")</f>
        <v>Tarjeta de crédito</v>
      </c>
      <c r="Y395">
        <f>IF(Sala[[#This Row],[Cobrada]]="Sí",Sala[[#This Row],[Propina]],0)</f>
        <v>18.05</v>
      </c>
      <c r="Z395">
        <f>(IF(Sala[[#This Row],[Cobrada]]="Sí",Sala[[#This Row],[Monto total]],0))+Sala[[#This Row],[Propina real]]</f>
        <v>95.05</v>
      </c>
    </row>
    <row r="396" spans="1:26" x14ac:dyDescent="0.25">
      <c r="A396">
        <v>2</v>
      </c>
      <c r="B396" t="s">
        <v>386</v>
      </c>
      <c r="C396">
        <v>1</v>
      </c>
      <c r="D396" s="2">
        <v>45021</v>
      </c>
      <c r="E396" s="3">
        <v>6.7361111111111108E-2</v>
      </c>
      <c r="F396" s="2">
        <v>45021</v>
      </c>
      <c r="G396" s="3">
        <v>0.23194444444444445</v>
      </c>
      <c r="H396" s="1" t="s">
        <v>16</v>
      </c>
      <c r="I396" t="s">
        <v>8</v>
      </c>
      <c r="J396" t="s">
        <v>600</v>
      </c>
      <c r="K396" s="9">
        <v>40.9</v>
      </c>
      <c r="L396" t="s">
        <v>17</v>
      </c>
      <c r="M396">
        <v>395</v>
      </c>
      <c r="N396" t="s">
        <v>44</v>
      </c>
      <c r="O396" s="3">
        <f>(Sala[[#This Row],[Hora de Salida]]-Sala[[#This Row],[Hora de llegada]])+IF(Sala[[#This Row],[Estado de la Mesa]]="Ocupada",(TEXT((15/(60*24)),"h:mm")),(TEXT(0,"h:mm")))</f>
        <v>0.16458333333333336</v>
      </c>
      <c r="P396" s="43">
        <f>(SUMIF(Cocina[Número de Orden],Sala[[#This Row],[Número de Orden]],Cocina[Tiempo de Preparación]))</f>
        <v>8</v>
      </c>
      <c r="Q396" s="5" t="str">
        <f>TEXT(((SUMIF(Cocina[Número de Orden],Sala[[#This Row],[Número de Orden]],Cocina[Tiempo de Preparación]))/(60*24)),"h:mm")</f>
        <v>0:08</v>
      </c>
      <c r="R396" s="3">
        <f>MAX((Sala[[#This Row],[Tiempo de permanencia]]-Sala[[#This Row],[Tiempo de preparación (h)]]),0)</f>
        <v>0.1590277777777778</v>
      </c>
      <c r="S396" s="8">
        <f>SUMIF(Cocina[Número de Orden],Sala[[#This Row],[Número de Orden]],Cocina[Ganancia bruta])</f>
        <v>38</v>
      </c>
      <c r="T396" s="8">
        <f>SUMIF(Cocina[Número de Orden],Sala[[#This Row],[Número de Orden]],Cocina[Costo Unitario])</f>
        <v>11</v>
      </c>
      <c r="U396" s="2">
        <f>Sala[[#This Row],[Fecha de Salida]]</f>
        <v>45021</v>
      </c>
      <c r="V396" s="7" t="str">
        <f>TEXT(Sala[[#This Row],[Fecha factura]],"dddd")</f>
        <v>miércoles</v>
      </c>
      <c r="W396" t="str">
        <f>IF(Sala[[#This Row],[Tiempo de degustación]]&gt;0,"Sí","No")</f>
        <v>Sí</v>
      </c>
      <c r="X396" t="str">
        <f>IF(Sala[[#This Row],[Cobrada]]="Sí",Sala[[#This Row],[Método de Pago]],"Impago")</f>
        <v>Tarjeta de débito</v>
      </c>
      <c r="Y396">
        <f>IF(Sala[[#This Row],[Cobrada]]="Sí",Sala[[#This Row],[Propina]],0)</f>
        <v>40.9</v>
      </c>
      <c r="Z396">
        <f>(IF(Sala[[#This Row],[Cobrada]]="Sí",Sala[[#This Row],[Monto total]],0))+Sala[[#This Row],[Propina real]]</f>
        <v>78.900000000000006</v>
      </c>
    </row>
    <row r="397" spans="1:26" x14ac:dyDescent="0.25">
      <c r="A397">
        <v>11</v>
      </c>
      <c r="B397" t="s">
        <v>387</v>
      </c>
      <c r="C397">
        <v>1</v>
      </c>
      <c r="D397" s="2">
        <v>45021</v>
      </c>
      <c r="E397" s="3">
        <v>2.2222222222222223E-2</v>
      </c>
      <c r="F397" s="2">
        <v>45021</v>
      </c>
      <c r="G397" s="3">
        <v>0.15</v>
      </c>
      <c r="H397" s="1" t="s">
        <v>16</v>
      </c>
      <c r="I397" t="s">
        <v>25</v>
      </c>
      <c r="J397" t="s">
        <v>13</v>
      </c>
      <c r="K397" s="9">
        <v>34.5</v>
      </c>
      <c r="L397" t="s">
        <v>17</v>
      </c>
      <c r="M397">
        <v>396</v>
      </c>
      <c r="N397" t="s">
        <v>593</v>
      </c>
      <c r="O397" s="3">
        <f>(Sala[[#This Row],[Hora de Salida]]-Sala[[#This Row],[Hora de llegada]])+IF(Sala[[#This Row],[Estado de la Mesa]]="Ocupada",(TEXT((15/(60*24)),"h:mm")),(TEXT(0,"h:mm")))</f>
        <v>0.12777777777777777</v>
      </c>
      <c r="P397" s="43">
        <f>(SUMIF(Cocina[Número de Orden],Sala[[#This Row],[Número de Orden]],Cocina[Tiempo de Preparación]))</f>
        <v>57</v>
      </c>
      <c r="Q397" s="5" t="str">
        <f>TEXT(((SUMIF(Cocina[Número de Orden],Sala[[#This Row],[Número de Orden]],Cocina[Tiempo de Preparación]))/(60*24)),"h:mm")</f>
        <v>0:57</v>
      </c>
      <c r="R397" s="3">
        <f>MAX((Sala[[#This Row],[Tiempo de permanencia]]-Sala[[#This Row],[Tiempo de preparación (h)]]),0)</f>
        <v>8.8194444444444436E-2</v>
      </c>
      <c r="S397" s="8">
        <f>SUMIF(Cocina[Número de Orden],Sala[[#This Row],[Número de Orden]],Cocina[Ganancia bruta])</f>
        <v>83</v>
      </c>
      <c r="T397" s="8">
        <f>SUMIF(Cocina[Número de Orden],Sala[[#This Row],[Número de Orden]],Cocina[Costo Unitario])</f>
        <v>25</v>
      </c>
      <c r="U397" s="2">
        <f>Sala[[#This Row],[Fecha de Salida]]</f>
        <v>45021</v>
      </c>
      <c r="V397" s="7" t="str">
        <f>TEXT(Sala[[#This Row],[Fecha factura]],"dddd")</f>
        <v>miércoles</v>
      </c>
      <c r="W397" t="str">
        <f>IF(Sala[[#This Row],[Tiempo de degustación]]&gt;0,"Sí","No")</f>
        <v>Sí</v>
      </c>
      <c r="X397" t="str">
        <f>IF(Sala[[#This Row],[Cobrada]]="Sí",Sala[[#This Row],[Método de Pago]],"Impago")</f>
        <v>Efectivo</v>
      </c>
      <c r="Y397">
        <f>IF(Sala[[#This Row],[Cobrada]]="Sí",Sala[[#This Row],[Propina]],0)</f>
        <v>34.5</v>
      </c>
      <c r="Z397">
        <f>(IF(Sala[[#This Row],[Cobrada]]="Sí",Sala[[#This Row],[Monto total]],0))+Sala[[#This Row],[Propina real]]</f>
        <v>117.5</v>
      </c>
    </row>
    <row r="398" spans="1:26" x14ac:dyDescent="0.25">
      <c r="A398">
        <v>4</v>
      </c>
      <c r="B398" t="s">
        <v>350</v>
      </c>
      <c r="C398">
        <v>2</v>
      </c>
      <c r="D398" s="2">
        <v>45021</v>
      </c>
      <c r="E398" s="3">
        <v>1.3888888888888888E-2</v>
      </c>
      <c r="F398" s="2">
        <v>45021</v>
      </c>
      <c r="G398" s="3">
        <v>6.5277777777777782E-2</v>
      </c>
      <c r="H398" s="1" t="s">
        <v>23</v>
      </c>
      <c r="I398" t="s">
        <v>12</v>
      </c>
      <c r="J398" t="s">
        <v>600</v>
      </c>
      <c r="K398" s="9">
        <v>37.79</v>
      </c>
      <c r="L398" t="s">
        <v>17</v>
      </c>
      <c r="M398">
        <v>397</v>
      </c>
      <c r="N398" t="s">
        <v>47</v>
      </c>
      <c r="O398" s="3">
        <f>(Sala[[#This Row],[Hora de Salida]]-Sala[[#This Row],[Hora de llegada]])+IF(Sala[[#This Row],[Estado de la Mesa]]="Ocupada",(TEXT((15/(60*24)),"h:mm")),(TEXT(0,"h:mm")))</f>
        <v>5.1388888888888894E-2</v>
      </c>
      <c r="P398" s="43">
        <f>(SUMIF(Cocina[Número de Orden],Sala[[#This Row],[Número de Orden]],Cocina[Tiempo de Preparación]))</f>
        <v>69</v>
      </c>
      <c r="Q398" s="5" t="str">
        <f>TEXT(((SUMIF(Cocina[Número de Orden],Sala[[#This Row],[Número de Orden]],Cocina[Tiempo de Preparación]))/(60*24)),"h:mm")</f>
        <v>1:09</v>
      </c>
      <c r="R398" s="3">
        <f>MAX((Sala[[#This Row],[Tiempo de permanencia]]-Sala[[#This Row],[Tiempo de preparación (h)]]),0)</f>
        <v>3.4722222222222238E-3</v>
      </c>
      <c r="S398" s="8">
        <f>SUMIF(Cocina[Número de Orden],Sala[[#This Row],[Número de Orden]],Cocina[Ganancia bruta])</f>
        <v>147</v>
      </c>
      <c r="T398" s="8">
        <f>SUMIF(Cocina[Número de Orden],Sala[[#This Row],[Número de Orden]],Cocina[Costo Unitario])</f>
        <v>35</v>
      </c>
      <c r="U398" s="2">
        <f>Sala[[#This Row],[Fecha de Salida]]</f>
        <v>45021</v>
      </c>
      <c r="V398" s="7" t="str">
        <f>TEXT(Sala[[#This Row],[Fecha factura]],"dddd")</f>
        <v>miércoles</v>
      </c>
      <c r="W398" t="str">
        <f>IF(Sala[[#This Row],[Tiempo de degustación]]&gt;0,"Sí","No")</f>
        <v>Sí</v>
      </c>
      <c r="X398" t="str">
        <f>IF(Sala[[#This Row],[Cobrada]]="Sí",Sala[[#This Row],[Método de Pago]],"Impago")</f>
        <v>Tarjeta de débito</v>
      </c>
      <c r="Y398">
        <f>IF(Sala[[#This Row],[Cobrada]]="Sí",Sala[[#This Row],[Propina]],0)</f>
        <v>37.79</v>
      </c>
      <c r="Z398">
        <f>(IF(Sala[[#This Row],[Cobrada]]="Sí",Sala[[#This Row],[Monto total]],0))+Sala[[#This Row],[Propina real]]</f>
        <v>184.79</v>
      </c>
    </row>
    <row r="399" spans="1:26" x14ac:dyDescent="0.25">
      <c r="A399">
        <v>9</v>
      </c>
      <c r="B399" t="s">
        <v>388</v>
      </c>
      <c r="C399">
        <v>5</v>
      </c>
      <c r="D399" s="2">
        <v>45021</v>
      </c>
      <c r="E399" s="3">
        <v>0.13194444444444445</v>
      </c>
      <c r="F399" s="2">
        <v>45021</v>
      </c>
      <c r="G399" s="3">
        <v>0.2951388888888889</v>
      </c>
      <c r="H399" s="1" t="s">
        <v>11</v>
      </c>
      <c r="I399" t="s">
        <v>12</v>
      </c>
      <c r="J399" t="s">
        <v>601</v>
      </c>
      <c r="K399" s="9">
        <v>48.96</v>
      </c>
      <c r="L399" t="s">
        <v>17</v>
      </c>
      <c r="M399">
        <v>398</v>
      </c>
      <c r="N399" t="s">
        <v>593</v>
      </c>
      <c r="O399" s="3">
        <f>(Sala[[#This Row],[Hora de Salida]]-Sala[[#This Row],[Hora de llegada]])+IF(Sala[[#This Row],[Estado de la Mesa]]="Ocupada",(TEXT((15/(60*24)),"h:mm")),(TEXT(0,"h:mm")))</f>
        <v>0.16319444444444445</v>
      </c>
      <c r="P399" s="43">
        <f>(SUMIF(Cocina[Número de Orden],Sala[[#This Row],[Número de Orden]],Cocina[Tiempo de Preparación]))</f>
        <v>71</v>
      </c>
      <c r="Q399" s="5" t="str">
        <f>TEXT(((SUMIF(Cocina[Número de Orden],Sala[[#This Row],[Número de Orden]],Cocina[Tiempo de Preparación]))/(60*24)),"h:mm")</f>
        <v>1:11</v>
      </c>
      <c r="R399" s="3">
        <f>MAX((Sala[[#This Row],[Tiempo de permanencia]]-Sala[[#This Row],[Tiempo de preparación (h)]]),0)</f>
        <v>0.1138888888888889</v>
      </c>
      <c r="S399" s="8">
        <f>SUMIF(Cocina[Número de Orden],Sala[[#This Row],[Número de Orden]],Cocina[Ganancia bruta])</f>
        <v>122</v>
      </c>
      <c r="T399" s="8">
        <f>SUMIF(Cocina[Número de Orden],Sala[[#This Row],[Número de Orden]],Cocina[Costo Unitario])</f>
        <v>36</v>
      </c>
      <c r="U399" s="2">
        <f>Sala[[#This Row],[Fecha de Salida]]</f>
        <v>45021</v>
      </c>
      <c r="V399" s="7" t="str">
        <f>TEXT(Sala[[#This Row],[Fecha factura]],"dddd")</f>
        <v>miércoles</v>
      </c>
      <c r="W399" t="str">
        <f>IF(Sala[[#This Row],[Tiempo de degustación]]&gt;0,"Sí","No")</f>
        <v>Sí</v>
      </c>
      <c r="X399" t="str">
        <f>IF(Sala[[#This Row],[Cobrada]]="Sí",Sala[[#This Row],[Método de Pago]],"Impago")</f>
        <v>Tarjeta de crédito</v>
      </c>
      <c r="Y399">
        <f>IF(Sala[[#This Row],[Cobrada]]="Sí",Sala[[#This Row],[Propina]],0)</f>
        <v>48.96</v>
      </c>
      <c r="Z399">
        <f>(IF(Sala[[#This Row],[Cobrada]]="Sí",Sala[[#This Row],[Monto total]],0))+Sala[[#This Row],[Propina real]]</f>
        <v>170.96</v>
      </c>
    </row>
    <row r="400" spans="1:26" x14ac:dyDescent="0.25">
      <c r="A400">
        <v>7</v>
      </c>
      <c r="B400" t="s">
        <v>389</v>
      </c>
      <c r="C400">
        <v>6</v>
      </c>
      <c r="D400" s="2">
        <v>45021</v>
      </c>
      <c r="E400" s="3">
        <v>0.11666666666666667</v>
      </c>
      <c r="F400" s="2">
        <v>45021</v>
      </c>
      <c r="G400" s="3">
        <v>0.2361111111111111</v>
      </c>
      <c r="H400" s="1" t="s">
        <v>20</v>
      </c>
      <c r="I400" t="s">
        <v>8</v>
      </c>
      <c r="J400" t="s">
        <v>601</v>
      </c>
      <c r="K400" s="9">
        <v>27.32</v>
      </c>
      <c r="L400" t="s">
        <v>17</v>
      </c>
      <c r="M400">
        <v>399</v>
      </c>
      <c r="N400" t="s">
        <v>594</v>
      </c>
      <c r="O400" s="3">
        <f>(Sala[[#This Row],[Hora de Salida]]-Sala[[#This Row],[Hora de llegada]])+IF(Sala[[#This Row],[Estado de la Mesa]]="Ocupada",(TEXT((15/(60*24)),"h:mm")),(TEXT(0,"h:mm")))</f>
        <v>0.11944444444444444</v>
      </c>
      <c r="P400" s="43">
        <f>(SUMIF(Cocina[Número de Orden],Sala[[#This Row],[Número de Orden]],Cocina[Tiempo de Preparación]))</f>
        <v>91</v>
      </c>
      <c r="Q400" s="5" t="str">
        <f>TEXT(((SUMIF(Cocina[Número de Orden],Sala[[#This Row],[Número de Orden]],Cocina[Tiempo de Preparación]))/(60*24)),"h:mm")</f>
        <v>1:31</v>
      </c>
      <c r="R400" s="3">
        <f>MAX((Sala[[#This Row],[Tiempo de permanencia]]-Sala[[#This Row],[Tiempo de preparación (h)]]),0)</f>
        <v>5.6249999999999994E-2</v>
      </c>
      <c r="S400" s="8">
        <f>SUMIF(Cocina[Número de Orden],Sala[[#This Row],[Número de Orden]],Cocina[Ganancia bruta])</f>
        <v>207</v>
      </c>
      <c r="T400" s="8">
        <f>SUMIF(Cocina[Número de Orden],Sala[[#This Row],[Número de Orden]],Cocina[Costo Unitario])</f>
        <v>42</v>
      </c>
      <c r="U400" s="2">
        <f>Sala[[#This Row],[Fecha de Salida]]</f>
        <v>45021</v>
      </c>
      <c r="V400" s="7" t="str">
        <f>TEXT(Sala[[#This Row],[Fecha factura]],"dddd")</f>
        <v>miércoles</v>
      </c>
      <c r="W400" t="str">
        <f>IF(Sala[[#This Row],[Tiempo de degustación]]&gt;0,"Sí","No")</f>
        <v>Sí</v>
      </c>
      <c r="X400" t="str">
        <f>IF(Sala[[#This Row],[Cobrada]]="Sí",Sala[[#This Row],[Método de Pago]],"Impago")</f>
        <v>Tarjeta de crédito</v>
      </c>
      <c r="Y400">
        <f>IF(Sala[[#This Row],[Cobrada]]="Sí",Sala[[#This Row],[Propina]],0)</f>
        <v>27.32</v>
      </c>
      <c r="Z400">
        <f>(IF(Sala[[#This Row],[Cobrada]]="Sí",Sala[[#This Row],[Monto total]],0))+Sala[[#This Row],[Propina real]]</f>
        <v>234.32</v>
      </c>
    </row>
    <row r="401" spans="1:26" x14ac:dyDescent="0.25">
      <c r="A401">
        <v>9</v>
      </c>
      <c r="B401" t="s">
        <v>390</v>
      </c>
      <c r="C401">
        <v>4</v>
      </c>
      <c r="D401" s="2">
        <v>45021</v>
      </c>
      <c r="E401" s="3">
        <v>9.0972222222222218E-2</v>
      </c>
      <c r="F401" s="2">
        <v>45021</v>
      </c>
      <c r="G401" s="3">
        <v>0.1763888888888889</v>
      </c>
      <c r="H401" s="1" t="s">
        <v>23</v>
      </c>
      <c r="I401" t="s">
        <v>8</v>
      </c>
      <c r="J401" t="s">
        <v>601</v>
      </c>
      <c r="K401" s="9">
        <v>42.96</v>
      </c>
      <c r="L401" t="s">
        <v>9</v>
      </c>
      <c r="M401">
        <v>400</v>
      </c>
      <c r="N401" t="s">
        <v>18</v>
      </c>
      <c r="O401" s="3">
        <f>(Sala[[#This Row],[Hora de Salida]]-Sala[[#This Row],[Hora de llegada]])+IF(Sala[[#This Row],[Estado de la Mesa]]="Ocupada",(TEXT((15/(60*24)),"h:mm")),(TEXT(0,"h:mm")))</f>
        <v>8.5416666666666682E-2</v>
      </c>
      <c r="P401" s="43">
        <f>(SUMIF(Cocina[Número de Orden],Sala[[#This Row],[Número de Orden]],Cocina[Tiempo de Preparación]))</f>
        <v>79</v>
      </c>
      <c r="Q401" s="5" t="str">
        <f>TEXT(((SUMIF(Cocina[Número de Orden],Sala[[#This Row],[Número de Orden]],Cocina[Tiempo de Preparación]))/(60*24)),"h:mm")</f>
        <v>1:19</v>
      </c>
      <c r="R401" s="3">
        <f>MAX((Sala[[#This Row],[Tiempo de permanencia]]-Sala[[#This Row],[Tiempo de preparación (h)]]),0)</f>
        <v>3.0555555555555572E-2</v>
      </c>
      <c r="S401" s="8">
        <f>SUMIF(Cocina[Número de Orden],Sala[[#This Row],[Número de Orden]],Cocina[Ganancia bruta])</f>
        <v>198</v>
      </c>
      <c r="T401" s="8">
        <f>SUMIF(Cocina[Número de Orden],Sala[[#This Row],[Número de Orden]],Cocina[Costo Unitario])</f>
        <v>60</v>
      </c>
      <c r="U401" s="2">
        <f>Sala[[#This Row],[Fecha de Salida]]</f>
        <v>45021</v>
      </c>
      <c r="V401" s="7" t="str">
        <f>TEXT(Sala[[#This Row],[Fecha factura]],"dddd")</f>
        <v>miércoles</v>
      </c>
      <c r="W401" t="str">
        <f>IF(Sala[[#This Row],[Tiempo de degustación]]&gt;0,"Sí","No")</f>
        <v>Sí</v>
      </c>
      <c r="X401" t="str">
        <f>IF(Sala[[#This Row],[Cobrada]]="Sí",Sala[[#This Row],[Método de Pago]],"Impago")</f>
        <v>Tarjeta de crédito</v>
      </c>
      <c r="Y401">
        <f>IF(Sala[[#This Row],[Cobrada]]="Sí",Sala[[#This Row],[Propina]],0)</f>
        <v>42.96</v>
      </c>
      <c r="Z401">
        <f>(IF(Sala[[#This Row],[Cobrada]]="Sí",Sala[[#This Row],[Monto total]],0))+Sala[[#This Row],[Propina real]]</f>
        <v>240.96</v>
      </c>
    </row>
    <row r="402" spans="1:26" x14ac:dyDescent="0.25">
      <c r="A402">
        <v>16</v>
      </c>
      <c r="B402" t="s">
        <v>324</v>
      </c>
      <c r="C402">
        <v>2</v>
      </c>
      <c r="D402" s="2">
        <v>45021</v>
      </c>
      <c r="E402" s="3">
        <v>0.16041666666666668</v>
      </c>
      <c r="F402" s="2">
        <v>45021</v>
      </c>
      <c r="G402" s="3">
        <v>0.28958333333333336</v>
      </c>
      <c r="H402" s="1" t="s">
        <v>16</v>
      </c>
      <c r="I402" t="s">
        <v>8</v>
      </c>
      <c r="J402" t="s">
        <v>601</v>
      </c>
      <c r="K402" s="9">
        <v>15.87</v>
      </c>
      <c r="L402" t="s">
        <v>28</v>
      </c>
      <c r="M402">
        <v>401</v>
      </c>
      <c r="N402" t="s">
        <v>21</v>
      </c>
      <c r="O402" s="3">
        <f>(Sala[[#This Row],[Hora de Salida]]-Sala[[#This Row],[Hora de llegada]])+IF(Sala[[#This Row],[Estado de la Mesa]]="Ocupada",(TEXT((15/(60*24)),"h:mm")),(TEXT(0,"h:mm")))</f>
        <v>0.13958333333333334</v>
      </c>
      <c r="P402" s="43">
        <f>(SUMIF(Cocina[Número de Orden],Sala[[#This Row],[Número de Orden]],Cocina[Tiempo de Preparación]))</f>
        <v>20</v>
      </c>
      <c r="Q402" s="5" t="str">
        <f>TEXT(((SUMIF(Cocina[Número de Orden],Sala[[#This Row],[Número de Orden]],Cocina[Tiempo de Preparación]))/(60*24)),"h:mm")</f>
        <v>0:20</v>
      </c>
      <c r="R402" s="3">
        <f>MAX((Sala[[#This Row],[Tiempo de permanencia]]-Sala[[#This Row],[Tiempo de preparación (h)]]),0)</f>
        <v>0.12569444444444444</v>
      </c>
      <c r="S402" s="8">
        <f>SUMIF(Cocina[Número de Orden],Sala[[#This Row],[Número de Orden]],Cocina[Ganancia bruta])</f>
        <v>42</v>
      </c>
      <c r="T402" s="8">
        <f>SUMIF(Cocina[Número de Orden],Sala[[#This Row],[Número de Orden]],Cocina[Costo Unitario])</f>
        <v>13</v>
      </c>
      <c r="U402" s="2">
        <f>Sala[[#This Row],[Fecha de Salida]]</f>
        <v>45021</v>
      </c>
      <c r="V402" s="7" t="str">
        <f>TEXT(Sala[[#This Row],[Fecha factura]],"dddd")</f>
        <v>miércoles</v>
      </c>
      <c r="W402" t="str">
        <f>IF(Sala[[#This Row],[Tiempo de degustación]]&gt;0,"Sí","No")</f>
        <v>Sí</v>
      </c>
      <c r="X402" t="str">
        <f>IF(Sala[[#This Row],[Cobrada]]="Sí",Sala[[#This Row],[Método de Pago]],"Impago")</f>
        <v>Tarjeta de crédito</v>
      </c>
      <c r="Y402">
        <f>IF(Sala[[#This Row],[Cobrada]]="Sí",Sala[[#This Row],[Propina]],0)</f>
        <v>15.87</v>
      </c>
      <c r="Z402">
        <f>(IF(Sala[[#This Row],[Cobrada]]="Sí",Sala[[#This Row],[Monto total]],0))+Sala[[#This Row],[Propina real]]</f>
        <v>57.87</v>
      </c>
    </row>
    <row r="403" spans="1:26" x14ac:dyDescent="0.25">
      <c r="A403">
        <v>18</v>
      </c>
      <c r="B403" t="s">
        <v>391</v>
      </c>
      <c r="C403">
        <v>1</v>
      </c>
      <c r="D403" s="2">
        <v>45021</v>
      </c>
      <c r="E403" s="3">
        <v>0.11180555555555556</v>
      </c>
      <c r="F403" s="2">
        <v>45021</v>
      </c>
      <c r="G403" s="3">
        <v>0.21388888888888888</v>
      </c>
      <c r="H403" s="1" t="s">
        <v>7</v>
      </c>
      <c r="I403" t="s">
        <v>8</v>
      </c>
      <c r="J403" t="s">
        <v>601</v>
      </c>
      <c r="K403" s="9">
        <v>31.02</v>
      </c>
      <c r="L403" t="s">
        <v>9</v>
      </c>
      <c r="M403">
        <v>402</v>
      </c>
      <c r="N403" t="s">
        <v>14</v>
      </c>
      <c r="O403" s="3">
        <f>(Sala[[#This Row],[Hora de Salida]]-Sala[[#This Row],[Hora de llegada]])+IF(Sala[[#This Row],[Estado de la Mesa]]="Ocupada",(TEXT((15/(60*24)),"h:mm")),(TEXT(0,"h:mm")))</f>
        <v>0.10208333333333332</v>
      </c>
      <c r="P403" s="43">
        <f>(SUMIF(Cocina[Número de Orden],Sala[[#This Row],[Número de Orden]],Cocina[Tiempo de Preparación]))</f>
        <v>66</v>
      </c>
      <c r="Q403" s="5" t="str">
        <f>TEXT(((SUMIF(Cocina[Número de Orden],Sala[[#This Row],[Número de Orden]],Cocina[Tiempo de Preparación]))/(60*24)),"h:mm")</f>
        <v>1:06</v>
      </c>
      <c r="R403" s="3">
        <f>MAX((Sala[[#This Row],[Tiempo de permanencia]]-Sala[[#This Row],[Tiempo de preparación (h)]]),0)</f>
        <v>5.6249999999999988E-2</v>
      </c>
      <c r="S403" s="8">
        <f>SUMIF(Cocina[Número de Orden],Sala[[#This Row],[Número de Orden]],Cocina[Ganancia bruta])</f>
        <v>151</v>
      </c>
      <c r="T403" s="8">
        <f>SUMIF(Cocina[Número de Orden],Sala[[#This Row],[Número de Orden]],Cocina[Costo Unitario])</f>
        <v>39</v>
      </c>
      <c r="U403" s="2">
        <f>Sala[[#This Row],[Fecha de Salida]]</f>
        <v>45021</v>
      </c>
      <c r="V403" s="7" t="str">
        <f>TEXT(Sala[[#This Row],[Fecha factura]],"dddd")</f>
        <v>miércoles</v>
      </c>
      <c r="W403" t="str">
        <f>IF(Sala[[#This Row],[Tiempo de degustación]]&gt;0,"Sí","No")</f>
        <v>Sí</v>
      </c>
      <c r="X403" t="str">
        <f>IF(Sala[[#This Row],[Cobrada]]="Sí",Sala[[#This Row],[Método de Pago]],"Impago")</f>
        <v>Tarjeta de crédito</v>
      </c>
      <c r="Y403">
        <f>IF(Sala[[#This Row],[Cobrada]]="Sí",Sala[[#This Row],[Propina]],0)</f>
        <v>31.02</v>
      </c>
      <c r="Z403">
        <f>(IF(Sala[[#This Row],[Cobrada]]="Sí",Sala[[#This Row],[Monto total]],0))+Sala[[#This Row],[Propina real]]</f>
        <v>182.02</v>
      </c>
    </row>
    <row r="404" spans="1:26" x14ac:dyDescent="0.25">
      <c r="A404">
        <v>14</v>
      </c>
      <c r="B404" t="s">
        <v>392</v>
      </c>
      <c r="C404">
        <v>5</v>
      </c>
      <c r="D404" s="2">
        <v>45021</v>
      </c>
      <c r="E404" s="3">
        <v>9.375E-2</v>
      </c>
      <c r="F404" s="2">
        <v>45021</v>
      </c>
      <c r="G404" s="3">
        <v>0.21875</v>
      </c>
      <c r="H404" s="1" t="s">
        <v>11</v>
      </c>
      <c r="I404" t="s">
        <v>8</v>
      </c>
      <c r="J404" t="s">
        <v>601</v>
      </c>
      <c r="K404" s="9">
        <v>14.76</v>
      </c>
      <c r="L404" t="s">
        <v>17</v>
      </c>
      <c r="M404">
        <v>403</v>
      </c>
      <c r="N404" t="s">
        <v>47</v>
      </c>
      <c r="O404" s="3">
        <f>(Sala[[#This Row],[Hora de Salida]]-Sala[[#This Row],[Hora de llegada]])+IF(Sala[[#This Row],[Estado de la Mesa]]="Ocupada",(TEXT((15/(60*24)),"h:mm")),(TEXT(0,"h:mm")))</f>
        <v>0.125</v>
      </c>
      <c r="P404" s="43">
        <f>(SUMIF(Cocina[Número de Orden],Sala[[#This Row],[Número de Orden]],Cocina[Tiempo de Preparación]))</f>
        <v>85</v>
      </c>
      <c r="Q404" s="5" t="str">
        <f>TEXT(((SUMIF(Cocina[Número de Orden],Sala[[#This Row],[Número de Orden]],Cocina[Tiempo de Preparación]))/(60*24)),"h:mm")</f>
        <v>1:25</v>
      </c>
      <c r="R404" s="3">
        <f>MAX((Sala[[#This Row],[Tiempo de permanencia]]-Sala[[#This Row],[Tiempo de preparación (h)]]),0)</f>
        <v>6.5972222222222224E-2</v>
      </c>
      <c r="S404" s="8">
        <f>SUMIF(Cocina[Número de Orden],Sala[[#This Row],[Número de Orden]],Cocina[Ganancia bruta])</f>
        <v>190</v>
      </c>
      <c r="T404" s="8">
        <f>SUMIF(Cocina[Número de Orden],Sala[[#This Row],[Número de Orden]],Cocina[Costo Unitario])</f>
        <v>56</v>
      </c>
      <c r="U404" s="2">
        <f>Sala[[#This Row],[Fecha de Salida]]</f>
        <v>45021</v>
      </c>
      <c r="V404" s="7" t="str">
        <f>TEXT(Sala[[#This Row],[Fecha factura]],"dddd")</f>
        <v>miércoles</v>
      </c>
      <c r="W404" t="str">
        <f>IF(Sala[[#This Row],[Tiempo de degustación]]&gt;0,"Sí","No")</f>
        <v>Sí</v>
      </c>
      <c r="X404" t="str">
        <f>IF(Sala[[#This Row],[Cobrada]]="Sí",Sala[[#This Row],[Método de Pago]],"Impago")</f>
        <v>Tarjeta de crédito</v>
      </c>
      <c r="Y404">
        <f>IF(Sala[[#This Row],[Cobrada]]="Sí",Sala[[#This Row],[Propina]],0)</f>
        <v>14.76</v>
      </c>
      <c r="Z404">
        <f>(IF(Sala[[#This Row],[Cobrada]]="Sí",Sala[[#This Row],[Monto total]],0))+Sala[[#This Row],[Propina real]]</f>
        <v>204.76</v>
      </c>
    </row>
    <row r="405" spans="1:26" x14ac:dyDescent="0.25">
      <c r="A405">
        <v>17</v>
      </c>
      <c r="B405" t="s">
        <v>346</v>
      </c>
      <c r="C405">
        <v>2</v>
      </c>
      <c r="D405" s="2">
        <v>45021</v>
      </c>
      <c r="E405" s="3">
        <v>2.6388888888888889E-2</v>
      </c>
      <c r="F405" s="2">
        <v>45021</v>
      </c>
      <c r="G405" s="3">
        <v>0.18680555555555556</v>
      </c>
      <c r="H405" s="1" t="s">
        <v>20</v>
      </c>
      <c r="I405" t="s">
        <v>8</v>
      </c>
      <c r="J405" t="s">
        <v>601</v>
      </c>
      <c r="K405" s="9">
        <v>32.56</v>
      </c>
      <c r="L405" t="s">
        <v>17</v>
      </c>
      <c r="M405">
        <v>404</v>
      </c>
      <c r="N405" t="s">
        <v>594</v>
      </c>
      <c r="O405" s="3">
        <f>(Sala[[#This Row],[Hora de Salida]]-Sala[[#This Row],[Hora de llegada]])+IF(Sala[[#This Row],[Estado de la Mesa]]="Ocupada",(TEXT((15/(60*24)),"h:mm")),(TEXT(0,"h:mm")))</f>
        <v>0.16041666666666668</v>
      </c>
      <c r="P405" s="43">
        <f>(SUMIF(Cocina[Número de Orden],Sala[[#This Row],[Número de Orden]],Cocina[Tiempo de Preparación]))</f>
        <v>102</v>
      </c>
      <c r="Q405" s="5" t="str">
        <f>TEXT(((SUMIF(Cocina[Número de Orden],Sala[[#This Row],[Número de Orden]],Cocina[Tiempo de Preparación]))/(60*24)),"h:mm")</f>
        <v>1:42</v>
      </c>
      <c r="R405" s="3">
        <f>MAX((Sala[[#This Row],[Tiempo de permanencia]]-Sala[[#This Row],[Tiempo de preparación (h)]]),0)</f>
        <v>8.9583333333333348E-2</v>
      </c>
      <c r="S405" s="8">
        <f>SUMIF(Cocina[Número de Orden],Sala[[#This Row],[Número de Orden]],Cocina[Ganancia bruta])</f>
        <v>182</v>
      </c>
      <c r="T405" s="8">
        <f>SUMIF(Cocina[Número de Orden],Sala[[#This Row],[Número de Orden]],Cocina[Costo Unitario])</f>
        <v>50</v>
      </c>
      <c r="U405" s="2">
        <f>Sala[[#This Row],[Fecha de Salida]]</f>
        <v>45021</v>
      </c>
      <c r="V405" s="7" t="str">
        <f>TEXT(Sala[[#This Row],[Fecha factura]],"dddd")</f>
        <v>miércoles</v>
      </c>
      <c r="W405" t="str">
        <f>IF(Sala[[#This Row],[Tiempo de degustación]]&gt;0,"Sí","No")</f>
        <v>Sí</v>
      </c>
      <c r="X405" t="str">
        <f>IF(Sala[[#This Row],[Cobrada]]="Sí",Sala[[#This Row],[Método de Pago]],"Impago")</f>
        <v>Tarjeta de crédito</v>
      </c>
      <c r="Y405">
        <f>IF(Sala[[#This Row],[Cobrada]]="Sí",Sala[[#This Row],[Propina]],0)</f>
        <v>32.56</v>
      </c>
      <c r="Z405">
        <f>(IF(Sala[[#This Row],[Cobrada]]="Sí",Sala[[#This Row],[Monto total]],0))+Sala[[#This Row],[Propina real]]</f>
        <v>214.56</v>
      </c>
    </row>
    <row r="406" spans="1:26" x14ac:dyDescent="0.25">
      <c r="A406">
        <v>5</v>
      </c>
      <c r="B406" t="s">
        <v>393</v>
      </c>
      <c r="C406">
        <v>6</v>
      </c>
      <c r="D406" s="2">
        <v>45021</v>
      </c>
      <c r="E406" s="3">
        <v>0.11041666666666666</v>
      </c>
      <c r="F406" s="2">
        <v>45021</v>
      </c>
      <c r="G406" s="3">
        <v>0.2076388888888889</v>
      </c>
      <c r="H406" s="1" t="s">
        <v>16</v>
      </c>
      <c r="I406" t="s">
        <v>25</v>
      </c>
      <c r="J406" t="s">
        <v>601</v>
      </c>
      <c r="K406" s="9">
        <v>14.56</v>
      </c>
      <c r="L406" t="s">
        <v>9</v>
      </c>
      <c r="M406">
        <v>405</v>
      </c>
      <c r="N406" t="s">
        <v>59</v>
      </c>
      <c r="O406" s="3">
        <f>(Sala[[#This Row],[Hora de Salida]]-Sala[[#This Row],[Hora de llegada]])+IF(Sala[[#This Row],[Estado de la Mesa]]="Ocupada",(TEXT((15/(60*24)),"h:mm")),(TEXT(0,"h:mm")))</f>
        <v>9.7222222222222238E-2</v>
      </c>
      <c r="P406" s="43">
        <f>(SUMIF(Cocina[Número de Orden],Sala[[#This Row],[Número de Orden]],Cocina[Tiempo de Preparación]))</f>
        <v>98</v>
      </c>
      <c r="Q406" s="5" t="str">
        <f>TEXT(((SUMIF(Cocina[Número de Orden],Sala[[#This Row],[Número de Orden]],Cocina[Tiempo de Preparación]))/(60*24)),"h:mm")</f>
        <v>1:38</v>
      </c>
      <c r="R406" s="3">
        <f>MAX((Sala[[#This Row],[Tiempo de permanencia]]-Sala[[#This Row],[Tiempo de preparación (h)]]),0)</f>
        <v>2.9166666666666688E-2</v>
      </c>
      <c r="S406" s="8">
        <f>SUMIF(Cocina[Número de Orden],Sala[[#This Row],[Número de Orden]],Cocina[Ganancia bruta])</f>
        <v>106</v>
      </c>
      <c r="T406" s="8">
        <f>SUMIF(Cocina[Número de Orden],Sala[[#This Row],[Número de Orden]],Cocina[Costo Unitario])</f>
        <v>52</v>
      </c>
      <c r="U406" s="2">
        <f>Sala[[#This Row],[Fecha de Salida]]</f>
        <v>45021</v>
      </c>
      <c r="V406" s="7" t="str">
        <f>TEXT(Sala[[#This Row],[Fecha factura]],"dddd")</f>
        <v>miércoles</v>
      </c>
      <c r="W406" t="str">
        <f>IF(Sala[[#This Row],[Tiempo de degustación]]&gt;0,"Sí","No")</f>
        <v>Sí</v>
      </c>
      <c r="X406" t="str">
        <f>IF(Sala[[#This Row],[Cobrada]]="Sí",Sala[[#This Row],[Método de Pago]],"Impago")</f>
        <v>Tarjeta de crédito</v>
      </c>
      <c r="Y406">
        <f>IF(Sala[[#This Row],[Cobrada]]="Sí",Sala[[#This Row],[Propina]],0)</f>
        <v>14.56</v>
      </c>
      <c r="Z406">
        <f>(IF(Sala[[#This Row],[Cobrada]]="Sí",Sala[[#This Row],[Monto total]],0))+Sala[[#This Row],[Propina real]]</f>
        <v>120.56</v>
      </c>
    </row>
    <row r="407" spans="1:26" x14ac:dyDescent="0.25">
      <c r="A407">
        <v>14</v>
      </c>
      <c r="B407" t="s">
        <v>271</v>
      </c>
      <c r="C407">
        <v>5</v>
      </c>
      <c r="D407" s="2">
        <v>45021</v>
      </c>
      <c r="E407" s="3">
        <v>2.013888888888889E-2</v>
      </c>
      <c r="F407" s="2">
        <v>45021</v>
      </c>
      <c r="G407" s="3">
        <v>0.10902777777777778</v>
      </c>
      <c r="H407" s="1" t="s">
        <v>16</v>
      </c>
      <c r="I407" t="s">
        <v>25</v>
      </c>
      <c r="J407" t="s">
        <v>13</v>
      </c>
      <c r="K407" s="9">
        <v>34.03</v>
      </c>
      <c r="L407" t="s">
        <v>28</v>
      </c>
      <c r="M407">
        <v>406</v>
      </c>
      <c r="N407" t="s">
        <v>594</v>
      </c>
      <c r="O407" s="3">
        <f>(Sala[[#This Row],[Hora de Salida]]-Sala[[#This Row],[Hora de llegada]])+IF(Sala[[#This Row],[Estado de la Mesa]]="Ocupada",(TEXT((15/(60*24)),"h:mm")),(TEXT(0,"h:mm")))</f>
        <v>9.9305555555555564E-2</v>
      </c>
      <c r="P407" s="43">
        <f>(SUMIF(Cocina[Número de Orden],Sala[[#This Row],[Número de Orden]],Cocina[Tiempo de Preparación]))</f>
        <v>117</v>
      </c>
      <c r="Q407" s="5" t="str">
        <f>TEXT(((SUMIF(Cocina[Número de Orden],Sala[[#This Row],[Número de Orden]],Cocina[Tiempo de Preparación]))/(60*24)),"h:mm")</f>
        <v>1:57</v>
      </c>
      <c r="R407" s="3">
        <f>MAX((Sala[[#This Row],[Tiempo de permanencia]]-Sala[[#This Row],[Tiempo de preparación (h)]]),0)</f>
        <v>1.8055555555555561E-2</v>
      </c>
      <c r="S407" s="8">
        <f>SUMIF(Cocina[Número de Orden],Sala[[#This Row],[Número de Orden]],Cocina[Ganancia bruta])</f>
        <v>155</v>
      </c>
      <c r="T407" s="8">
        <f>SUMIF(Cocina[Número de Orden],Sala[[#This Row],[Número de Orden]],Cocina[Costo Unitario])</f>
        <v>48</v>
      </c>
      <c r="U407" s="2">
        <f>Sala[[#This Row],[Fecha de Salida]]</f>
        <v>45021</v>
      </c>
      <c r="V407" s="7" t="str">
        <f>TEXT(Sala[[#This Row],[Fecha factura]],"dddd")</f>
        <v>miércoles</v>
      </c>
      <c r="W407" t="str">
        <f>IF(Sala[[#This Row],[Tiempo de degustación]]&gt;0,"Sí","No")</f>
        <v>Sí</v>
      </c>
      <c r="X407" t="str">
        <f>IF(Sala[[#This Row],[Cobrada]]="Sí",Sala[[#This Row],[Método de Pago]],"Impago")</f>
        <v>Efectivo</v>
      </c>
      <c r="Y407">
        <f>IF(Sala[[#This Row],[Cobrada]]="Sí",Sala[[#This Row],[Propina]],0)</f>
        <v>34.03</v>
      </c>
      <c r="Z407">
        <f>(IF(Sala[[#This Row],[Cobrada]]="Sí",Sala[[#This Row],[Monto total]],0))+Sala[[#This Row],[Propina real]]</f>
        <v>189.03</v>
      </c>
    </row>
    <row r="408" spans="1:26" x14ac:dyDescent="0.25">
      <c r="A408">
        <v>4</v>
      </c>
      <c r="B408" t="s">
        <v>394</v>
      </c>
      <c r="C408">
        <v>1</v>
      </c>
      <c r="D408" s="2">
        <v>45021</v>
      </c>
      <c r="E408" s="3">
        <v>9.2361111111111116E-2</v>
      </c>
      <c r="F408" s="2">
        <v>45021</v>
      </c>
      <c r="G408" s="3">
        <v>0.20208333333333334</v>
      </c>
      <c r="H408" s="1" t="s">
        <v>23</v>
      </c>
      <c r="I408" t="s">
        <v>12</v>
      </c>
      <c r="J408" t="s">
        <v>600</v>
      </c>
      <c r="K408" s="9">
        <v>22.98</v>
      </c>
      <c r="L408" t="s">
        <v>9</v>
      </c>
      <c r="M408">
        <v>407</v>
      </c>
      <c r="N408" t="s">
        <v>44</v>
      </c>
      <c r="O408" s="3">
        <f>(Sala[[#This Row],[Hora de Salida]]-Sala[[#This Row],[Hora de llegada]])+IF(Sala[[#This Row],[Estado de la Mesa]]="Ocupada",(TEXT((15/(60*24)),"h:mm")),(TEXT(0,"h:mm")))</f>
        <v>0.10972222222222222</v>
      </c>
      <c r="P408" s="43">
        <f>(SUMIF(Cocina[Número de Orden],Sala[[#This Row],[Número de Orden]],Cocina[Tiempo de Preparación]))</f>
        <v>50</v>
      </c>
      <c r="Q408" s="5" t="str">
        <f>TEXT(((SUMIF(Cocina[Número de Orden],Sala[[#This Row],[Número de Orden]],Cocina[Tiempo de Preparación]))/(60*24)),"h:mm")</f>
        <v>0:50</v>
      </c>
      <c r="R408" s="3">
        <f>MAX((Sala[[#This Row],[Tiempo de permanencia]]-Sala[[#This Row],[Tiempo de preparación (h)]]),0)</f>
        <v>7.4999999999999997E-2</v>
      </c>
      <c r="S408" s="8">
        <f>SUMIF(Cocina[Número de Orden],Sala[[#This Row],[Número de Orden]],Cocina[Ganancia bruta])</f>
        <v>95</v>
      </c>
      <c r="T408" s="8">
        <f>SUMIF(Cocina[Número de Orden],Sala[[#This Row],[Número de Orden]],Cocina[Costo Unitario])</f>
        <v>33</v>
      </c>
      <c r="U408" s="2">
        <f>Sala[[#This Row],[Fecha de Salida]]</f>
        <v>45021</v>
      </c>
      <c r="V408" s="7" t="str">
        <f>TEXT(Sala[[#This Row],[Fecha factura]],"dddd")</f>
        <v>miércoles</v>
      </c>
      <c r="W408" t="str">
        <f>IF(Sala[[#This Row],[Tiempo de degustación]]&gt;0,"Sí","No")</f>
        <v>Sí</v>
      </c>
      <c r="X408" t="str">
        <f>IF(Sala[[#This Row],[Cobrada]]="Sí",Sala[[#This Row],[Método de Pago]],"Impago")</f>
        <v>Tarjeta de débito</v>
      </c>
      <c r="Y408">
        <f>IF(Sala[[#This Row],[Cobrada]]="Sí",Sala[[#This Row],[Propina]],0)</f>
        <v>22.98</v>
      </c>
      <c r="Z408">
        <f>(IF(Sala[[#This Row],[Cobrada]]="Sí",Sala[[#This Row],[Monto total]],0))+Sala[[#This Row],[Propina real]]</f>
        <v>117.98</v>
      </c>
    </row>
    <row r="409" spans="1:26" x14ac:dyDescent="0.25">
      <c r="A409">
        <v>17</v>
      </c>
      <c r="B409" t="s">
        <v>308</v>
      </c>
      <c r="C409">
        <v>3</v>
      </c>
      <c r="D409" s="2">
        <v>45021</v>
      </c>
      <c r="E409" s="3">
        <v>3.888888888888889E-2</v>
      </c>
      <c r="F409" s="2">
        <v>45021</v>
      </c>
      <c r="G409" s="3">
        <v>0.1701388888888889</v>
      </c>
      <c r="H409" s="1" t="s">
        <v>16</v>
      </c>
      <c r="I409" t="s">
        <v>8</v>
      </c>
      <c r="J409" t="s">
        <v>601</v>
      </c>
      <c r="K409" s="9">
        <v>10.14</v>
      </c>
      <c r="L409" t="s">
        <v>28</v>
      </c>
      <c r="M409">
        <v>408</v>
      </c>
      <c r="N409" t="s">
        <v>47</v>
      </c>
      <c r="O409" s="3">
        <f>(Sala[[#This Row],[Hora de Salida]]-Sala[[#This Row],[Hora de llegada]])+IF(Sala[[#This Row],[Estado de la Mesa]]="Ocupada",(TEXT((15/(60*24)),"h:mm")),(TEXT(0,"h:mm")))</f>
        <v>0.14166666666666666</v>
      </c>
      <c r="P409" s="43">
        <f>(SUMIF(Cocina[Número de Orden],Sala[[#This Row],[Número de Orden]],Cocina[Tiempo de Preparación]))</f>
        <v>106</v>
      </c>
      <c r="Q409" s="5" t="str">
        <f>TEXT(((SUMIF(Cocina[Número de Orden],Sala[[#This Row],[Número de Orden]],Cocina[Tiempo de Preparación]))/(60*24)),"h:mm")</f>
        <v>1:46</v>
      </c>
      <c r="R409" s="3">
        <f>MAX((Sala[[#This Row],[Tiempo de permanencia]]-Sala[[#This Row],[Tiempo de preparación (h)]]),0)</f>
        <v>6.805555555555555E-2</v>
      </c>
      <c r="S409" s="8">
        <f>SUMIF(Cocina[Número de Orden],Sala[[#This Row],[Número de Orden]],Cocina[Ganancia bruta])</f>
        <v>131</v>
      </c>
      <c r="T409" s="8">
        <f>SUMIF(Cocina[Número de Orden],Sala[[#This Row],[Número de Orden]],Cocina[Costo Unitario])</f>
        <v>49</v>
      </c>
      <c r="U409" s="2">
        <f>Sala[[#This Row],[Fecha de Salida]]</f>
        <v>45021</v>
      </c>
      <c r="V409" s="7" t="str">
        <f>TEXT(Sala[[#This Row],[Fecha factura]],"dddd")</f>
        <v>miércoles</v>
      </c>
      <c r="W409" t="str">
        <f>IF(Sala[[#This Row],[Tiempo de degustación]]&gt;0,"Sí","No")</f>
        <v>Sí</v>
      </c>
      <c r="X409" t="str">
        <f>IF(Sala[[#This Row],[Cobrada]]="Sí",Sala[[#This Row],[Método de Pago]],"Impago")</f>
        <v>Tarjeta de crédito</v>
      </c>
      <c r="Y409">
        <f>IF(Sala[[#This Row],[Cobrada]]="Sí",Sala[[#This Row],[Propina]],0)</f>
        <v>10.14</v>
      </c>
      <c r="Z409">
        <f>(IF(Sala[[#This Row],[Cobrada]]="Sí",Sala[[#This Row],[Monto total]],0))+Sala[[#This Row],[Propina real]]</f>
        <v>141.13999999999999</v>
      </c>
    </row>
    <row r="410" spans="1:26" x14ac:dyDescent="0.25">
      <c r="A410">
        <v>15</v>
      </c>
      <c r="B410" t="s">
        <v>395</v>
      </c>
      <c r="C410">
        <v>5</v>
      </c>
      <c r="D410" s="2">
        <v>45021</v>
      </c>
      <c r="E410" s="3">
        <v>7.9861111111111105E-2</v>
      </c>
      <c r="F410" s="2">
        <v>45021</v>
      </c>
      <c r="G410" s="3">
        <v>0.12569444444444444</v>
      </c>
      <c r="H410" s="1" t="s">
        <v>11</v>
      </c>
      <c r="I410" t="s">
        <v>8</v>
      </c>
      <c r="J410" t="s">
        <v>601</v>
      </c>
      <c r="K410" s="9">
        <v>48.7</v>
      </c>
      <c r="L410" t="s">
        <v>9</v>
      </c>
      <c r="M410">
        <v>409</v>
      </c>
      <c r="N410" t="s">
        <v>47</v>
      </c>
      <c r="O410" s="3">
        <f>(Sala[[#This Row],[Hora de Salida]]-Sala[[#This Row],[Hora de llegada]])+IF(Sala[[#This Row],[Estado de la Mesa]]="Ocupada",(TEXT((15/(60*24)),"h:mm")),(TEXT(0,"h:mm")))</f>
        <v>4.5833333333333337E-2</v>
      </c>
      <c r="P410" s="43">
        <f>(SUMIF(Cocina[Número de Orden],Sala[[#This Row],[Número de Orden]],Cocina[Tiempo de Preparación]))</f>
        <v>163</v>
      </c>
      <c r="Q410" s="5" t="str">
        <f>TEXT(((SUMIF(Cocina[Número de Orden],Sala[[#This Row],[Número de Orden]],Cocina[Tiempo de Preparación]))/(60*24)),"h:mm")</f>
        <v>2:43</v>
      </c>
      <c r="R410" s="3">
        <f>MAX((Sala[[#This Row],[Tiempo de permanencia]]-Sala[[#This Row],[Tiempo de preparación (h)]]),0)</f>
        <v>0</v>
      </c>
      <c r="S410" s="8">
        <f>SUMIF(Cocina[Número de Orden],Sala[[#This Row],[Número de Orden]],Cocina[Ganancia bruta])</f>
        <v>203</v>
      </c>
      <c r="T410" s="8">
        <f>SUMIF(Cocina[Número de Orden],Sala[[#This Row],[Número de Orden]],Cocina[Costo Unitario])</f>
        <v>68</v>
      </c>
      <c r="U410" s="2">
        <f>Sala[[#This Row],[Fecha de Salida]]</f>
        <v>45021</v>
      </c>
      <c r="V410" s="7" t="str">
        <f>TEXT(Sala[[#This Row],[Fecha factura]],"dddd")</f>
        <v>miércoles</v>
      </c>
      <c r="W410" t="str">
        <f>IF(Sala[[#This Row],[Tiempo de degustación]]&gt;0,"Sí","No")</f>
        <v>No</v>
      </c>
      <c r="X410" t="str">
        <f>IF(Sala[[#This Row],[Cobrada]]="Sí",Sala[[#This Row],[Método de Pago]],"Impago")</f>
        <v>Impago</v>
      </c>
      <c r="Y410">
        <f>IF(Sala[[#This Row],[Cobrada]]="Sí",Sala[[#This Row],[Propina]],0)</f>
        <v>0</v>
      </c>
      <c r="Z410">
        <f>(IF(Sala[[#This Row],[Cobrada]]="Sí",Sala[[#This Row],[Monto total]],0))+Sala[[#This Row],[Propina real]]</f>
        <v>0</v>
      </c>
    </row>
    <row r="411" spans="1:26" x14ac:dyDescent="0.25">
      <c r="A411">
        <v>1</v>
      </c>
      <c r="B411" t="s">
        <v>396</v>
      </c>
      <c r="C411">
        <v>3</v>
      </c>
      <c r="D411" s="2">
        <v>45021</v>
      </c>
      <c r="E411" s="3">
        <v>0.11597222222222223</v>
      </c>
      <c r="F411" s="2">
        <v>45021</v>
      </c>
      <c r="G411" s="3">
        <v>0.22430555555555556</v>
      </c>
      <c r="H411" s="1" t="s">
        <v>23</v>
      </c>
      <c r="I411" t="s">
        <v>25</v>
      </c>
      <c r="J411" t="s">
        <v>601</v>
      </c>
      <c r="K411" s="9">
        <v>43.65</v>
      </c>
      <c r="L411" t="s">
        <v>9</v>
      </c>
      <c r="M411">
        <v>410</v>
      </c>
      <c r="N411" t="s">
        <v>593</v>
      </c>
      <c r="O411" s="3">
        <f>(Sala[[#This Row],[Hora de Salida]]-Sala[[#This Row],[Hora de llegada]])+IF(Sala[[#This Row],[Estado de la Mesa]]="Ocupada",(TEXT((15/(60*24)),"h:mm")),(TEXT(0,"h:mm")))</f>
        <v>0.10833333333333334</v>
      </c>
      <c r="P411" s="43">
        <f>(SUMIF(Cocina[Número de Orden],Sala[[#This Row],[Número de Orden]],Cocina[Tiempo de Preparación]))</f>
        <v>91</v>
      </c>
      <c r="Q411" s="5" t="str">
        <f>TEXT(((SUMIF(Cocina[Número de Orden],Sala[[#This Row],[Número de Orden]],Cocina[Tiempo de Preparación]))/(60*24)),"h:mm")</f>
        <v>1:31</v>
      </c>
      <c r="R411" s="3">
        <f>MAX((Sala[[#This Row],[Tiempo de permanencia]]-Sala[[#This Row],[Tiempo de preparación (h)]]),0)</f>
        <v>4.5138888888888895E-2</v>
      </c>
      <c r="S411" s="8">
        <f>SUMIF(Cocina[Número de Orden],Sala[[#This Row],[Número de Orden]],Cocina[Ganancia bruta])</f>
        <v>56</v>
      </c>
      <c r="T411" s="8">
        <f>SUMIF(Cocina[Número de Orden],Sala[[#This Row],[Número de Orden]],Cocina[Costo Unitario])</f>
        <v>34</v>
      </c>
      <c r="U411" s="2">
        <f>Sala[[#This Row],[Fecha de Salida]]</f>
        <v>45021</v>
      </c>
      <c r="V411" s="7" t="str">
        <f>TEXT(Sala[[#This Row],[Fecha factura]],"dddd")</f>
        <v>miércoles</v>
      </c>
      <c r="W411" t="str">
        <f>IF(Sala[[#This Row],[Tiempo de degustación]]&gt;0,"Sí","No")</f>
        <v>Sí</v>
      </c>
      <c r="X411" t="str">
        <f>IF(Sala[[#This Row],[Cobrada]]="Sí",Sala[[#This Row],[Método de Pago]],"Impago")</f>
        <v>Tarjeta de crédito</v>
      </c>
      <c r="Y411">
        <f>IF(Sala[[#This Row],[Cobrada]]="Sí",Sala[[#This Row],[Propina]],0)</f>
        <v>43.65</v>
      </c>
      <c r="Z411">
        <f>(IF(Sala[[#This Row],[Cobrada]]="Sí",Sala[[#This Row],[Monto total]],0))+Sala[[#This Row],[Propina real]]</f>
        <v>99.65</v>
      </c>
    </row>
    <row r="412" spans="1:26" x14ac:dyDescent="0.25">
      <c r="A412">
        <v>3</v>
      </c>
      <c r="B412" t="s">
        <v>242</v>
      </c>
      <c r="C412">
        <v>3</v>
      </c>
      <c r="D412" s="2">
        <v>45021</v>
      </c>
      <c r="E412" s="3">
        <v>9.0972222222222218E-2</v>
      </c>
      <c r="F412" s="2">
        <v>45021</v>
      </c>
      <c r="G412" s="3">
        <v>0.21111111111111111</v>
      </c>
      <c r="H412" s="1" t="s">
        <v>11</v>
      </c>
      <c r="I412" t="s">
        <v>8</v>
      </c>
      <c r="J412" t="s">
        <v>600</v>
      </c>
      <c r="K412" s="9">
        <v>21.88</v>
      </c>
      <c r="L412" t="s">
        <v>28</v>
      </c>
      <c r="M412">
        <v>411</v>
      </c>
      <c r="N412" t="s">
        <v>14</v>
      </c>
      <c r="O412" s="3">
        <f>(Sala[[#This Row],[Hora de Salida]]-Sala[[#This Row],[Hora de llegada]])+IF(Sala[[#This Row],[Estado de la Mesa]]="Ocupada",(TEXT((15/(60*24)),"h:mm")),(TEXT(0,"h:mm")))</f>
        <v>0.13055555555555556</v>
      </c>
      <c r="P412" s="43">
        <f>(SUMIF(Cocina[Número de Orden],Sala[[#This Row],[Número de Orden]],Cocina[Tiempo de Preparación]))</f>
        <v>78</v>
      </c>
      <c r="Q412" s="5" t="str">
        <f>TEXT(((SUMIF(Cocina[Número de Orden],Sala[[#This Row],[Número de Orden]],Cocina[Tiempo de Preparación]))/(60*24)),"h:mm")</f>
        <v>1:18</v>
      </c>
      <c r="R412" s="3">
        <f>MAX((Sala[[#This Row],[Tiempo de permanencia]]-Sala[[#This Row],[Tiempo de preparación (h)]]),0)</f>
        <v>7.6388888888888895E-2</v>
      </c>
      <c r="S412" s="8">
        <f>SUMIF(Cocina[Número de Orden],Sala[[#This Row],[Número de Orden]],Cocina[Ganancia bruta])</f>
        <v>219</v>
      </c>
      <c r="T412" s="8">
        <f>SUMIF(Cocina[Número de Orden],Sala[[#This Row],[Número de Orden]],Cocina[Costo Unitario])</f>
        <v>51</v>
      </c>
      <c r="U412" s="2">
        <f>Sala[[#This Row],[Fecha de Salida]]</f>
        <v>45021</v>
      </c>
      <c r="V412" s="7" t="str">
        <f>TEXT(Sala[[#This Row],[Fecha factura]],"dddd")</f>
        <v>miércoles</v>
      </c>
      <c r="W412" t="str">
        <f>IF(Sala[[#This Row],[Tiempo de degustación]]&gt;0,"Sí","No")</f>
        <v>Sí</v>
      </c>
      <c r="X412" t="str">
        <f>IF(Sala[[#This Row],[Cobrada]]="Sí",Sala[[#This Row],[Método de Pago]],"Impago")</f>
        <v>Tarjeta de débito</v>
      </c>
      <c r="Y412">
        <f>IF(Sala[[#This Row],[Cobrada]]="Sí",Sala[[#This Row],[Propina]],0)</f>
        <v>21.88</v>
      </c>
      <c r="Z412">
        <f>(IF(Sala[[#This Row],[Cobrada]]="Sí",Sala[[#This Row],[Monto total]],0))+Sala[[#This Row],[Propina real]]</f>
        <v>240.88</v>
      </c>
    </row>
    <row r="413" spans="1:26" x14ac:dyDescent="0.25">
      <c r="A413">
        <v>11</v>
      </c>
      <c r="B413" t="s">
        <v>397</v>
      </c>
      <c r="C413">
        <v>4</v>
      </c>
      <c r="D413" s="2">
        <v>45021</v>
      </c>
      <c r="E413" s="3">
        <v>1.5277777777777777E-2</v>
      </c>
      <c r="F413" s="2">
        <v>45021</v>
      </c>
      <c r="G413" s="3">
        <v>8.5416666666666669E-2</v>
      </c>
      <c r="H413" s="1" t="s">
        <v>20</v>
      </c>
      <c r="I413" t="s">
        <v>25</v>
      </c>
      <c r="J413" t="s">
        <v>601</v>
      </c>
      <c r="K413" s="9">
        <v>12.94</v>
      </c>
      <c r="L413" t="s">
        <v>28</v>
      </c>
      <c r="M413">
        <v>412</v>
      </c>
      <c r="N413" t="s">
        <v>593</v>
      </c>
      <c r="O413" s="3">
        <f>(Sala[[#This Row],[Hora de Salida]]-Sala[[#This Row],[Hora de llegada]])+IF(Sala[[#This Row],[Estado de la Mesa]]="Ocupada",(TEXT((15/(60*24)),"h:mm")),(TEXT(0,"h:mm")))</f>
        <v>8.0555555555555561E-2</v>
      </c>
      <c r="P413" s="43">
        <f>(SUMIF(Cocina[Número de Orden],Sala[[#This Row],[Número de Orden]],Cocina[Tiempo de Preparación]))</f>
        <v>57</v>
      </c>
      <c r="Q413" s="5" t="str">
        <f>TEXT(((SUMIF(Cocina[Número de Orden],Sala[[#This Row],[Número de Orden]],Cocina[Tiempo de Preparación]))/(60*24)),"h:mm")</f>
        <v>0:57</v>
      </c>
      <c r="R413" s="3">
        <f>MAX((Sala[[#This Row],[Tiempo de permanencia]]-Sala[[#This Row],[Tiempo de preparación (h)]]),0)</f>
        <v>4.0972222222222229E-2</v>
      </c>
      <c r="S413" s="8">
        <f>SUMIF(Cocina[Número de Orden],Sala[[#This Row],[Número de Orden]],Cocina[Ganancia bruta])</f>
        <v>93</v>
      </c>
      <c r="T413" s="8">
        <f>SUMIF(Cocina[Número de Orden],Sala[[#This Row],[Número de Orden]],Cocina[Costo Unitario])</f>
        <v>19</v>
      </c>
      <c r="U413" s="2">
        <f>Sala[[#This Row],[Fecha de Salida]]</f>
        <v>45021</v>
      </c>
      <c r="V413" s="7" t="str">
        <f>TEXT(Sala[[#This Row],[Fecha factura]],"dddd")</f>
        <v>miércoles</v>
      </c>
      <c r="W413" t="str">
        <f>IF(Sala[[#This Row],[Tiempo de degustación]]&gt;0,"Sí","No")</f>
        <v>Sí</v>
      </c>
      <c r="X413" t="str">
        <f>IF(Sala[[#This Row],[Cobrada]]="Sí",Sala[[#This Row],[Método de Pago]],"Impago")</f>
        <v>Tarjeta de crédito</v>
      </c>
      <c r="Y413">
        <f>IF(Sala[[#This Row],[Cobrada]]="Sí",Sala[[#This Row],[Propina]],0)</f>
        <v>12.94</v>
      </c>
      <c r="Z413">
        <f>(IF(Sala[[#This Row],[Cobrada]]="Sí",Sala[[#This Row],[Monto total]],0))+Sala[[#This Row],[Propina real]]</f>
        <v>105.94</v>
      </c>
    </row>
    <row r="414" spans="1:26" x14ac:dyDescent="0.25">
      <c r="A414">
        <v>13</v>
      </c>
      <c r="B414" t="s">
        <v>398</v>
      </c>
      <c r="C414">
        <v>3</v>
      </c>
      <c r="D414" s="2">
        <v>45021</v>
      </c>
      <c r="E414" s="3">
        <v>0.10833333333333334</v>
      </c>
      <c r="F414" s="2">
        <v>45021</v>
      </c>
      <c r="G414" s="3">
        <v>0.20694444444444443</v>
      </c>
      <c r="H414" s="1" t="s">
        <v>23</v>
      </c>
      <c r="I414" t="s">
        <v>25</v>
      </c>
      <c r="J414" t="s">
        <v>601</v>
      </c>
      <c r="K414" s="9">
        <v>23.01</v>
      </c>
      <c r="L414" t="s">
        <v>28</v>
      </c>
      <c r="M414">
        <v>413</v>
      </c>
      <c r="N414" t="s">
        <v>59</v>
      </c>
      <c r="O414" s="3">
        <f>(Sala[[#This Row],[Hora de Salida]]-Sala[[#This Row],[Hora de llegada]])+IF(Sala[[#This Row],[Estado de la Mesa]]="Ocupada",(TEXT((15/(60*24)),"h:mm")),(TEXT(0,"h:mm")))</f>
        <v>0.10902777777777777</v>
      </c>
      <c r="P414" s="43">
        <f>(SUMIF(Cocina[Número de Orden],Sala[[#This Row],[Número de Orden]],Cocina[Tiempo de Preparación]))</f>
        <v>12</v>
      </c>
      <c r="Q414" s="5" t="str">
        <f>TEXT(((SUMIF(Cocina[Número de Orden],Sala[[#This Row],[Número de Orden]],Cocina[Tiempo de Preparación]))/(60*24)),"h:mm")</f>
        <v>0:12</v>
      </c>
      <c r="R414" s="3">
        <f>MAX((Sala[[#This Row],[Tiempo de permanencia]]-Sala[[#This Row],[Tiempo de preparación (h)]]),0)</f>
        <v>0.10069444444444443</v>
      </c>
      <c r="S414" s="8">
        <f>SUMIF(Cocina[Número de Orden],Sala[[#This Row],[Número de Orden]],Cocina[Ganancia bruta])</f>
        <v>35</v>
      </c>
      <c r="T414" s="8">
        <f>SUMIF(Cocina[Número de Orden],Sala[[#This Row],[Número de Orden]],Cocina[Costo Unitario])</f>
        <v>21</v>
      </c>
      <c r="U414" s="2">
        <f>Sala[[#This Row],[Fecha de Salida]]</f>
        <v>45021</v>
      </c>
      <c r="V414" s="7" t="str">
        <f>TEXT(Sala[[#This Row],[Fecha factura]],"dddd")</f>
        <v>miércoles</v>
      </c>
      <c r="W414" t="str">
        <f>IF(Sala[[#This Row],[Tiempo de degustación]]&gt;0,"Sí","No")</f>
        <v>Sí</v>
      </c>
      <c r="X414" t="str">
        <f>IF(Sala[[#This Row],[Cobrada]]="Sí",Sala[[#This Row],[Método de Pago]],"Impago")</f>
        <v>Tarjeta de crédito</v>
      </c>
      <c r="Y414">
        <f>IF(Sala[[#This Row],[Cobrada]]="Sí",Sala[[#This Row],[Propina]],0)</f>
        <v>23.01</v>
      </c>
      <c r="Z414">
        <f>(IF(Sala[[#This Row],[Cobrada]]="Sí",Sala[[#This Row],[Monto total]],0))+Sala[[#This Row],[Propina real]]</f>
        <v>58.010000000000005</v>
      </c>
    </row>
    <row r="415" spans="1:26" x14ac:dyDescent="0.25">
      <c r="A415">
        <v>14</v>
      </c>
      <c r="B415" t="s">
        <v>399</v>
      </c>
      <c r="C415">
        <v>6</v>
      </c>
      <c r="D415" s="2">
        <v>45021</v>
      </c>
      <c r="E415" s="3">
        <v>0.15486111111111112</v>
      </c>
      <c r="F415" s="2">
        <v>45021</v>
      </c>
      <c r="G415" s="3">
        <v>0.3</v>
      </c>
      <c r="H415" s="1" t="s">
        <v>20</v>
      </c>
      <c r="I415" t="s">
        <v>12</v>
      </c>
      <c r="J415" t="s">
        <v>601</v>
      </c>
      <c r="K415" s="9">
        <v>13.17</v>
      </c>
      <c r="L415" t="s">
        <v>9</v>
      </c>
      <c r="M415">
        <v>414</v>
      </c>
      <c r="N415" t="s">
        <v>594</v>
      </c>
      <c r="O415" s="3">
        <f>(Sala[[#This Row],[Hora de Salida]]-Sala[[#This Row],[Hora de llegada]])+IF(Sala[[#This Row],[Estado de la Mesa]]="Ocupada",(TEXT((15/(60*24)),"h:mm")),(TEXT(0,"h:mm")))</f>
        <v>0.14513888888888887</v>
      </c>
      <c r="P415" s="43">
        <f>(SUMIF(Cocina[Número de Orden],Sala[[#This Row],[Número de Orden]],Cocina[Tiempo de Preparación]))</f>
        <v>38</v>
      </c>
      <c r="Q415" s="5" t="str">
        <f>TEXT(((SUMIF(Cocina[Número de Orden],Sala[[#This Row],[Número de Orden]],Cocina[Tiempo de Preparación]))/(60*24)),"h:mm")</f>
        <v>0:38</v>
      </c>
      <c r="R415" s="3">
        <f>MAX((Sala[[#This Row],[Tiempo de permanencia]]-Sala[[#This Row],[Tiempo de preparación (h)]]),0)</f>
        <v>0.11874999999999998</v>
      </c>
      <c r="S415" s="8">
        <f>SUMIF(Cocina[Número de Orden],Sala[[#This Row],[Número de Orden]],Cocina[Ganancia bruta])</f>
        <v>33</v>
      </c>
      <c r="T415" s="8">
        <f>SUMIF(Cocina[Número de Orden],Sala[[#This Row],[Número de Orden]],Cocina[Costo Unitario])</f>
        <v>20</v>
      </c>
      <c r="U415" s="2">
        <f>Sala[[#This Row],[Fecha de Salida]]</f>
        <v>45021</v>
      </c>
      <c r="V415" s="7" t="str">
        <f>TEXT(Sala[[#This Row],[Fecha factura]],"dddd")</f>
        <v>miércoles</v>
      </c>
      <c r="W415" t="str">
        <f>IF(Sala[[#This Row],[Tiempo de degustación]]&gt;0,"Sí","No")</f>
        <v>Sí</v>
      </c>
      <c r="X415" t="str">
        <f>IF(Sala[[#This Row],[Cobrada]]="Sí",Sala[[#This Row],[Método de Pago]],"Impago")</f>
        <v>Tarjeta de crédito</v>
      </c>
      <c r="Y415">
        <f>IF(Sala[[#This Row],[Cobrada]]="Sí",Sala[[#This Row],[Propina]],0)</f>
        <v>13.17</v>
      </c>
      <c r="Z415">
        <f>(IF(Sala[[#This Row],[Cobrada]]="Sí",Sala[[#This Row],[Monto total]],0))+Sala[[#This Row],[Propina real]]</f>
        <v>46.17</v>
      </c>
    </row>
    <row r="416" spans="1:26" x14ac:dyDescent="0.25">
      <c r="A416">
        <v>14</v>
      </c>
      <c r="B416" t="s">
        <v>400</v>
      </c>
      <c r="C416">
        <v>4</v>
      </c>
      <c r="D416" s="2">
        <v>45021</v>
      </c>
      <c r="E416" s="3">
        <v>2.7083333333333334E-2</v>
      </c>
      <c r="F416" s="2">
        <v>45021</v>
      </c>
      <c r="G416" s="3">
        <v>0.19097222222222221</v>
      </c>
      <c r="H416" s="1" t="s">
        <v>23</v>
      </c>
      <c r="I416" t="s">
        <v>25</v>
      </c>
      <c r="J416" t="s">
        <v>601</v>
      </c>
      <c r="K416" s="9">
        <v>20.51</v>
      </c>
      <c r="L416" t="s">
        <v>28</v>
      </c>
      <c r="M416">
        <v>415</v>
      </c>
      <c r="N416" t="s">
        <v>18</v>
      </c>
      <c r="O416" s="3">
        <f>(Sala[[#This Row],[Hora de Salida]]-Sala[[#This Row],[Hora de llegada]])+IF(Sala[[#This Row],[Estado de la Mesa]]="Ocupada",(TEXT((15/(60*24)),"h:mm")),(TEXT(0,"h:mm")))</f>
        <v>0.17430555555555552</v>
      </c>
      <c r="P416" s="43">
        <f>(SUMIF(Cocina[Número de Orden],Sala[[#This Row],[Número de Orden]],Cocina[Tiempo de Preparación]))</f>
        <v>87</v>
      </c>
      <c r="Q416" s="5" t="str">
        <f>TEXT(((SUMIF(Cocina[Número de Orden],Sala[[#This Row],[Número de Orden]],Cocina[Tiempo de Preparación]))/(60*24)),"h:mm")</f>
        <v>1:27</v>
      </c>
      <c r="R416" s="3">
        <f>MAX((Sala[[#This Row],[Tiempo de permanencia]]-Sala[[#This Row],[Tiempo de preparación (h)]]),0)</f>
        <v>0.11388888888888885</v>
      </c>
      <c r="S416" s="8">
        <f>SUMIF(Cocina[Número de Orden],Sala[[#This Row],[Número de Orden]],Cocina[Ganancia bruta])</f>
        <v>158</v>
      </c>
      <c r="T416" s="8">
        <f>SUMIF(Cocina[Número de Orden],Sala[[#This Row],[Número de Orden]],Cocina[Costo Unitario])</f>
        <v>58</v>
      </c>
      <c r="U416" s="2">
        <f>Sala[[#This Row],[Fecha de Salida]]</f>
        <v>45021</v>
      </c>
      <c r="V416" s="7" t="str">
        <f>TEXT(Sala[[#This Row],[Fecha factura]],"dddd")</f>
        <v>miércoles</v>
      </c>
      <c r="W416" t="str">
        <f>IF(Sala[[#This Row],[Tiempo de degustación]]&gt;0,"Sí","No")</f>
        <v>Sí</v>
      </c>
      <c r="X416" t="str">
        <f>IF(Sala[[#This Row],[Cobrada]]="Sí",Sala[[#This Row],[Método de Pago]],"Impago")</f>
        <v>Tarjeta de crédito</v>
      </c>
      <c r="Y416">
        <f>IF(Sala[[#This Row],[Cobrada]]="Sí",Sala[[#This Row],[Propina]],0)</f>
        <v>20.51</v>
      </c>
      <c r="Z416">
        <f>(IF(Sala[[#This Row],[Cobrada]]="Sí",Sala[[#This Row],[Monto total]],0))+Sala[[#This Row],[Propina real]]</f>
        <v>178.51</v>
      </c>
    </row>
    <row r="417" spans="1:26" x14ac:dyDescent="0.25">
      <c r="A417">
        <v>20</v>
      </c>
      <c r="B417" t="s">
        <v>401</v>
      </c>
      <c r="C417">
        <v>2</v>
      </c>
      <c r="D417" s="2">
        <v>45021</v>
      </c>
      <c r="E417" s="3">
        <v>0.12708333333333333</v>
      </c>
      <c r="F417" s="2">
        <v>45021</v>
      </c>
      <c r="G417" s="3">
        <v>0.27569444444444446</v>
      </c>
      <c r="H417" s="1" t="s">
        <v>11</v>
      </c>
      <c r="I417" t="s">
        <v>25</v>
      </c>
      <c r="J417" t="s">
        <v>601</v>
      </c>
      <c r="K417" s="9">
        <v>12.9</v>
      </c>
      <c r="L417" t="s">
        <v>9</v>
      </c>
      <c r="M417">
        <v>416</v>
      </c>
      <c r="N417" t="s">
        <v>34</v>
      </c>
      <c r="O417" s="3">
        <f>(Sala[[#This Row],[Hora de Salida]]-Sala[[#This Row],[Hora de llegada]])+IF(Sala[[#This Row],[Estado de la Mesa]]="Ocupada",(TEXT((15/(60*24)),"h:mm")),(TEXT(0,"h:mm")))</f>
        <v>0.14861111111111114</v>
      </c>
      <c r="P417" s="43">
        <f>(SUMIF(Cocina[Número de Orden],Sala[[#This Row],[Número de Orden]],Cocina[Tiempo de Preparación]))</f>
        <v>9</v>
      </c>
      <c r="Q417" s="5" t="str">
        <f>TEXT(((SUMIF(Cocina[Número de Orden],Sala[[#This Row],[Número de Orden]],Cocina[Tiempo de Preparación]))/(60*24)),"h:mm")</f>
        <v>0:09</v>
      </c>
      <c r="R417" s="3">
        <f>MAX((Sala[[#This Row],[Tiempo de permanencia]]-Sala[[#This Row],[Tiempo de preparación (h)]]),0)</f>
        <v>0.14236111111111113</v>
      </c>
      <c r="S417" s="8">
        <f>SUMIF(Cocina[Número de Orden],Sala[[#This Row],[Número de Orden]],Cocina[Ganancia bruta])</f>
        <v>25</v>
      </c>
      <c r="T417" s="8">
        <f>SUMIF(Cocina[Número de Orden],Sala[[#This Row],[Número de Orden]],Cocina[Costo Unitario])</f>
        <v>15</v>
      </c>
      <c r="U417" s="2">
        <f>Sala[[#This Row],[Fecha de Salida]]</f>
        <v>45021</v>
      </c>
      <c r="V417" s="7" t="str">
        <f>TEXT(Sala[[#This Row],[Fecha factura]],"dddd")</f>
        <v>miércoles</v>
      </c>
      <c r="W417" t="str">
        <f>IF(Sala[[#This Row],[Tiempo de degustación]]&gt;0,"Sí","No")</f>
        <v>Sí</v>
      </c>
      <c r="X417" t="str">
        <f>IF(Sala[[#This Row],[Cobrada]]="Sí",Sala[[#This Row],[Método de Pago]],"Impago")</f>
        <v>Tarjeta de crédito</v>
      </c>
      <c r="Y417">
        <f>IF(Sala[[#This Row],[Cobrada]]="Sí",Sala[[#This Row],[Propina]],0)</f>
        <v>12.9</v>
      </c>
      <c r="Z417">
        <f>(IF(Sala[[#This Row],[Cobrada]]="Sí",Sala[[#This Row],[Monto total]],0))+Sala[[#This Row],[Propina real]]</f>
        <v>37.9</v>
      </c>
    </row>
    <row r="418" spans="1:26" x14ac:dyDescent="0.25">
      <c r="A418">
        <v>7</v>
      </c>
      <c r="B418" t="s">
        <v>402</v>
      </c>
      <c r="C418">
        <v>2</v>
      </c>
      <c r="D418" s="2">
        <v>45021</v>
      </c>
      <c r="E418" s="3">
        <v>0.1423611111111111</v>
      </c>
      <c r="F418" s="2">
        <v>45021</v>
      </c>
      <c r="G418" s="3">
        <v>0.18958333333333333</v>
      </c>
      <c r="H418" s="1" t="s">
        <v>16</v>
      </c>
      <c r="I418" t="s">
        <v>25</v>
      </c>
      <c r="J418" t="s">
        <v>601</v>
      </c>
      <c r="K418" s="9">
        <v>35.08</v>
      </c>
      <c r="L418" t="s">
        <v>17</v>
      </c>
      <c r="M418">
        <v>417</v>
      </c>
      <c r="N418" t="s">
        <v>29</v>
      </c>
      <c r="O418" s="3">
        <f>(Sala[[#This Row],[Hora de Salida]]-Sala[[#This Row],[Hora de llegada]])+IF(Sala[[#This Row],[Estado de la Mesa]]="Ocupada",(TEXT((15/(60*24)),"h:mm")),(TEXT(0,"h:mm")))</f>
        <v>4.7222222222222221E-2</v>
      </c>
      <c r="P418" s="43">
        <f>(SUMIF(Cocina[Número de Orden],Sala[[#This Row],[Número de Orden]],Cocina[Tiempo de Preparación]))</f>
        <v>90</v>
      </c>
      <c r="Q418" s="5" t="str">
        <f>TEXT(((SUMIF(Cocina[Número de Orden],Sala[[#This Row],[Número de Orden]],Cocina[Tiempo de Preparación]))/(60*24)),"h:mm")</f>
        <v>1:30</v>
      </c>
      <c r="R418" s="3">
        <f>MAX((Sala[[#This Row],[Tiempo de permanencia]]-Sala[[#This Row],[Tiempo de preparación (h)]]),0)</f>
        <v>0</v>
      </c>
      <c r="S418" s="8">
        <f>SUMIF(Cocina[Número de Orden],Sala[[#This Row],[Número de Orden]],Cocina[Ganancia bruta])</f>
        <v>142</v>
      </c>
      <c r="T418" s="8">
        <f>SUMIF(Cocina[Número de Orden],Sala[[#This Row],[Número de Orden]],Cocina[Costo Unitario])</f>
        <v>69</v>
      </c>
      <c r="U418" s="2">
        <f>Sala[[#This Row],[Fecha de Salida]]</f>
        <v>45021</v>
      </c>
      <c r="V418" s="7" t="str">
        <f>TEXT(Sala[[#This Row],[Fecha factura]],"dddd")</f>
        <v>miércoles</v>
      </c>
      <c r="W418" t="str">
        <f>IF(Sala[[#This Row],[Tiempo de degustación]]&gt;0,"Sí","No")</f>
        <v>No</v>
      </c>
      <c r="X418" t="str">
        <f>IF(Sala[[#This Row],[Cobrada]]="Sí",Sala[[#This Row],[Método de Pago]],"Impago")</f>
        <v>Impago</v>
      </c>
      <c r="Y418">
        <f>IF(Sala[[#This Row],[Cobrada]]="Sí",Sala[[#This Row],[Propina]],0)</f>
        <v>0</v>
      </c>
      <c r="Z418">
        <f>(IF(Sala[[#This Row],[Cobrada]]="Sí",Sala[[#This Row],[Monto total]],0))+Sala[[#This Row],[Propina real]]</f>
        <v>0</v>
      </c>
    </row>
    <row r="419" spans="1:26" x14ac:dyDescent="0.25">
      <c r="A419">
        <v>17</v>
      </c>
      <c r="B419" t="s">
        <v>403</v>
      </c>
      <c r="C419">
        <v>4</v>
      </c>
      <c r="D419" s="2">
        <v>45021</v>
      </c>
      <c r="E419" s="3">
        <v>3.6111111111111108E-2</v>
      </c>
      <c r="F419" s="2">
        <v>45021</v>
      </c>
      <c r="G419" s="3">
        <v>0.14652777777777778</v>
      </c>
      <c r="H419" s="1" t="s">
        <v>7</v>
      </c>
      <c r="I419" t="s">
        <v>25</v>
      </c>
      <c r="J419" t="s">
        <v>601</v>
      </c>
      <c r="K419" s="9">
        <v>35.51</v>
      </c>
      <c r="L419" t="s">
        <v>9</v>
      </c>
      <c r="M419">
        <v>418</v>
      </c>
      <c r="N419" t="s">
        <v>594</v>
      </c>
      <c r="O419" s="3">
        <f>(Sala[[#This Row],[Hora de Salida]]-Sala[[#This Row],[Hora de llegada]])+IF(Sala[[#This Row],[Estado de la Mesa]]="Ocupada",(TEXT((15/(60*24)),"h:mm")),(TEXT(0,"h:mm")))</f>
        <v>0.11041666666666668</v>
      </c>
      <c r="P419" s="43">
        <f>(SUMIF(Cocina[Número de Orden],Sala[[#This Row],[Número de Orden]],Cocina[Tiempo de Preparación]))</f>
        <v>100</v>
      </c>
      <c r="Q419" s="5" t="str">
        <f>TEXT(((SUMIF(Cocina[Número de Orden],Sala[[#This Row],[Número de Orden]],Cocina[Tiempo de Preparación]))/(60*24)),"h:mm")</f>
        <v>1:40</v>
      </c>
      <c r="R419" s="3">
        <f>MAX((Sala[[#This Row],[Tiempo de permanencia]]-Sala[[#This Row],[Tiempo de preparación (h)]]),0)</f>
        <v>4.0972222222222229E-2</v>
      </c>
      <c r="S419" s="8">
        <f>SUMIF(Cocina[Número de Orden],Sala[[#This Row],[Número de Orden]],Cocina[Ganancia bruta])</f>
        <v>118</v>
      </c>
      <c r="T419" s="8">
        <f>SUMIF(Cocina[Número de Orden],Sala[[#This Row],[Número de Orden]],Cocina[Costo Unitario])</f>
        <v>34</v>
      </c>
      <c r="U419" s="2">
        <f>Sala[[#This Row],[Fecha de Salida]]</f>
        <v>45021</v>
      </c>
      <c r="V419" s="7" t="str">
        <f>TEXT(Sala[[#This Row],[Fecha factura]],"dddd")</f>
        <v>miércoles</v>
      </c>
      <c r="W419" t="str">
        <f>IF(Sala[[#This Row],[Tiempo de degustación]]&gt;0,"Sí","No")</f>
        <v>Sí</v>
      </c>
      <c r="X419" t="str">
        <f>IF(Sala[[#This Row],[Cobrada]]="Sí",Sala[[#This Row],[Método de Pago]],"Impago")</f>
        <v>Tarjeta de crédito</v>
      </c>
      <c r="Y419">
        <f>IF(Sala[[#This Row],[Cobrada]]="Sí",Sala[[#This Row],[Propina]],0)</f>
        <v>35.51</v>
      </c>
      <c r="Z419">
        <f>(IF(Sala[[#This Row],[Cobrada]]="Sí",Sala[[#This Row],[Monto total]],0))+Sala[[#This Row],[Propina real]]</f>
        <v>153.51</v>
      </c>
    </row>
    <row r="420" spans="1:26" x14ac:dyDescent="0.25">
      <c r="A420">
        <v>11</v>
      </c>
      <c r="B420" t="s">
        <v>404</v>
      </c>
      <c r="C420">
        <v>4</v>
      </c>
      <c r="D420" s="2">
        <v>45021</v>
      </c>
      <c r="E420" s="3">
        <v>0.13472222222222222</v>
      </c>
      <c r="F420" s="2">
        <v>45021</v>
      </c>
      <c r="G420" s="3">
        <v>0.23819444444444443</v>
      </c>
      <c r="H420" s="1" t="s">
        <v>20</v>
      </c>
      <c r="I420" t="s">
        <v>8</v>
      </c>
      <c r="J420" t="s">
        <v>601</v>
      </c>
      <c r="K420" s="9">
        <v>14.09</v>
      </c>
      <c r="L420" t="s">
        <v>28</v>
      </c>
      <c r="M420">
        <v>419</v>
      </c>
      <c r="N420" t="s">
        <v>59</v>
      </c>
      <c r="O420" s="3">
        <f>(Sala[[#This Row],[Hora de Salida]]-Sala[[#This Row],[Hora de llegada]])+IF(Sala[[#This Row],[Estado de la Mesa]]="Ocupada",(TEXT((15/(60*24)),"h:mm")),(TEXT(0,"h:mm")))</f>
        <v>0.11388888888888889</v>
      </c>
      <c r="P420" s="43">
        <f>(SUMIF(Cocina[Número de Orden],Sala[[#This Row],[Número de Orden]],Cocina[Tiempo de Preparación]))</f>
        <v>64</v>
      </c>
      <c r="Q420" s="5" t="str">
        <f>TEXT(((SUMIF(Cocina[Número de Orden],Sala[[#This Row],[Número de Orden]],Cocina[Tiempo de Preparación]))/(60*24)),"h:mm")</f>
        <v>1:04</v>
      </c>
      <c r="R420" s="3">
        <f>MAX((Sala[[#This Row],[Tiempo de permanencia]]-Sala[[#This Row],[Tiempo de preparación (h)]]),0)</f>
        <v>6.9444444444444448E-2</v>
      </c>
      <c r="S420" s="8">
        <f>SUMIF(Cocina[Número de Orden],Sala[[#This Row],[Número de Orden]],Cocina[Ganancia bruta])</f>
        <v>67</v>
      </c>
      <c r="T420" s="8">
        <f>SUMIF(Cocina[Número de Orden],Sala[[#This Row],[Número de Orden]],Cocina[Costo Unitario])</f>
        <v>40</v>
      </c>
      <c r="U420" s="2">
        <f>Sala[[#This Row],[Fecha de Salida]]</f>
        <v>45021</v>
      </c>
      <c r="V420" s="7" t="str">
        <f>TEXT(Sala[[#This Row],[Fecha factura]],"dddd")</f>
        <v>miércoles</v>
      </c>
      <c r="W420" t="str">
        <f>IF(Sala[[#This Row],[Tiempo de degustación]]&gt;0,"Sí","No")</f>
        <v>Sí</v>
      </c>
      <c r="X420" t="str">
        <f>IF(Sala[[#This Row],[Cobrada]]="Sí",Sala[[#This Row],[Método de Pago]],"Impago")</f>
        <v>Tarjeta de crédito</v>
      </c>
      <c r="Y420">
        <f>IF(Sala[[#This Row],[Cobrada]]="Sí",Sala[[#This Row],[Propina]],0)</f>
        <v>14.09</v>
      </c>
      <c r="Z420">
        <f>(IF(Sala[[#This Row],[Cobrada]]="Sí",Sala[[#This Row],[Monto total]],0))+Sala[[#This Row],[Propina real]]</f>
        <v>81.09</v>
      </c>
    </row>
    <row r="421" spans="1:26" x14ac:dyDescent="0.25">
      <c r="A421">
        <v>18</v>
      </c>
      <c r="B421" t="s">
        <v>33</v>
      </c>
      <c r="C421">
        <v>6</v>
      </c>
      <c r="D421" s="2">
        <v>45021</v>
      </c>
      <c r="E421" s="3">
        <v>9.583333333333334E-2</v>
      </c>
      <c r="F421" s="2">
        <v>45021</v>
      </c>
      <c r="G421" s="3">
        <v>0.22847222222222222</v>
      </c>
      <c r="H421" s="1" t="s">
        <v>16</v>
      </c>
      <c r="I421" t="s">
        <v>8</v>
      </c>
      <c r="J421" t="s">
        <v>601</v>
      </c>
      <c r="K421" s="9">
        <v>31.49</v>
      </c>
      <c r="L421" t="s">
        <v>28</v>
      </c>
      <c r="M421">
        <v>420</v>
      </c>
      <c r="N421" t="s">
        <v>32</v>
      </c>
      <c r="O421" s="3">
        <f>(Sala[[#This Row],[Hora de Salida]]-Sala[[#This Row],[Hora de llegada]])+IF(Sala[[#This Row],[Estado de la Mesa]]="Ocupada",(TEXT((15/(60*24)),"h:mm")),(TEXT(0,"h:mm")))</f>
        <v>0.14305555555555552</v>
      </c>
      <c r="P421" s="43">
        <f>(SUMIF(Cocina[Número de Orden],Sala[[#This Row],[Número de Orden]],Cocina[Tiempo de Preparación]))</f>
        <v>105</v>
      </c>
      <c r="Q421" s="5" t="str">
        <f>TEXT(((SUMIF(Cocina[Número de Orden],Sala[[#This Row],[Número de Orden]],Cocina[Tiempo de Preparación]))/(60*24)),"h:mm")</f>
        <v>1:45</v>
      </c>
      <c r="R421" s="3">
        <f>MAX((Sala[[#This Row],[Tiempo de permanencia]]-Sala[[#This Row],[Tiempo de preparación (h)]]),0)</f>
        <v>7.0138888888888848E-2</v>
      </c>
      <c r="S421" s="8">
        <f>SUMIF(Cocina[Número de Orden],Sala[[#This Row],[Número de Orden]],Cocina[Ganancia bruta])</f>
        <v>242</v>
      </c>
      <c r="T421" s="8">
        <f>SUMIF(Cocina[Número de Orden],Sala[[#This Row],[Número de Orden]],Cocina[Costo Unitario])</f>
        <v>66</v>
      </c>
      <c r="U421" s="2">
        <f>Sala[[#This Row],[Fecha de Salida]]</f>
        <v>45021</v>
      </c>
      <c r="V421" s="7" t="str">
        <f>TEXT(Sala[[#This Row],[Fecha factura]],"dddd")</f>
        <v>miércoles</v>
      </c>
      <c r="W421" t="str">
        <f>IF(Sala[[#This Row],[Tiempo de degustación]]&gt;0,"Sí","No")</f>
        <v>Sí</v>
      </c>
      <c r="X421" t="str">
        <f>IF(Sala[[#This Row],[Cobrada]]="Sí",Sala[[#This Row],[Método de Pago]],"Impago")</f>
        <v>Tarjeta de crédito</v>
      </c>
      <c r="Y421">
        <f>IF(Sala[[#This Row],[Cobrada]]="Sí",Sala[[#This Row],[Propina]],0)</f>
        <v>31.49</v>
      </c>
      <c r="Z421">
        <f>(IF(Sala[[#This Row],[Cobrada]]="Sí",Sala[[#This Row],[Monto total]],0))+Sala[[#This Row],[Propina real]]</f>
        <v>273.49</v>
      </c>
    </row>
    <row r="422" spans="1:26" x14ac:dyDescent="0.25">
      <c r="A422">
        <v>10</v>
      </c>
      <c r="B422" t="s">
        <v>405</v>
      </c>
      <c r="C422">
        <v>1</v>
      </c>
      <c r="D422" s="2">
        <v>45021</v>
      </c>
      <c r="E422" s="3">
        <v>6.7361111111111108E-2</v>
      </c>
      <c r="F422" s="2">
        <v>45021</v>
      </c>
      <c r="G422" s="3">
        <v>0.17152777777777778</v>
      </c>
      <c r="H422" s="1" t="s">
        <v>11</v>
      </c>
      <c r="I422" t="s">
        <v>8</v>
      </c>
      <c r="J422" t="s">
        <v>601</v>
      </c>
      <c r="K422" s="9">
        <v>17.57</v>
      </c>
      <c r="L422" t="s">
        <v>28</v>
      </c>
      <c r="M422">
        <v>421</v>
      </c>
      <c r="N422" t="s">
        <v>47</v>
      </c>
      <c r="O422" s="3">
        <f>(Sala[[#This Row],[Hora de Salida]]-Sala[[#This Row],[Hora de llegada]])+IF(Sala[[#This Row],[Estado de la Mesa]]="Ocupada",(TEXT((15/(60*24)),"h:mm")),(TEXT(0,"h:mm")))</f>
        <v>0.11458333333333334</v>
      </c>
      <c r="P422" s="43">
        <f>(SUMIF(Cocina[Número de Orden],Sala[[#This Row],[Número de Orden]],Cocina[Tiempo de Preparación]))</f>
        <v>71</v>
      </c>
      <c r="Q422" s="5" t="str">
        <f>TEXT(((SUMIF(Cocina[Número de Orden],Sala[[#This Row],[Número de Orden]],Cocina[Tiempo de Preparación]))/(60*24)),"h:mm")</f>
        <v>1:11</v>
      </c>
      <c r="R422" s="3">
        <f>MAX((Sala[[#This Row],[Tiempo de permanencia]]-Sala[[#This Row],[Tiempo de preparación (h)]]),0)</f>
        <v>6.5277777777777796E-2</v>
      </c>
      <c r="S422" s="8">
        <f>SUMIF(Cocina[Número de Orden],Sala[[#This Row],[Número de Orden]],Cocina[Ganancia bruta])</f>
        <v>85</v>
      </c>
      <c r="T422" s="8">
        <f>SUMIF(Cocina[Número de Orden],Sala[[#This Row],[Número de Orden]],Cocina[Costo Unitario])</f>
        <v>29</v>
      </c>
      <c r="U422" s="2">
        <f>Sala[[#This Row],[Fecha de Salida]]</f>
        <v>45021</v>
      </c>
      <c r="V422" s="7" t="str">
        <f>TEXT(Sala[[#This Row],[Fecha factura]],"dddd")</f>
        <v>miércoles</v>
      </c>
      <c r="W422" t="str">
        <f>IF(Sala[[#This Row],[Tiempo de degustación]]&gt;0,"Sí","No")</f>
        <v>Sí</v>
      </c>
      <c r="X422" t="str">
        <f>IF(Sala[[#This Row],[Cobrada]]="Sí",Sala[[#This Row],[Método de Pago]],"Impago")</f>
        <v>Tarjeta de crédito</v>
      </c>
      <c r="Y422">
        <f>IF(Sala[[#This Row],[Cobrada]]="Sí",Sala[[#This Row],[Propina]],0)</f>
        <v>17.57</v>
      </c>
      <c r="Z422">
        <f>(IF(Sala[[#This Row],[Cobrada]]="Sí",Sala[[#This Row],[Monto total]],0))+Sala[[#This Row],[Propina real]]</f>
        <v>102.57</v>
      </c>
    </row>
    <row r="423" spans="1:26" x14ac:dyDescent="0.25">
      <c r="A423">
        <v>12</v>
      </c>
      <c r="B423" t="s">
        <v>406</v>
      </c>
      <c r="C423">
        <v>6</v>
      </c>
      <c r="D423" s="2">
        <v>45021</v>
      </c>
      <c r="E423" s="3">
        <v>2.5000000000000001E-2</v>
      </c>
      <c r="F423" s="2">
        <v>45021</v>
      </c>
      <c r="G423" s="3">
        <v>0.13125000000000001</v>
      </c>
      <c r="H423" s="1" t="s">
        <v>16</v>
      </c>
      <c r="I423" t="s">
        <v>8</v>
      </c>
      <c r="J423" t="s">
        <v>601</v>
      </c>
      <c r="K423" s="9">
        <v>39.72</v>
      </c>
      <c r="L423" t="s">
        <v>9</v>
      </c>
      <c r="M423">
        <v>422</v>
      </c>
      <c r="N423" t="s">
        <v>594</v>
      </c>
      <c r="O423" s="3">
        <f>(Sala[[#This Row],[Hora de Salida]]-Sala[[#This Row],[Hora de llegada]])+IF(Sala[[#This Row],[Estado de la Mesa]]="Ocupada",(TEXT((15/(60*24)),"h:mm")),(TEXT(0,"h:mm")))</f>
        <v>0.10625000000000001</v>
      </c>
      <c r="P423" s="43">
        <f>(SUMIF(Cocina[Número de Orden],Sala[[#This Row],[Número de Orden]],Cocina[Tiempo de Preparación]))</f>
        <v>34</v>
      </c>
      <c r="Q423" s="5" t="str">
        <f>TEXT(((SUMIF(Cocina[Número de Orden],Sala[[#This Row],[Número de Orden]],Cocina[Tiempo de Preparación]))/(60*24)),"h:mm")</f>
        <v>0:34</v>
      </c>
      <c r="R423" s="3">
        <f>MAX((Sala[[#This Row],[Tiempo de permanencia]]-Sala[[#This Row],[Tiempo de preparación (h)]]),0)</f>
        <v>8.2638888888888901E-2</v>
      </c>
      <c r="S423" s="8">
        <f>SUMIF(Cocina[Número de Orden],Sala[[#This Row],[Número de Orden]],Cocina[Ganancia bruta])</f>
        <v>88</v>
      </c>
      <c r="T423" s="8">
        <f>SUMIF(Cocina[Número de Orden],Sala[[#This Row],[Número de Orden]],Cocina[Costo Unitario])</f>
        <v>37</v>
      </c>
      <c r="U423" s="2">
        <f>Sala[[#This Row],[Fecha de Salida]]</f>
        <v>45021</v>
      </c>
      <c r="V423" s="7" t="str">
        <f>TEXT(Sala[[#This Row],[Fecha factura]],"dddd")</f>
        <v>miércoles</v>
      </c>
      <c r="W423" t="str">
        <f>IF(Sala[[#This Row],[Tiempo de degustación]]&gt;0,"Sí","No")</f>
        <v>Sí</v>
      </c>
      <c r="X423" t="str">
        <f>IF(Sala[[#This Row],[Cobrada]]="Sí",Sala[[#This Row],[Método de Pago]],"Impago")</f>
        <v>Tarjeta de crédito</v>
      </c>
      <c r="Y423">
        <f>IF(Sala[[#This Row],[Cobrada]]="Sí",Sala[[#This Row],[Propina]],0)</f>
        <v>39.72</v>
      </c>
      <c r="Z423">
        <f>(IF(Sala[[#This Row],[Cobrada]]="Sí",Sala[[#This Row],[Monto total]],0))+Sala[[#This Row],[Propina real]]</f>
        <v>127.72</v>
      </c>
    </row>
    <row r="424" spans="1:26" x14ac:dyDescent="0.25">
      <c r="A424">
        <v>4</v>
      </c>
      <c r="B424" t="s">
        <v>226</v>
      </c>
      <c r="C424">
        <v>2</v>
      </c>
      <c r="D424" s="2">
        <v>45021</v>
      </c>
      <c r="E424" s="3">
        <v>0.10694444444444444</v>
      </c>
      <c r="F424" s="2">
        <v>45021</v>
      </c>
      <c r="G424" s="3">
        <v>0.20624999999999999</v>
      </c>
      <c r="H424" s="1" t="s">
        <v>11</v>
      </c>
      <c r="I424" t="s">
        <v>8</v>
      </c>
      <c r="J424" t="s">
        <v>13</v>
      </c>
      <c r="K424" s="9">
        <v>34.130000000000003</v>
      </c>
      <c r="L424" t="s">
        <v>17</v>
      </c>
      <c r="M424">
        <v>423</v>
      </c>
      <c r="N424" t="s">
        <v>44</v>
      </c>
      <c r="O424" s="3">
        <f>(Sala[[#This Row],[Hora de Salida]]-Sala[[#This Row],[Hora de llegada]])+IF(Sala[[#This Row],[Estado de la Mesa]]="Ocupada",(TEXT((15/(60*24)),"h:mm")),(TEXT(0,"h:mm")))</f>
        <v>9.930555555555555E-2</v>
      </c>
      <c r="P424" s="43">
        <f>(SUMIF(Cocina[Número de Orden],Sala[[#This Row],[Número de Orden]],Cocina[Tiempo de Preparación]))</f>
        <v>31</v>
      </c>
      <c r="Q424" s="5" t="str">
        <f>TEXT(((SUMIF(Cocina[Número de Orden],Sala[[#This Row],[Número de Orden]],Cocina[Tiempo de Preparación]))/(60*24)),"h:mm")</f>
        <v>0:31</v>
      </c>
      <c r="R424" s="3">
        <f>MAX((Sala[[#This Row],[Tiempo de permanencia]]-Sala[[#This Row],[Tiempo de preparación (h)]]),0)</f>
        <v>7.7777777777777779E-2</v>
      </c>
      <c r="S424" s="8">
        <f>SUMIF(Cocina[Número de Orden],Sala[[#This Row],[Número de Orden]],Cocina[Ganancia bruta])</f>
        <v>152</v>
      </c>
      <c r="T424" s="8">
        <f>SUMIF(Cocina[Número de Orden],Sala[[#This Row],[Número de Orden]],Cocina[Costo Unitario])</f>
        <v>35</v>
      </c>
      <c r="U424" s="2">
        <f>Sala[[#This Row],[Fecha de Salida]]</f>
        <v>45021</v>
      </c>
      <c r="V424" s="7" t="str">
        <f>TEXT(Sala[[#This Row],[Fecha factura]],"dddd")</f>
        <v>miércoles</v>
      </c>
      <c r="W424" t="str">
        <f>IF(Sala[[#This Row],[Tiempo de degustación]]&gt;0,"Sí","No")</f>
        <v>Sí</v>
      </c>
      <c r="X424" t="str">
        <f>IF(Sala[[#This Row],[Cobrada]]="Sí",Sala[[#This Row],[Método de Pago]],"Impago")</f>
        <v>Efectivo</v>
      </c>
      <c r="Y424">
        <f>IF(Sala[[#This Row],[Cobrada]]="Sí",Sala[[#This Row],[Propina]],0)</f>
        <v>34.130000000000003</v>
      </c>
      <c r="Z424">
        <f>(IF(Sala[[#This Row],[Cobrada]]="Sí",Sala[[#This Row],[Monto total]],0))+Sala[[#This Row],[Propina real]]</f>
        <v>186.13</v>
      </c>
    </row>
    <row r="425" spans="1:26" x14ac:dyDescent="0.25">
      <c r="A425">
        <v>13</v>
      </c>
      <c r="B425" t="s">
        <v>407</v>
      </c>
      <c r="C425">
        <v>3</v>
      </c>
      <c r="D425" s="2">
        <v>45021</v>
      </c>
      <c r="E425" s="3">
        <v>4.7222222222222221E-2</v>
      </c>
      <c r="F425" s="2">
        <v>45021</v>
      </c>
      <c r="G425" s="3">
        <v>0.13680555555555557</v>
      </c>
      <c r="H425" s="1" t="s">
        <v>16</v>
      </c>
      <c r="I425" t="s">
        <v>25</v>
      </c>
      <c r="J425" t="s">
        <v>13</v>
      </c>
      <c r="K425" s="9">
        <v>11.02</v>
      </c>
      <c r="L425" t="s">
        <v>9</v>
      </c>
      <c r="M425">
        <v>424</v>
      </c>
      <c r="N425" t="s">
        <v>14</v>
      </c>
      <c r="O425" s="3">
        <f>(Sala[[#This Row],[Hora de Salida]]-Sala[[#This Row],[Hora de llegada]])+IF(Sala[[#This Row],[Estado de la Mesa]]="Ocupada",(TEXT((15/(60*24)),"h:mm")),(TEXT(0,"h:mm")))</f>
        <v>8.9583333333333348E-2</v>
      </c>
      <c r="P425" s="43">
        <f>(SUMIF(Cocina[Número de Orden],Sala[[#This Row],[Número de Orden]],Cocina[Tiempo de Preparación]))</f>
        <v>88</v>
      </c>
      <c r="Q425" s="5" t="str">
        <f>TEXT(((SUMIF(Cocina[Número de Orden],Sala[[#This Row],[Número de Orden]],Cocina[Tiempo de Preparación]))/(60*24)),"h:mm")</f>
        <v>1:28</v>
      </c>
      <c r="R425" s="3">
        <f>MAX((Sala[[#This Row],[Tiempo de permanencia]]-Sala[[#This Row],[Tiempo de preparación (h)]]),0)</f>
        <v>2.8472222222222239E-2</v>
      </c>
      <c r="S425" s="8">
        <f>SUMIF(Cocina[Número de Orden],Sala[[#This Row],[Número de Orden]],Cocina[Ganancia bruta])</f>
        <v>147</v>
      </c>
      <c r="T425" s="8">
        <f>SUMIF(Cocina[Número de Orden],Sala[[#This Row],[Número de Orden]],Cocina[Costo Unitario])</f>
        <v>29</v>
      </c>
      <c r="U425" s="2">
        <f>Sala[[#This Row],[Fecha de Salida]]</f>
        <v>45021</v>
      </c>
      <c r="V425" s="7" t="str">
        <f>TEXT(Sala[[#This Row],[Fecha factura]],"dddd")</f>
        <v>miércoles</v>
      </c>
      <c r="W425" t="str">
        <f>IF(Sala[[#This Row],[Tiempo de degustación]]&gt;0,"Sí","No")</f>
        <v>Sí</v>
      </c>
      <c r="X425" t="str">
        <f>IF(Sala[[#This Row],[Cobrada]]="Sí",Sala[[#This Row],[Método de Pago]],"Impago")</f>
        <v>Efectivo</v>
      </c>
      <c r="Y425">
        <f>IF(Sala[[#This Row],[Cobrada]]="Sí",Sala[[#This Row],[Propina]],0)</f>
        <v>11.02</v>
      </c>
      <c r="Z425">
        <f>(IF(Sala[[#This Row],[Cobrada]]="Sí",Sala[[#This Row],[Monto total]],0))+Sala[[#This Row],[Propina real]]</f>
        <v>158.02000000000001</v>
      </c>
    </row>
    <row r="426" spans="1:26" x14ac:dyDescent="0.25">
      <c r="A426">
        <v>18</v>
      </c>
      <c r="B426" t="s">
        <v>408</v>
      </c>
      <c r="C426">
        <v>3</v>
      </c>
      <c r="D426" s="2">
        <v>45021</v>
      </c>
      <c r="E426" s="3">
        <v>5.8333333333333334E-2</v>
      </c>
      <c r="F426" s="2">
        <v>45021</v>
      </c>
      <c r="G426" s="3">
        <v>0.15625</v>
      </c>
      <c r="H426" s="1" t="s">
        <v>16</v>
      </c>
      <c r="I426" t="s">
        <v>8</v>
      </c>
      <c r="J426" t="s">
        <v>601</v>
      </c>
      <c r="K426" s="9">
        <v>49.43</v>
      </c>
      <c r="L426" t="s">
        <v>9</v>
      </c>
      <c r="M426">
        <v>425</v>
      </c>
      <c r="N426" t="s">
        <v>593</v>
      </c>
      <c r="O426" s="3">
        <f>(Sala[[#This Row],[Hora de Salida]]-Sala[[#This Row],[Hora de llegada]])+IF(Sala[[#This Row],[Estado de la Mesa]]="Ocupada",(TEXT((15/(60*24)),"h:mm")),(TEXT(0,"h:mm")))</f>
        <v>9.7916666666666666E-2</v>
      </c>
      <c r="P426" s="43">
        <f>(SUMIF(Cocina[Número de Orden],Sala[[#This Row],[Número de Orden]],Cocina[Tiempo de Preparación]))</f>
        <v>28</v>
      </c>
      <c r="Q426" s="5" t="str">
        <f>TEXT(((SUMIF(Cocina[Número de Orden],Sala[[#This Row],[Número de Orden]],Cocina[Tiempo de Preparación]))/(60*24)),"h:mm")</f>
        <v>0:28</v>
      </c>
      <c r="R426" s="3">
        <f>MAX((Sala[[#This Row],[Tiempo de permanencia]]-Sala[[#This Row],[Tiempo de preparación (h)]]),0)</f>
        <v>7.8472222222222221E-2</v>
      </c>
      <c r="S426" s="8">
        <f>SUMIF(Cocina[Número de Orden],Sala[[#This Row],[Número de Orden]],Cocina[Ganancia bruta])</f>
        <v>19</v>
      </c>
      <c r="T426" s="8">
        <f>SUMIF(Cocina[Número de Orden],Sala[[#This Row],[Número de Orden]],Cocina[Costo Unitario])</f>
        <v>11</v>
      </c>
      <c r="U426" s="2">
        <f>Sala[[#This Row],[Fecha de Salida]]</f>
        <v>45021</v>
      </c>
      <c r="V426" s="7" t="str">
        <f>TEXT(Sala[[#This Row],[Fecha factura]],"dddd")</f>
        <v>miércoles</v>
      </c>
      <c r="W426" t="str">
        <f>IF(Sala[[#This Row],[Tiempo de degustación]]&gt;0,"Sí","No")</f>
        <v>Sí</v>
      </c>
      <c r="X426" t="str">
        <f>IF(Sala[[#This Row],[Cobrada]]="Sí",Sala[[#This Row],[Método de Pago]],"Impago")</f>
        <v>Tarjeta de crédito</v>
      </c>
      <c r="Y426">
        <f>IF(Sala[[#This Row],[Cobrada]]="Sí",Sala[[#This Row],[Propina]],0)</f>
        <v>49.43</v>
      </c>
      <c r="Z426">
        <f>(IF(Sala[[#This Row],[Cobrada]]="Sí",Sala[[#This Row],[Monto total]],0))+Sala[[#This Row],[Propina real]]</f>
        <v>68.430000000000007</v>
      </c>
    </row>
    <row r="427" spans="1:26" x14ac:dyDescent="0.25">
      <c r="A427">
        <v>5</v>
      </c>
      <c r="B427" t="s">
        <v>409</v>
      </c>
      <c r="C427">
        <v>2</v>
      </c>
      <c r="D427" s="2">
        <v>45021</v>
      </c>
      <c r="E427" s="3">
        <v>0.13263888888888889</v>
      </c>
      <c r="F427" s="2">
        <v>45021</v>
      </c>
      <c r="G427" s="3">
        <v>0.20972222222222223</v>
      </c>
      <c r="H427" s="1" t="s">
        <v>23</v>
      </c>
      <c r="I427" t="s">
        <v>8</v>
      </c>
      <c r="J427" t="s">
        <v>601</v>
      </c>
      <c r="K427" s="9">
        <v>47.8</v>
      </c>
      <c r="L427" t="s">
        <v>9</v>
      </c>
      <c r="M427">
        <v>426</v>
      </c>
      <c r="N427" t="s">
        <v>18</v>
      </c>
      <c r="O427" s="3">
        <f>(Sala[[#This Row],[Hora de Salida]]-Sala[[#This Row],[Hora de llegada]])+IF(Sala[[#This Row],[Estado de la Mesa]]="Ocupada",(TEXT((15/(60*24)),"h:mm")),(TEXT(0,"h:mm")))</f>
        <v>7.7083333333333337E-2</v>
      </c>
      <c r="P427" s="43">
        <f>(SUMIF(Cocina[Número de Orden],Sala[[#This Row],[Número de Orden]],Cocina[Tiempo de Preparación]))</f>
        <v>116</v>
      </c>
      <c r="Q427" s="5" t="str">
        <f>TEXT(((SUMIF(Cocina[Número de Orden],Sala[[#This Row],[Número de Orden]],Cocina[Tiempo de Preparación]))/(60*24)),"h:mm")</f>
        <v>1:56</v>
      </c>
      <c r="R427" s="3">
        <f>MAX((Sala[[#This Row],[Tiempo de permanencia]]-Sala[[#This Row],[Tiempo de preparación (h)]]),0)</f>
        <v>0</v>
      </c>
      <c r="S427" s="8">
        <f>SUMIF(Cocina[Número de Orden],Sala[[#This Row],[Número de Orden]],Cocina[Ganancia bruta])</f>
        <v>247</v>
      </c>
      <c r="T427" s="8">
        <f>SUMIF(Cocina[Número de Orden],Sala[[#This Row],[Número de Orden]],Cocina[Costo Unitario])</f>
        <v>73</v>
      </c>
      <c r="U427" s="2">
        <f>Sala[[#This Row],[Fecha de Salida]]</f>
        <v>45021</v>
      </c>
      <c r="V427" s="7" t="str">
        <f>TEXT(Sala[[#This Row],[Fecha factura]],"dddd")</f>
        <v>miércoles</v>
      </c>
      <c r="W427" t="str">
        <f>IF(Sala[[#This Row],[Tiempo de degustación]]&gt;0,"Sí","No")</f>
        <v>No</v>
      </c>
      <c r="X427" t="str">
        <f>IF(Sala[[#This Row],[Cobrada]]="Sí",Sala[[#This Row],[Método de Pago]],"Impago")</f>
        <v>Impago</v>
      </c>
      <c r="Y427">
        <f>IF(Sala[[#This Row],[Cobrada]]="Sí",Sala[[#This Row],[Propina]],0)</f>
        <v>0</v>
      </c>
      <c r="Z427">
        <f>(IF(Sala[[#This Row],[Cobrada]]="Sí",Sala[[#This Row],[Monto total]],0))+Sala[[#This Row],[Propina real]]</f>
        <v>0</v>
      </c>
    </row>
    <row r="428" spans="1:26" x14ac:dyDescent="0.25">
      <c r="A428">
        <v>2</v>
      </c>
      <c r="B428" t="s">
        <v>185</v>
      </c>
      <c r="C428">
        <v>4</v>
      </c>
      <c r="D428" s="2">
        <v>45021</v>
      </c>
      <c r="E428" s="3">
        <v>0.10694444444444444</v>
      </c>
      <c r="F428" s="2">
        <v>45021</v>
      </c>
      <c r="G428" s="3">
        <v>0.15486111111111112</v>
      </c>
      <c r="H428" s="1" t="s">
        <v>16</v>
      </c>
      <c r="I428" t="s">
        <v>8</v>
      </c>
      <c r="J428" t="s">
        <v>13</v>
      </c>
      <c r="K428" s="9">
        <v>43.74</v>
      </c>
      <c r="L428" t="s">
        <v>17</v>
      </c>
      <c r="M428">
        <v>427</v>
      </c>
      <c r="N428" t="s">
        <v>32</v>
      </c>
      <c r="O428" s="3">
        <f>(Sala[[#This Row],[Hora de Salida]]-Sala[[#This Row],[Hora de llegada]])+IF(Sala[[#This Row],[Estado de la Mesa]]="Ocupada",(TEXT((15/(60*24)),"h:mm")),(TEXT(0,"h:mm")))</f>
        <v>4.7916666666666677E-2</v>
      </c>
      <c r="P428" s="43">
        <f>(SUMIF(Cocina[Número de Orden],Sala[[#This Row],[Número de Orden]],Cocina[Tiempo de Preparación]))</f>
        <v>166</v>
      </c>
      <c r="Q428" s="5" t="str">
        <f>TEXT(((SUMIF(Cocina[Número de Orden],Sala[[#This Row],[Número de Orden]],Cocina[Tiempo de Preparación]))/(60*24)),"h:mm")</f>
        <v>2:46</v>
      </c>
      <c r="R428" s="3">
        <f>MAX((Sala[[#This Row],[Tiempo de permanencia]]-Sala[[#This Row],[Tiempo de preparación (h)]]),0)</f>
        <v>0</v>
      </c>
      <c r="S428" s="8">
        <f>SUMIF(Cocina[Número de Orden],Sala[[#This Row],[Número de Orden]],Cocina[Ganancia bruta])</f>
        <v>206</v>
      </c>
      <c r="T428" s="8">
        <f>SUMIF(Cocina[Número de Orden],Sala[[#This Row],[Número de Orden]],Cocina[Costo Unitario])</f>
        <v>61</v>
      </c>
      <c r="U428" s="2">
        <f>Sala[[#This Row],[Fecha de Salida]]</f>
        <v>45021</v>
      </c>
      <c r="V428" s="7" t="str">
        <f>TEXT(Sala[[#This Row],[Fecha factura]],"dddd")</f>
        <v>miércoles</v>
      </c>
      <c r="W428" t="str">
        <f>IF(Sala[[#This Row],[Tiempo de degustación]]&gt;0,"Sí","No")</f>
        <v>No</v>
      </c>
      <c r="X428" t="str">
        <f>IF(Sala[[#This Row],[Cobrada]]="Sí",Sala[[#This Row],[Método de Pago]],"Impago")</f>
        <v>Impago</v>
      </c>
      <c r="Y428">
        <f>IF(Sala[[#This Row],[Cobrada]]="Sí",Sala[[#This Row],[Propina]],0)</f>
        <v>0</v>
      </c>
      <c r="Z428">
        <f>(IF(Sala[[#This Row],[Cobrada]]="Sí",Sala[[#This Row],[Monto total]],0))+Sala[[#This Row],[Propina real]]</f>
        <v>0</v>
      </c>
    </row>
    <row r="429" spans="1:26" x14ac:dyDescent="0.25">
      <c r="A429">
        <v>7</v>
      </c>
      <c r="B429" t="s">
        <v>410</v>
      </c>
      <c r="C429">
        <v>5</v>
      </c>
      <c r="D429" s="2">
        <v>45021</v>
      </c>
      <c r="E429" s="3">
        <v>0.13750000000000001</v>
      </c>
      <c r="F429" s="2">
        <v>45021</v>
      </c>
      <c r="G429" s="3">
        <v>0.25208333333333333</v>
      </c>
      <c r="H429" s="1" t="s">
        <v>23</v>
      </c>
      <c r="I429" t="s">
        <v>12</v>
      </c>
      <c r="J429" t="s">
        <v>601</v>
      </c>
      <c r="K429" s="9">
        <v>15.6</v>
      </c>
      <c r="L429" t="s">
        <v>9</v>
      </c>
      <c r="M429">
        <v>428</v>
      </c>
      <c r="N429" t="s">
        <v>44</v>
      </c>
      <c r="O429" s="3">
        <f>(Sala[[#This Row],[Hora de Salida]]-Sala[[#This Row],[Hora de llegada]])+IF(Sala[[#This Row],[Estado de la Mesa]]="Ocupada",(TEXT((15/(60*24)),"h:mm")),(TEXT(0,"h:mm")))</f>
        <v>0.11458333333333331</v>
      </c>
      <c r="P429" s="43">
        <f>(SUMIF(Cocina[Número de Orden],Sala[[#This Row],[Número de Orden]],Cocina[Tiempo de Preparación]))</f>
        <v>179</v>
      </c>
      <c r="Q429" s="5" t="str">
        <f>TEXT(((SUMIF(Cocina[Número de Orden],Sala[[#This Row],[Número de Orden]],Cocina[Tiempo de Preparación]))/(60*24)),"h:mm")</f>
        <v>2:59</v>
      </c>
      <c r="R429" s="3">
        <f>MAX((Sala[[#This Row],[Tiempo de permanencia]]-Sala[[#This Row],[Tiempo de preparación (h)]]),0)</f>
        <v>0</v>
      </c>
      <c r="S429" s="8">
        <f>SUMIF(Cocina[Número de Orden],Sala[[#This Row],[Número de Orden]],Cocina[Ganancia bruta])</f>
        <v>175</v>
      </c>
      <c r="T429" s="8">
        <f>SUMIF(Cocina[Número de Orden],Sala[[#This Row],[Número de Orden]],Cocina[Costo Unitario])</f>
        <v>73</v>
      </c>
      <c r="U429" s="2">
        <f>Sala[[#This Row],[Fecha de Salida]]</f>
        <v>45021</v>
      </c>
      <c r="V429" s="7" t="str">
        <f>TEXT(Sala[[#This Row],[Fecha factura]],"dddd")</f>
        <v>miércoles</v>
      </c>
      <c r="W429" t="str">
        <f>IF(Sala[[#This Row],[Tiempo de degustación]]&gt;0,"Sí","No")</f>
        <v>No</v>
      </c>
      <c r="X429" t="str">
        <f>IF(Sala[[#This Row],[Cobrada]]="Sí",Sala[[#This Row],[Método de Pago]],"Impago")</f>
        <v>Impago</v>
      </c>
      <c r="Y429">
        <f>IF(Sala[[#This Row],[Cobrada]]="Sí",Sala[[#This Row],[Propina]],0)</f>
        <v>0</v>
      </c>
      <c r="Z429">
        <f>(IF(Sala[[#This Row],[Cobrada]]="Sí",Sala[[#This Row],[Monto total]],0))+Sala[[#This Row],[Propina real]]</f>
        <v>0</v>
      </c>
    </row>
    <row r="430" spans="1:26" x14ac:dyDescent="0.25">
      <c r="A430">
        <v>8</v>
      </c>
      <c r="B430" t="s">
        <v>411</v>
      </c>
      <c r="C430">
        <v>1</v>
      </c>
      <c r="D430" s="2">
        <v>45021</v>
      </c>
      <c r="E430" s="3">
        <v>6.9444444444444441E-3</v>
      </c>
      <c r="F430" s="2">
        <v>45021</v>
      </c>
      <c r="G430" s="3">
        <v>0.15694444444444444</v>
      </c>
      <c r="H430" s="1" t="s">
        <v>23</v>
      </c>
      <c r="I430" t="s">
        <v>8</v>
      </c>
      <c r="J430" t="s">
        <v>601</v>
      </c>
      <c r="K430" s="9">
        <v>10.95</v>
      </c>
      <c r="L430" t="s">
        <v>9</v>
      </c>
      <c r="M430">
        <v>429</v>
      </c>
      <c r="N430" t="s">
        <v>18</v>
      </c>
      <c r="O430" s="3">
        <f>(Sala[[#This Row],[Hora de Salida]]-Sala[[#This Row],[Hora de llegada]])+IF(Sala[[#This Row],[Estado de la Mesa]]="Ocupada",(TEXT((15/(60*24)),"h:mm")),(TEXT(0,"h:mm")))</f>
        <v>0.15</v>
      </c>
      <c r="P430" s="43">
        <f>(SUMIF(Cocina[Número de Orden],Sala[[#This Row],[Número de Orden]],Cocina[Tiempo de Preparación]))</f>
        <v>27</v>
      </c>
      <c r="Q430" s="5" t="str">
        <f>TEXT(((SUMIF(Cocina[Número de Orden],Sala[[#This Row],[Número de Orden]],Cocina[Tiempo de Preparación]))/(60*24)),"h:mm")</f>
        <v>0:27</v>
      </c>
      <c r="R430" s="3">
        <f>MAX((Sala[[#This Row],[Tiempo de permanencia]]-Sala[[#This Row],[Tiempo de preparación (h)]]),0)</f>
        <v>0.13125000000000001</v>
      </c>
      <c r="S430" s="8">
        <f>SUMIF(Cocina[Número de Orden],Sala[[#This Row],[Número de Orden]],Cocina[Ganancia bruta])</f>
        <v>78</v>
      </c>
      <c r="T430" s="8">
        <f>SUMIF(Cocina[Número de Orden],Sala[[#This Row],[Número de Orden]],Cocina[Costo Unitario])</f>
        <v>15</v>
      </c>
      <c r="U430" s="2">
        <f>Sala[[#This Row],[Fecha de Salida]]</f>
        <v>45021</v>
      </c>
      <c r="V430" s="7" t="str">
        <f>TEXT(Sala[[#This Row],[Fecha factura]],"dddd")</f>
        <v>miércoles</v>
      </c>
      <c r="W430" t="str">
        <f>IF(Sala[[#This Row],[Tiempo de degustación]]&gt;0,"Sí","No")</f>
        <v>Sí</v>
      </c>
      <c r="X430" t="str">
        <f>IF(Sala[[#This Row],[Cobrada]]="Sí",Sala[[#This Row],[Método de Pago]],"Impago")</f>
        <v>Tarjeta de crédito</v>
      </c>
      <c r="Y430">
        <f>IF(Sala[[#This Row],[Cobrada]]="Sí",Sala[[#This Row],[Propina]],0)</f>
        <v>10.95</v>
      </c>
      <c r="Z430">
        <f>(IF(Sala[[#This Row],[Cobrada]]="Sí",Sala[[#This Row],[Monto total]],0))+Sala[[#This Row],[Propina real]]</f>
        <v>88.95</v>
      </c>
    </row>
    <row r="431" spans="1:26" x14ac:dyDescent="0.25">
      <c r="A431">
        <v>7</v>
      </c>
      <c r="B431" t="s">
        <v>412</v>
      </c>
      <c r="C431">
        <v>3</v>
      </c>
      <c r="D431" s="2">
        <v>45021</v>
      </c>
      <c r="E431" s="3">
        <v>9.7916666666666666E-2</v>
      </c>
      <c r="F431" s="2">
        <v>45021</v>
      </c>
      <c r="G431" s="3">
        <v>0.16597222222222222</v>
      </c>
      <c r="H431" s="1" t="s">
        <v>23</v>
      </c>
      <c r="I431" t="s">
        <v>8</v>
      </c>
      <c r="J431" t="s">
        <v>600</v>
      </c>
      <c r="K431" s="9">
        <v>42.09</v>
      </c>
      <c r="L431" t="s">
        <v>9</v>
      </c>
      <c r="M431">
        <v>430</v>
      </c>
      <c r="N431" t="s">
        <v>29</v>
      </c>
      <c r="O431" s="3">
        <f>(Sala[[#This Row],[Hora de Salida]]-Sala[[#This Row],[Hora de llegada]])+IF(Sala[[#This Row],[Estado de la Mesa]]="Ocupada",(TEXT((15/(60*24)),"h:mm")),(TEXT(0,"h:mm")))</f>
        <v>6.805555555555555E-2</v>
      </c>
      <c r="P431" s="43">
        <f>(SUMIF(Cocina[Número de Orden],Sala[[#This Row],[Número de Orden]],Cocina[Tiempo de Preparación]))</f>
        <v>49</v>
      </c>
      <c r="Q431" s="5" t="str">
        <f>TEXT(((SUMIF(Cocina[Número de Orden],Sala[[#This Row],[Número de Orden]],Cocina[Tiempo de Preparación]))/(60*24)),"h:mm")</f>
        <v>0:49</v>
      </c>
      <c r="R431" s="3">
        <f>MAX((Sala[[#This Row],[Tiempo de permanencia]]-Sala[[#This Row],[Tiempo de preparación (h)]]),0)</f>
        <v>3.4027777777777775E-2</v>
      </c>
      <c r="S431" s="8">
        <f>SUMIF(Cocina[Número de Orden],Sala[[#This Row],[Número de Orden]],Cocina[Ganancia bruta])</f>
        <v>25</v>
      </c>
      <c r="T431" s="8">
        <f>SUMIF(Cocina[Número de Orden],Sala[[#This Row],[Número de Orden]],Cocina[Costo Unitario])</f>
        <v>15</v>
      </c>
      <c r="U431" s="2">
        <f>Sala[[#This Row],[Fecha de Salida]]</f>
        <v>45021</v>
      </c>
      <c r="V431" s="7" t="str">
        <f>TEXT(Sala[[#This Row],[Fecha factura]],"dddd")</f>
        <v>miércoles</v>
      </c>
      <c r="W431" t="str">
        <f>IF(Sala[[#This Row],[Tiempo de degustación]]&gt;0,"Sí","No")</f>
        <v>Sí</v>
      </c>
      <c r="X431" t="str">
        <f>IF(Sala[[#This Row],[Cobrada]]="Sí",Sala[[#This Row],[Método de Pago]],"Impago")</f>
        <v>Tarjeta de débito</v>
      </c>
      <c r="Y431">
        <f>IF(Sala[[#This Row],[Cobrada]]="Sí",Sala[[#This Row],[Propina]],0)</f>
        <v>42.09</v>
      </c>
      <c r="Z431">
        <f>(IF(Sala[[#This Row],[Cobrada]]="Sí",Sala[[#This Row],[Monto total]],0))+Sala[[#This Row],[Propina real]]</f>
        <v>67.09</v>
      </c>
    </row>
    <row r="432" spans="1:26" x14ac:dyDescent="0.25">
      <c r="A432">
        <v>15</v>
      </c>
      <c r="B432" t="s">
        <v>294</v>
      </c>
      <c r="C432">
        <v>5</v>
      </c>
      <c r="D432" s="2">
        <v>45021</v>
      </c>
      <c r="E432" s="3">
        <v>0.14791666666666667</v>
      </c>
      <c r="F432" s="2">
        <v>45021</v>
      </c>
      <c r="G432" s="3">
        <v>0.30902777777777779</v>
      </c>
      <c r="H432" s="1" t="s">
        <v>20</v>
      </c>
      <c r="I432" t="s">
        <v>8</v>
      </c>
      <c r="J432" t="s">
        <v>601</v>
      </c>
      <c r="K432" s="9">
        <v>39.82</v>
      </c>
      <c r="L432" t="s">
        <v>17</v>
      </c>
      <c r="M432">
        <v>431</v>
      </c>
      <c r="N432" t="s">
        <v>59</v>
      </c>
      <c r="O432" s="3">
        <f>(Sala[[#This Row],[Hora de Salida]]-Sala[[#This Row],[Hora de llegada]])+IF(Sala[[#This Row],[Estado de la Mesa]]="Ocupada",(TEXT((15/(60*24)),"h:mm")),(TEXT(0,"h:mm")))</f>
        <v>0.16111111111111112</v>
      </c>
      <c r="P432" s="43">
        <f>(SUMIF(Cocina[Número de Orden],Sala[[#This Row],[Número de Orden]],Cocina[Tiempo de Preparación]))</f>
        <v>20</v>
      </c>
      <c r="Q432" s="5" t="str">
        <f>TEXT(((SUMIF(Cocina[Número de Orden],Sala[[#This Row],[Número de Orden]],Cocina[Tiempo de Preparación]))/(60*24)),"h:mm")</f>
        <v>0:20</v>
      </c>
      <c r="R432" s="3">
        <f>MAX((Sala[[#This Row],[Tiempo de permanencia]]-Sala[[#This Row],[Tiempo de preparación (h)]]),0)</f>
        <v>0.14722222222222223</v>
      </c>
      <c r="S432" s="8">
        <f>SUMIF(Cocina[Número de Orden],Sala[[#This Row],[Número de Orden]],Cocina[Ganancia bruta])</f>
        <v>60</v>
      </c>
      <c r="T432" s="8">
        <f>SUMIF(Cocina[Número de Orden],Sala[[#This Row],[Número de Orden]],Cocina[Costo Unitario])</f>
        <v>18</v>
      </c>
      <c r="U432" s="2">
        <f>Sala[[#This Row],[Fecha de Salida]]</f>
        <v>45021</v>
      </c>
      <c r="V432" s="7" t="str">
        <f>TEXT(Sala[[#This Row],[Fecha factura]],"dddd")</f>
        <v>miércoles</v>
      </c>
      <c r="W432" t="str">
        <f>IF(Sala[[#This Row],[Tiempo de degustación]]&gt;0,"Sí","No")</f>
        <v>Sí</v>
      </c>
      <c r="X432" t="str">
        <f>IF(Sala[[#This Row],[Cobrada]]="Sí",Sala[[#This Row],[Método de Pago]],"Impago")</f>
        <v>Tarjeta de crédito</v>
      </c>
      <c r="Y432">
        <f>IF(Sala[[#This Row],[Cobrada]]="Sí",Sala[[#This Row],[Propina]],0)</f>
        <v>39.82</v>
      </c>
      <c r="Z432">
        <f>(IF(Sala[[#This Row],[Cobrada]]="Sí",Sala[[#This Row],[Monto total]],0))+Sala[[#This Row],[Propina real]]</f>
        <v>99.82</v>
      </c>
    </row>
    <row r="433" spans="1:26" x14ac:dyDescent="0.25">
      <c r="A433">
        <v>10</v>
      </c>
      <c r="B433" t="s">
        <v>413</v>
      </c>
      <c r="C433">
        <v>2</v>
      </c>
      <c r="D433" s="2">
        <v>45021</v>
      </c>
      <c r="E433" s="3">
        <v>0.14652777777777778</v>
      </c>
      <c r="F433" s="2">
        <v>45021</v>
      </c>
      <c r="G433" s="3">
        <v>0.24583333333333332</v>
      </c>
      <c r="H433" s="1" t="s">
        <v>23</v>
      </c>
      <c r="I433" t="s">
        <v>25</v>
      </c>
      <c r="J433" t="s">
        <v>601</v>
      </c>
      <c r="K433" s="9">
        <v>18.71</v>
      </c>
      <c r="L433" t="s">
        <v>17</v>
      </c>
      <c r="M433">
        <v>432</v>
      </c>
      <c r="N433" t="s">
        <v>14</v>
      </c>
      <c r="O433" s="3">
        <f>(Sala[[#This Row],[Hora de Salida]]-Sala[[#This Row],[Hora de llegada]])+IF(Sala[[#This Row],[Estado de la Mesa]]="Ocupada",(TEXT((15/(60*24)),"h:mm")),(TEXT(0,"h:mm")))</f>
        <v>9.9305555555555536E-2</v>
      </c>
      <c r="P433" s="43">
        <f>(SUMIF(Cocina[Número de Orden],Sala[[#This Row],[Número de Orden]],Cocina[Tiempo de Preparación]))</f>
        <v>74</v>
      </c>
      <c r="Q433" s="5" t="str">
        <f>TEXT(((SUMIF(Cocina[Número de Orden],Sala[[#This Row],[Número de Orden]],Cocina[Tiempo de Preparación]))/(60*24)),"h:mm")</f>
        <v>1:14</v>
      </c>
      <c r="R433" s="3">
        <f>MAX((Sala[[#This Row],[Tiempo de permanencia]]-Sala[[#This Row],[Tiempo de preparación (h)]]),0)</f>
        <v>4.7916666666666649E-2</v>
      </c>
      <c r="S433" s="8">
        <f>SUMIF(Cocina[Número de Orden],Sala[[#This Row],[Número de Orden]],Cocina[Ganancia bruta])</f>
        <v>109</v>
      </c>
      <c r="T433" s="8">
        <f>SUMIF(Cocina[Número de Orden],Sala[[#This Row],[Número de Orden]],Cocina[Costo Unitario])</f>
        <v>41</v>
      </c>
      <c r="U433" s="2">
        <f>Sala[[#This Row],[Fecha de Salida]]</f>
        <v>45021</v>
      </c>
      <c r="V433" s="7" t="str">
        <f>TEXT(Sala[[#This Row],[Fecha factura]],"dddd")</f>
        <v>miércoles</v>
      </c>
      <c r="W433" t="str">
        <f>IF(Sala[[#This Row],[Tiempo de degustación]]&gt;0,"Sí","No")</f>
        <v>Sí</v>
      </c>
      <c r="X433" t="str">
        <f>IF(Sala[[#This Row],[Cobrada]]="Sí",Sala[[#This Row],[Método de Pago]],"Impago")</f>
        <v>Tarjeta de crédito</v>
      </c>
      <c r="Y433">
        <f>IF(Sala[[#This Row],[Cobrada]]="Sí",Sala[[#This Row],[Propina]],0)</f>
        <v>18.71</v>
      </c>
      <c r="Z433">
        <f>(IF(Sala[[#This Row],[Cobrada]]="Sí",Sala[[#This Row],[Monto total]],0))+Sala[[#This Row],[Propina real]]</f>
        <v>127.71000000000001</v>
      </c>
    </row>
    <row r="434" spans="1:26" x14ac:dyDescent="0.25">
      <c r="A434">
        <v>10</v>
      </c>
      <c r="B434" t="s">
        <v>27</v>
      </c>
      <c r="C434">
        <v>4</v>
      </c>
      <c r="D434" s="2">
        <v>45021</v>
      </c>
      <c r="E434" s="3">
        <v>5.1388888888888887E-2</v>
      </c>
      <c r="F434" s="2">
        <v>45021</v>
      </c>
      <c r="G434" s="3">
        <v>0.13125000000000001</v>
      </c>
      <c r="H434" s="1" t="s">
        <v>23</v>
      </c>
      <c r="I434" t="s">
        <v>8</v>
      </c>
      <c r="J434" t="s">
        <v>601</v>
      </c>
      <c r="K434" s="9">
        <v>45.77</v>
      </c>
      <c r="L434" t="s">
        <v>9</v>
      </c>
      <c r="M434">
        <v>433</v>
      </c>
      <c r="N434" t="s">
        <v>32</v>
      </c>
      <c r="O434" s="3">
        <f>(Sala[[#This Row],[Hora de Salida]]-Sala[[#This Row],[Hora de llegada]])+IF(Sala[[#This Row],[Estado de la Mesa]]="Ocupada",(TEXT((15/(60*24)),"h:mm")),(TEXT(0,"h:mm")))</f>
        <v>7.9861111111111119E-2</v>
      </c>
      <c r="P434" s="43">
        <f>(SUMIF(Cocina[Número de Orden],Sala[[#This Row],[Número de Orden]],Cocina[Tiempo de Preparación]))</f>
        <v>74</v>
      </c>
      <c r="Q434" s="5" t="str">
        <f>TEXT(((SUMIF(Cocina[Número de Orden],Sala[[#This Row],[Número de Orden]],Cocina[Tiempo de Preparación]))/(60*24)),"h:mm")</f>
        <v>1:14</v>
      </c>
      <c r="R434" s="3">
        <f>MAX((Sala[[#This Row],[Tiempo de permanencia]]-Sala[[#This Row],[Tiempo de preparación (h)]]),0)</f>
        <v>2.8472222222222232E-2</v>
      </c>
      <c r="S434" s="8">
        <f>SUMIF(Cocina[Número de Orden],Sala[[#This Row],[Número de Orden]],Cocina[Ganancia bruta])</f>
        <v>102</v>
      </c>
      <c r="T434" s="8">
        <f>SUMIF(Cocina[Número de Orden],Sala[[#This Row],[Número de Orden]],Cocina[Costo Unitario])</f>
        <v>32</v>
      </c>
      <c r="U434" s="2">
        <f>Sala[[#This Row],[Fecha de Salida]]</f>
        <v>45021</v>
      </c>
      <c r="V434" s="7" t="str">
        <f>TEXT(Sala[[#This Row],[Fecha factura]],"dddd")</f>
        <v>miércoles</v>
      </c>
      <c r="W434" t="str">
        <f>IF(Sala[[#This Row],[Tiempo de degustación]]&gt;0,"Sí","No")</f>
        <v>Sí</v>
      </c>
      <c r="X434" t="str">
        <f>IF(Sala[[#This Row],[Cobrada]]="Sí",Sala[[#This Row],[Método de Pago]],"Impago")</f>
        <v>Tarjeta de crédito</v>
      </c>
      <c r="Y434">
        <f>IF(Sala[[#This Row],[Cobrada]]="Sí",Sala[[#This Row],[Propina]],0)</f>
        <v>45.77</v>
      </c>
      <c r="Z434">
        <f>(IF(Sala[[#This Row],[Cobrada]]="Sí",Sala[[#This Row],[Monto total]],0))+Sala[[#This Row],[Propina real]]</f>
        <v>147.77000000000001</v>
      </c>
    </row>
    <row r="435" spans="1:26" x14ac:dyDescent="0.25">
      <c r="A435">
        <v>15</v>
      </c>
      <c r="B435" t="s">
        <v>414</v>
      </c>
      <c r="C435">
        <v>4</v>
      </c>
      <c r="D435" s="2">
        <v>45021</v>
      </c>
      <c r="E435" s="3">
        <v>1.0416666666666666E-2</v>
      </c>
      <c r="F435" s="2">
        <v>45021</v>
      </c>
      <c r="G435" s="3">
        <v>0.16319444444444445</v>
      </c>
      <c r="H435" s="1" t="s">
        <v>23</v>
      </c>
      <c r="I435" t="s">
        <v>8</v>
      </c>
      <c r="J435" t="s">
        <v>601</v>
      </c>
      <c r="K435" s="9">
        <v>37.15</v>
      </c>
      <c r="L435" t="s">
        <v>9</v>
      </c>
      <c r="M435">
        <v>434</v>
      </c>
      <c r="N435" t="s">
        <v>32</v>
      </c>
      <c r="O435" s="3">
        <f>(Sala[[#This Row],[Hora de Salida]]-Sala[[#This Row],[Hora de llegada]])+IF(Sala[[#This Row],[Estado de la Mesa]]="Ocupada",(TEXT((15/(60*24)),"h:mm")),(TEXT(0,"h:mm")))</f>
        <v>0.15277777777777779</v>
      </c>
      <c r="P435" s="43">
        <f>(SUMIF(Cocina[Número de Orden],Sala[[#This Row],[Número de Orden]],Cocina[Tiempo de Preparación]))</f>
        <v>58</v>
      </c>
      <c r="Q435" s="5" t="str">
        <f>TEXT(((SUMIF(Cocina[Número de Orden],Sala[[#This Row],[Número de Orden]],Cocina[Tiempo de Preparación]))/(60*24)),"h:mm")</f>
        <v>0:58</v>
      </c>
      <c r="R435" s="3">
        <f>MAX((Sala[[#This Row],[Tiempo de permanencia]]-Sala[[#This Row],[Tiempo de preparación (h)]]),0)</f>
        <v>0.11250000000000002</v>
      </c>
      <c r="S435" s="8">
        <f>SUMIF(Cocina[Número de Orden],Sala[[#This Row],[Número de Orden]],Cocina[Ganancia bruta])</f>
        <v>96</v>
      </c>
      <c r="T435" s="8">
        <f>SUMIF(Cocina[Número de Orden],Sala[[#This Row],[Número de Orden]],Cocina[Costo Unitario])</f>
        <v>28</v>
      </c>
      <c r="U435" s="2">
        <f>Sala[[#This Row],[Fecha de Salida]]</f>
        <v>45021</v>
      </c>
      <c r="V435" s="7" t="str">
        <f>TEXT(Sala[[#This Row],[Fecha factura]],"dddd")</f>
        <v>miércoles</v>
      </c>
      <c r="W435" t="str">
        <f>IF(Sala[[#This Row],[Tiempo de degustación]]&gt;0,"Sí","No")</f>
        <v>Sí</v>
      </c>
      <c r="X435" t="str">
        <f>IF(Sala[[#This Row],[Cobrada]]="Sí",Sala[[#This Row],[Método de Pago]],"Impago")</f>
        <v>Tarjeta de crédito</v>
      </c>
      <c r="Y435">
        <f>IF(Sala[[#This Row],[Cobrada]]="Sí",Sala[[#This Row],[Propina]],0)</f>
        <v>37.15</v>
      </c>
      <c r="Z435">
        <f>(IF(Sala[[#This Row],[Cobrada]]="Sí",Sala[[#This Row],[Monto total]],0))+Sala[[#This Row],[Propina real]]</f>
        <v>133.15</v>
      </c>
    </row>
    <row r="436" spans="1:26" x14ac:dyDescent="0.25">
      <c r="A436">
        <v>17</v>
      </c>
      <c r="B436" t="s">
        <v>415</v>
      </c>
      <c r="C436">
        <v>6</v>
      </c>
      <c r="D436" s="2">
        <v>45021</v>
      </c>
      <c r="E436" s="3">
        <v>0.16180555555555556</v>
      </c>
      <c r="F436" s="2">
        <v>45021</v>
      </c>
      <c r="G436" s="3">
        <v>0.25069444444444444</v>
      </c>
      <c r="H436" s="1" t="s">
        <v>20</v>
      </c>
      <c r="I436" t="s">
        <v>8</v>
      </c>
      <c r="J436" t="s">
        <v>601</v>
      </c>
      <c r="K436" s="9">
        <v>30.48</v>
      </c>
      <c r="L436" t="s">
        <v>28</v>
      </c>
      <c r="M436">
        <v>435</v>
      </c>
      <c r="N436" t="s">
        <v>594</v>
      </c>
      <c r="O436" s="3">
        <f>(Sala[[#This Row],[Hora de Salida]]-Sala[[#This Row],[Hora de llegada]])+IF(Sala[[#This Row],[Estado de la Mesa]]="Ocupada",(TEXT((15/(60*24)),"h:mm")),(TEXT(0,"h:mm")))</f>
        <v>9.930555555555555E-2</v>
      </c>
      <c r="P436" s="43">
        <f>(SUMIF(Cocina[Número de Orden],Sala[[#This Row],[Número de Orden]],Cocina[Tiempo de Preparación]))</f>
        <v>111</v>
      </c>
      <c r="Q436" s="5" t="str">
        <f>TEXT(((SUMIF(Cocina[Número de Orden],Sala[[#This Row],[Número de Orden]],Cocina[Tiempo de Preparación]))/(60*24)),"h:mm")</f>
        <v>1:51</v>
      </c>
      <c r="R436" s="3">
        <f>MAX((Sala[[#This Row],[Tiempo de permanencia]]-Sala[[#This Row],[Tiempo de preparación (h)]]),0)</f>
        <v>2.2222222222222213E-2</v>
      </c>
      <c r="S436" s="8">
        <f>SUMIF(Cocina[Número de Orden],Sala[[#This Row],[Número de Orden]],Cocina[Ganancia bruta])</f>
        <v>154</v>
      </c>
      <c r="T436" s="8">
        <f>SUMIF(Cocina[Número de Orden],Sala[[#This Row],[Número de Orden]],Cocina[Costo Unitario])</f>
        <v>46</v>
      </c>
      <c r="U436" s="2">
        <f>Sala[[#This Row],[Fecha de Salida]]</f>
        <v>45021</v>
      </c>
      <c r="V436" s="7" t="str">
        <f>TEXT(Sala[[#This Row],[Fecha factura]],"dddd")</f>
        <v>miércoles</v>
      </c>
      <c r="W436" t="str">
        <f>IF(Sala[[#This Row],[Tiempo de degustación]]&gt;0,"Sí","No")</f>
        <v>Sí</v>
      </c>
      <c r="X436" t="str">
        <f>IF(Sala[[#This Row],[Cobrada]]="Sí",Sala[[#This Row],[Método de Pago]],"Impago")</f>
        <v>Tarjeta de crédito</v>
      </c>
      <c r="Y436">
        <f>IF(Sala[[#This Row],[Cobrada]]="Sí",Sala[[#This Row],[Propina]],0)</f>
        <v>30.48</v>
      </c>
      <c r="Z436">
        <f>(IF(Sala[[#This Row],[Cobrada]]="Sí",Sala[[#This Row],[Monto total]],0))+Sala[[#This Row],[Propina real]]</f>
        <v>184.48</v>
      </c>
    </row>
    <row r="437" spans="1:26" x14ac:dyDescent="0.25">
      <c r="A437">
        <v>10</v>
      </c>
      <c r="B437" t="s">
        <v>416</v>
      </c>
      <c r="C437">
        <v>3</v>
      </c>
      <c r="D437" s="2">
        <v>45021</v>
      </c>
      <c r="E437" s="3">
        <v>8.3333333333333332E-3</v>
      </c>
      <c r="F437" s="2">
        <v>45021</v>
      </c>
      <c r="G437" s="3">
        <v>0.16944444444444445</v>
      </c>
      <c r="H437" s="1" t="s">
        <v>20</v>
      </c>
      <c r="I437" t="s">
        <v>8</v>
      </c>
      <c r="J437" t="s">
        <v>601</v>
      </c>
      <c r="K437" s="9">
        <v>10.14</v>
      </c>
      <c r="L437" t="s">
        <v>28</v>
      </c>
      <c r="M437">
        <v>436</v>
      </c>
      <c r="N437" t="s">
        <v>18</v>
      </c>
      <c r="O437" s="3">
        <f>(Sala[[#This Row],[Hora de Salida]]-Sala[[#This Row],[Hora de llegada]])+IF(Sala[[#This Row],[Estado de la Mesa]]="Ocupada",(TEXT((15/(60*24)),"h:mm")),(TEXT(0,"h:mm")))</f>
        <v>0.17152777777777778</v>
      </c>
      <c r="P437" s="43">
        <f>(SUMIF(Cocina[Número de Orden],Sala[[#This Row],[Número de Orden]],Cocina[Tiempo de Preparación]))</f>
        <v>45</v>
      </c>
      <c r="Q437" s="5" t="str">
        <f>TEXT(((SUMIF(Cocina[Número de Orden],Sala[[#This Row],[Número de Orden]],Cocina[Tiempo de Preparación]))/(60*24)),"h:mm")</f>
        <v>0:45</v>
      </c>
      <c r="R437" s="3">
        <f>MAX((Sala[[#This Row],[Tiempo de permanencia]]-Sala[[#This Row],[Tiempo de preparación (h)]]),0)</f>
        <v>0.14027777777777778</v>
      </c>
      <c r="S437" s="8">
        <f>SUMIF(Cocina[Número de Orden],Sala[[#This Row],[Número de Orden]],Cocina[Ganancia bruta])</f>
        <v>56</v>
      </c>
      <c r="T437" s="8">
        <f>SUMIF(Cocina[Número de Orden],Sala[[#This Row],[Número de Orden]],Cocina[Costo Unitario])</f>
        <v>16</v>
      </c>
      <c r="U437" s="2">
        <f>Sala[[#This Row],[Fecha de Salida]]</f>
        <v>45021</v>
      </c>
      <c r="V437" s="7" t="str">
        <f>TEXT(Sala[[#This Row],[Fecha factura]],"dddd")</f>
        <v>miércoles</v>
      </c>
      <c r="W437" t="str">
        <f>IF(Sala[[#This Row],[Tiempo de degustación]]&gt;0,"Sí","No")</f>
        <v>Sí</v>
      </c>
      <c r="X437" t="str">
        <f>IF(Sala[[#This Row],[Cobrada]]="Sí",Sala[[#This Row],[Método de Pago]],"Impago")</f>
        <v>Tarjeta de crédito</v>
      </c>
      <c r="Y437">
        <f>IF(Sala[[#This Row],[Cobrada]]="Sí",Sala[[#This Row],[Propina]],0)</f>
        <v>10.14</v>
      </c>
      <c r="Z437">
        <f>(IF(Sala[[#This Row],[Cobrada]]="Sí",Sala[[#This Row],[Monto total]],0))+Sala[[#This Row],[Propina real]]</f>
        <v>66.14</v>
      </c>
    </row>
    <row r="438" spans="1:26" x14ac:dyDescent="0.25">
      <c r="A438">
        <v>16</v>
      </c>
      <c r="B438" t="s">
        <v>321</v>
      </c>
      <c r="C438">
        <v>6</v>
      </c>
      <c r="D438" s="2">
        <v>45021</v>
      </c>
      <c r="E438" s="3">
        <v>0.12638888888888888</v>
      </c>
      <c r="F438" s="2">
        <v>45021</v>
      </c>
      <c r="G438" s="3">
        <v>0.22569444444444445</v>
      </c>
      <c r="H438" s="1" t="s">
        <v>7</v>
      </c>
      <c r="I438" t="s">
        <v>8</v>
      </c>
      <c r="J438" t="s">
        <v>601</v>
      </c>
      <c r="K438" s="9">
        <v>12.56</v>
      </c>
      <c r="L438" t="s">
        <v>9</v>
      </c>
      <c r="M438">
        <v>437</v>
      </c>
      <c r="N438" t="s">
        <v>21</v>
      </c>
      <c r="O438" s="3">
        <f>(Sala[[#This Row],[Hora de Salida]]-Sala[[#This Row],[Hora de llegada]])+IF(Sala[[#This Row],[Estado de la Mesa]]="Ocupada",(TEXT((15/(60*24)),"h:mm")),(TEXT(0,"h:mm")))</f>
        <v>9.9305555555555564E-2</v>
      </c>
      <c r="P438" s="43">
        <f>(SUMIF(Cocina[Número de Orden],Sala[[#This Row],[Número de Orden]],Cocina[Tiempo de Preparación]))</f>
        <v>51</v>
      </c>
      <c r="Q438" s="5" t="str">
        <f>TEXT(((SUMIF(Cocina[Número de Orden],Sala[[#This Row],[Número de Orden]],Cocina[Tiempo de Preparación]))/(60*24)),"h:mm")</f>
        <v>0:51</v>
      </c>
      <c r="R438" s="3">
        <f>MAX((Sala[[#This Row],[Tiempo de permanencia]]-Sala[[#This Row],[Tiempo de preparación (h)]]),0)</f>
        <v>6.3888888888888898E-2</v>
      </c>
      <c r="S438" s="8">
        <f>SUMIF(Cocina[Número de Orden],Sala[[#This Row],[Número de Orden]],Cocina[Ganancia bruta])</f>
        <v>70</v>
      </c>
      <c r="T438" s="8">
        <f>SUMIF(Cocina[Número de Orden],Sala[[#This Row],[Número de Orden]],Cocina[Costo Unitario])</f>
        <v>21</v>
      </c>
      <c r="U438" s="2">
        <f>Sala[[#This Row],[Fecha de Salida]]</f>
        <v>45021</v>
      </c>
      <c r="V438" s="7" t="str">
        <f>TEXT(Sala[[#This Row],[Fecha factura]],"dddd")</f>
        <v>miércoles</v>
      </c>
      <c r="W438" t="str">
        <f>IF(Sala[[#This Row],[Tiempo de degustación]]&gt;0,"Sí","No")</f>
        <v>Sí</v>
      </c>
      <c r="X438" t="str">
        <f>IF(Sala[[#This Row],[Cobrada]]="Sí",Sala[[#This Row],[Método de Pago]],"Impago")</f>
        <v>Tarjeta de crédito</v>
      </c>
      <c r="Y438">
        <f>IF(Sala[[#This Row],[Cobrada]]="Sí",Sala[[#This Row],[Propina]],0)</f>
        <v>12.56</v>
      </c>
      <c r="Z438">
        <f>(IF(Sala[[#This Row],[Cobrada]]="Sí",Sala[[#This Row],[Monto total]],0))+Sala[[#This Row],[Propina real]]</f>
        <v>82.56</v>
      </c>
    </row>
    <row r="439" spans="1:26" x14ac:dyDescent="0.25">
      <c r="A439">
        <v>2</v>
      </c>
      <c r="B439" t="s">
        <v>417</v>
      </c>
      <c r="C439">
        <v>1</v>
      </c>
      <c r="D439" s="2">
        <v>45021</v>
      </c>
      <c r="E439" s="3">
        <v>0.16527777777777777</v>
      </c>
      <c r="F439" s="2">
        <v>45021</v>
      </c>
      <c r="G439" s="3">
        <v>0.31458333333333333</v>
      </c>
      <c r="H439" s="1" t="s">
        <v>11</v>
      </c>
      <c r="I439" t="s">
        <v>8</v>
      </c>
      <c r="J439" t="s">
        <v>601</v>
      </c>
      <c r="K439" s="9">
        <v>19.3</v>
      </c>
      <c r="L439" t="s">
        <v>17</v>
      </c>
      <c r="M439">
        <v>438</v>
      </c>
      <c r="N439" t="s">
        <v>59</v>
      </c>
      <c r="O439" s="3">
        <f>(Sala[[#This Row],[Hora de Salida]]-Sala[[#This Row],[Hora de llegada]])+IF(Sala[[#This Row],[Estado de la Mesa]]="Ocupada",(TEXT((15/(60*24)),"h:mm")),(TEXT(0,"h:mm")))</f>
        <v>0.14930555555555555</v>
      </c>
      <c r="P439" s="43">
        <f>(SUMIF(Cocina[Número de Orden],Sala[[#This Row],[Número de Orden]],Cocina[Tiempo de Preparación]))</f>
        <v>51</v>
      </c>
      <c r="Q439" s="5" t="str">
        <f>TEXT(((SUMIF(Cocina[Número de Orden],Sala[[#This Row],[Número de Orden]],Cocina[Tiempo de Preparación]))/(60*24)),"h:mm")</f>
        <v>0:51</v>
      </c>
      <c r="R439" s="3">
        <f>MAX((Sala[[#This Row],[Tiempo de permanencia]]-Sala[[#This Row],[Tiempo de preparación (h)]]),0)</f>
        <v>0.11388888888888889</v>
      </c>
      <c r="S439" s="8">
        <f>SUMIF(Cocina[Número de Orden],Sala[[#This Row],[Número de Orden]],Cocina[Ganancia bruta])</f>
        <v>33</v>
      </c>
      <c r="T439" s="8">
        <f>SUMIF(Cocina[Número de Orden],Sala[[#This Row],[Número de Orden]],Cocina[Costo Unitario])</f>
        <v>20</v>
      </c>
      <c r="U439" s="2">
        <f>Sala[[#This Row],[Fecha de Salida]]</f>
        <v>45021</v>
      </c>
      <c r="V439" s="7" t="str">
        <f>TEXT(Sala[[#This Row],[Fecha factura]],"dddd")</f>
        <v>miércoles</v>
      </c>
      <c r="W439" t="str">
        <f>IF(Sala[[#This Row],[Tiempo de degustación]]&gt;0,"Sí","No")</f>
        <v>Sí</v>
      </c>
      <c r="X439" t="str">
        <f>IF(Sala[[#This Row],[Cobrada]]="Sí",Sala[[#This Row],[Método de Pago]],"Impago")</f>
        <v>Tarjeta de crédito</v>
      </c>
      <c r="Y439">
        <f>IF(Sala[[#This Row],[Cobrada]]="Sí",Sala[[#This Row],[Propina]],0)</f>
        <v>19.3</v>
      </c>
      <c r="Z439">
        <f>(IF(Sala[[#This Row],[Cobrada]]="Sí",Sala[[#This Row],[Monto total]],0))+Sala[[#This Row],[Propina real]]</f>
        <v>52.3</v>
      </c>
    </row>
    <row r="440" spans="1:26" x14ac:dyDescent="0.25">
      <c r="A440">
        <v>15</v>
      </c>
      <c r="B440" t="s">
        <v>418</v>
      </c>
      <c r="C440">
        <v>1</v>
      </c>
      <c r="D440" s="2">
        <v>45021</v>
      </c>
      <c r="E440" s="3">
        <v>0</v>
      </c>
      <c r="F440" s="2">
        <v>45021</v>
      </c>
      <c r="G440" s="3">
        <v>5.7638888888888892E-2</v>
      </c>
      <c r="H440" s="1" t="s">
        <v>7</v>
      </c>
      <c r="I440" t="s">
        <v>25</v>
      </c>
      <c r="J440" t="s">
        <v>601</v>
      </c>
      <c r="K440" s="9">
        <v>25.56</v>
      </c>
      <c r="L440" t="s">
        <v>17</v>
      </c>
      <c r="M440">
        <v>439</v>
      </c>
      <c r="N440" t="s">
        <v>32</v>
      </c>
      <c r="O440" s="3">
        <f>(Sala[[#This Row],[Hora de Salida]]-Sala[[#This Row],[Hora de llegada]])+IF(Sala[[#This Row],[Estado de la Mesa]]="Ocupada",(TEXT((15/(60*24)),"h:mm")),(TEXT(0,"h:mm")))</f>
        <v>5.7638888888888892E-2</v>
      </c>
      <c r="P440" s="43">
        <f>(SUMIF(Cocina[Número de Orden],Sala[[#This Row],[Número de Orden]],Cocina[Tiempo de Preparación]))</f>
        <v>64</v>
      </c>
      <c r="Q440" s="5" t="str">
        <f>TEXT(((SUMIF(Cocina[Número de Orden],Sala[[#This Row],[Número de Orden]],Cocina[Tiempo de Preparación]))/(60*24)),"h:mm")</f>
        <v>1:04</v>
      </c>
      <c r="R440" s="3">
        <f>MAX((Sala[[#This Row],[Tiempo de permanencia]]-Sala[[#This Row],[Tiempo de preparación (h)]]),0)</f>
        <v>1.3194444444444446E-2</v>
      </c>
      <c r="S440" s="8">
        <f>SUMIF(Cocina[Número de Orden],Sala[[#This Row],[Número de Orden]],Cocina[Ganancia bruta])</f>
        <v>177</v>
      </c>
      <c r="T440" s="8">
        <f>SUMIF(Cocina[Número de Orden],Sala[[#This Row],[Número de Orden]],Cocina[Costo Unitario])</f>
        <v>35</v>
      </c>
      <c r="U440" s="2">
        <f>Sala[[#This Row],[Fecha de Salida]]</f>
        <v>45021</v>
      </c>
      <c r="V440" s="7" t="str">
        <f>TEXT(Sala[[#This Row],[Fecha factura]],"dddd")</f>
        <v>miércoles</v>
      </c>
      <c r="W440" t="str">
        <f>IF(Sala[[#This Row],[Tiempo de degustación]]&gt;0,"Sí","No")</f>
        <v>Sí</v>
      </c>
      <c r="X440" t="str">
        <f>IF(Sala[[#This Row],[Cobrada]]="Sí",Sala[[#This Row],[Método de Pago]],"Impago")</f>
        <v>Tarjeta de crédito</v>
      </c>
      <c r="Y440">
        <f>IF(Sala[[#This Row],[Cobrada]]="Sí",Sala[[#This Row],[Propina]],0)</f>
        <v>25.56</v>
      </c>
      <c r="Z440">
        <f>(IF(Sala[[#This Row],[Cobrada]]="Sí",Sala[[#This Row],[Monto total]],0))+Sala[[#This Row],[Propina real]]</f>
        <v>202.56</v>
      </c>
    </row>
    <row r="441" spans="1:26" x14ac:dyDescent="0.25">
      <c r="A441">
        <v>13</v>
      </c>
      <c r="B441" t="s">
        <v>419</v>
      </c>
      <c r="C441">
        <v>1</v>
      </c>
      <c r="D441" s="2">
        <v>45021</v>
      </c>
      <c r="E441" s="3">
        <v>8.2638888888888887E-2</v>
      </c>
      <c r="F441" s="2">
        <v>45021</v>
      </c>
      <c r="G441" s="3">
        <v>0.24166666666666667</v>
      </c>
      <c r="H441" s="1" t="s">
        <v>16</v>
      </c>
      <c r="I441" t="s">
        <v>8</v>
      </c>
      <c r="J441" t="s">
        <v>601</v>
      </c>
      <c r="K441" s="9">
        <v>38.85</v>
      </c>
      <c r="L441" t="s">
        <v>28</v>
      </c>
      <c r="M441">
        <v>440</v>
      </c>
      <c r="N441" t="s">
        <v>59</v>
      </c>
      <c r="O441" s="3">
        <f>(Sala[[#This Row],[Hora de Salida]]-Sala[[#This Row],[Hora de llegada]])+IF(Sala[[#This Row],[Estado de la Mesa]]="Ocupada",(TEXT((15/(60*24)),"h:mm")),(TEXT(0,"h:mm")))</f>
        <v>0.16944444444444443</v>
      </c>
      <c r="P441" s="43">
        <f>(SUMIF(Cocina[Número de Orden],Sala[[#This Row],[Número de Orden]],Cocina[Tiempo de Preparación]))</f>
        <v>45</v>
      </c>
      <c r="Q441" s="5" t="str">
        <f>TEXT(((SUMIF(Cocina[Número de Orden],Sala[[#This Row],[Número de Orden]],Cocina[Tiempo de Preparación]))/(60*24)),"h:mm")</f>
        <v>0:45</v>
      </c>
      <c r="R441" s="3">
        <f>MAX((Sala[[#This Row],[Tiempo de permanencia]]-Sala[[#This Row],[Tiempo de preparación (h)]]),0)</f>
        <v>0.13819444444444443</v>
      </c>
      <c r="S441" s="8">
        <f>SUMIF(Cocina[Número de Orden],Sala[[#This Row],[Número de Orden]],Cocina[Ganancia bruta])</f>
        <v>84</v>
      </c>
      <c r="T441" s="8">
        <f>SUMIF(Cocina[Número de Orden],Sala[[#This Row],[Número de Orden]],Cocina[Costo Unitario])</f>
        <v>25</v>
      </c>
      <c r="U441" s="2">
        <f>Sala[[#This Row],[Fecha de Salida]]</f>
        <v>45021</v>
      </c>
      <c r="V441" s="7" t="str">
        <f>TEXT(Sala[[#This Row],[Fecha factura]],"dddd")</f>
        <v>miércoles</v>
      </c>
      <c r="W441" t="str">
        <f>IF(Sala[[#This Row],[Tiempo de degustación]]&gt;0,"Sí","No")</f>
        <v>Sí</v>
      </c>
      <c r="X441" t="str">
        <f>IF(Sala[[#This Row],[Cobrada]]="Sí",Sala[[#This Row],[Método de Pago]],"Impago")</f>
        <v>Tarjeta de crédito</v>
      </c>
      <c r="Y441">
        <f>IF(Sala[[#This Row],[Cobrada]]="Sí",Sala[[#This Row],[Propina]],0)</f>
        <v>38.85</v>
      </c>
      <c r="Z441">
        <f>(IF(Sala[[#This Row],[Cobrada]]="Sí",Sala[[#This Row],[Monto total]],0))+Sala[[#This Row],[Propina real]]</f>
        <v>122.85</v>
      </c>
    </row>
    <row r="442" spans="1:26" x14ac:dyDescent="0.25">
      <c r="A442">
        <v>13</v>
      </c>
      <c r="B442" t="s">
        <v>420</v>
      </c>
      <c r="C442">
        <v>6</v>
      </c>
      <c r="D442" s="2">
        <v>45021</v>
      </c>
      <c r="E442" s="3">
        <v>4.4444444444444446E-2</v>
      </c>
      <c r="F442" s="2">
        <v>45021</v>
      </c>
      <c r="G442" s="3">
        <v>0.14097222222222222</v>
      </c>
      <c r="H442" s="1" t="s">
        <v>16</v>
      </c>
      <c r="I442" t="s">
        <v>8</v>
      </c>
      <c r="J442" t="s">
        <v>13</v>
      </c>
      <c r="K442" s="9">
        <v>23.31</v>
      </c>
      <c r="L442" t="s">
        <v>28</v>
      </c>
      <c r="M442">
        <v>441</v>
      </c>
      <c r="N442" t="s">
        <v>594</v>
      </c>
      <c r="O442" s="3">
        <f>(Sala[[#This Row],[Hora de Salida]]-Sala[[#This Row],[Hora de llegada]])+IF(Sala[[#This Row],[Estado de la Mesa]]="Ocupada",(TEXT((15/(60*24)),"h:mm")),(TEXT(0,"h:mm")))</f>
        <v>0.10694444444444444</v>
      </c>
      <c r="P442" s="43">
        <f>(SUMIF(Cocina[Número de Orden],Sala[[#This Row],[Número de Orden]],Cocina[Tiempo de Preparación]))</f>
        <v>90</v>
      </c>
      <c r="Q442" s="5" t="str">
        <f>TEXT(((SUMIF(Cocina[Número de Orden],Sala[[#This Row],[Número de Orden]],Cocina[Tiempo de Preparación]))/(60*24)),"h:mm")</f>
        <v>1:30</v>
      </c>
      <c r="R442" s="3">
        <f>MAX((Sala[[#This Row],[Tiempo de permanencia]]-Sala[[#This Row],[Tiempo de preparación (h)]]),0)</f>
        <v>4.4444444444444439E-2</v>
      </c>
      <c r="S442" s="8">
        <f>SUMIF(Cocina[Número de Orden],Sala[[#This Row],[Número de Orden]],Cocina[Ganancia bruta])</f>
        <v>183</v>
      </c>
      <c r="T442" s="8">
        <f>SUMIF(Cocina[Número de Orden],Sala[[#This Row],[Número de Orden]],Cocina[Costo Unitario])</f>
        <v>36</v>
      </c>
      <c r="U442" s="2">
        <f>Sala[[#This Row],[Fecha de Salida]]</f>
        <v>45021</v>
      </c>
      <c r="V442" s="7" t="str">
        <f>TEXT(Sala[[#This Row],[Fecha factura]],"dddd")</f>
        <v>miércoles</v>
      </c>
      <c r="W442" t="str">
        <f>IF(Sala[[#This Row],[Tiempo de degustación]]&gt;0,"Sí","No")</f>
        <v>Sí</v>
      </c>
      <c r="X442" t="str">
        <f>IF(Sala[[#This Row],[Cobrada]]="Sí",Sala[[#This Row],[Método de Pago]],"Impago")</f>
        <v>Efectivo</v>
      </c>
      <c r="Y442">
        <f>IF(Sala[[#This Row],[Cobrada]]="Sí",Sala[[#This Row],[Propina]],0)</f>
        <v>23.31</v>
      </c>
      <c r="Z442">
        <f>(IF(Sala[[#This Row],[Cobrada]]="Sí",Sala[[#This Row],[Monto total]],0))+Sala[[#This Row],[Propina real]]</f>
        <v>206.31</v>
      </c>
    </row>
    <row r="443" spans="1:26" x14ac:dyDescent="0.25">
      <c r="A443">
        <v>15</v>
      </c>
      <c r="B443" t="s">
        <v>421</v>
      </c>
      <c r="C443">
        <v>3</v>
      </c>
      <c r="D443" s="2">
        <v>45021</v>
      </c>
      <c r="E443" s="3">
        <v>8.611111111111111E-2</v>
      </c>
      <c r="F443" s="2">
        <v>45021</v>
      </c>
      <c r="G443" s="3">
        <v>0.13750000000000001</v>
      </c>
      <c r="H443" s="1" t="s">
        <v>23</v>
      </c>
      <c r="I443" t="s">
        <v>25</v>
      </c>
      <c r="J443" t="s">
        <v>601</v>
      </c>
      <c r="K443" s="9">
        <v>21.07</v>
      </c>
      <c r="L443" t="s">
        <v>28</v>
      </c>
      <c r="M443">
        <v>442</v>
      </c>
      <c r="N443" t="s">
        <v>34</v>
      </c>
      <c r="O443" s="3">
        <f>(Sala[[#This Row],[Hora de Salida]]-Sala[[#This Row],[Hora de llegada]])+IF(Sala[[#This Row],[Estado de la Mesa]]="Ocupada",(TEXT((15/(60*24)),"h:mm")),(TEXT(0,"h:mm")))</f>
        <v>6.1805555555555565E-2</v>
      </c>
      <c r="P443" s="43">
        <f>(SUMIF(Cocina[Número de Orden],Sala[[#This Row],[Número de Orden]],Cocina[Tiempo de Preparación]))</f>
        <v>131</v>
      </c>
      <c r="Q443" s="5" t="str">
        <f>TEXT(((SUMIF(Cocina[Número de Orden],Sala[[#This Row],[Número de Orden]],Cocina[Tiempo de Preparación]))/(60*24)),"h:mm")</f>
        <v>2:11</v>
      </c>
      <c r="R443" s="3">
        <f>MAX((Sala[[#This Row],[Tiempo de permanencia]]-Sala[[#This Row],[Tiempo de preparación (h)]]),0)</f>
        <v>0</v>
      </c>
      <c r="S443" s="8">
        <f>SUMIF(Cocina[Número de Orden],Sala[[#This Row],[Número de Orden]],Cocina[Ganancia bruta])</f>
        <v>235</v>
      </c>
      <c r="T443" s="8">
        <f>SUMIF(Cocina[Número de Orden],Sala[[#This Row],[Número de Orden]],Cocina[Costo Unitario])</f>
        <v>57</v>
      </c>
      <c r="U443" s="2">
        <f>Sala[[#This Row],[Fecha de Salida]]</f>
        <v>45021</v>
      </c>
      <c r="V443" s="7" t="str">
        <f>TEXT(Sala[[#This Row],[Fecha factura]],"dddd")</f>
        <v>miércoles</v>
      </c>
      <c r="W443" t="str">
        <f>IF(Sala[[#This Row],[Tiempo de degustación]]&gt;0,"Sí","No")</f>
        <v>No</v>
      </c>
      <c r="X443" t="str">
        <f>IF(Sala[[#This Row],[Cobrada]]="Sí",Sala[[#This Row],[Método de Pago]],"Impago")</f>
        <v>Impago</v>
      </c>
      <c r="Y443">
        <f>IF(Sala[[#This Row],[Cobrada]]="Sí",Sala[[#This Row],[Propina]],0)</f>
        <v>0</v>
      </c>
      <c r="Z443">
        <f>(IF(Sala[[#This Row],[Cobrada]]="Sí",Sala[[#This Row],[Monto total]],0))+Sala[[#This Row],[Propina real]]</f>
        <v>0</v>
      </c>
    </row>
    <row r="444" spans="1:26" x14ac:dyDescent="0.25">
      <c r="A444">
        <v>4</v>
      </c>
      <c r="B444" t="s">
        <v>408</v>
      </c>
      <c r="C444">
        <v>2</v>
      </c>
      <c r="D444" s="2">
        <v>45021</v>
      </c>
      <c r="E444" s="3">
        <v>5.2083333333333336E-2</v>
      </c>
      <c r="F444" s="2">
        <v>45021</v>
      </c>
      <c r="G444" s="3">
        <v>0.13472222222222222</v>
      </c>
      <c r="H444" s="1" t="s">
        <v>16</v>
      </c>
      <c r="I444" t="s">
        <v>8</v>
      </c>
      <c r="J444" t="s">
        <v>600</v>
      </c>
      <c r="K444" s="9">
        <v>14.48</v>
      </c>
      <c r="L444" t="s">
        <v>17</v>
      </c>
      <c r="M444">
        <v>443</v>
      </c>
      <c r="N444" t="s">
        <v>29</v>
      </c>
      <c r="O444" s="3">
        <f>(Sala[[#This Row],[Hora de Salida]]-Sala[[#This Row],[Hora de llegada]])+IF(Sala[[#This Row],[Estado de la Mesa]]="Ocupada",(TEXT((15/(60*24)),"h:mm")),(TEXT(0,"h:mm")))</f>
        <v>8.2638888888888873E-2</v>
      </c>
      <c r="P444" s="43">
        <f>(SUMIF(Cocina[Número de Orden],Sala[[#This Row],[Número de Orden]],Cocina[Tiempo de Preparación]))</f>
        <v>155</v>
      </c>
      <c r="Q444" s="5" t="str">
        <f>TEXT(((SUMIF(Cocina[Número de Orden],Sala[[#This Row],[Número de Orden]],Cocina[Tiempo de Preparación]))/(60*24)),"h:mm")</f>
        <v>2:35</v>
      </c>
      <c r="R444" s="3">
        <f>MAX((Sala[[#This Row],[Tiempo de permanencia]]-Sala[[#This Row],[Tiempo de preparación (h)]]),0)</f>
        <v>0</v>
      </c>
      <c r="S444" s="8">
        <f>SUMIF(Cocina[Número de Orden],Sala[[#This Row],[Número de Orden]],Cocina[Ganancia bruta])</f>
        <v>217</v>
      </c>
      <c r="T444" s="8">
        <f>SUMIF(Cocina[Número de Orden],Sala[[#This Row],[Número de Orden]],Cocina[Costo Unitario])</f>
        <v>64</v>
      </c>
      <c r="U444" s="2">
        <f>Sala[[#This Row],[Fecha de Salida]]</f>
        <v>45021</v>
      </c>
      <c r="V444" s="7" t="str">
        <f>TEXT(Sala[[#This Row],[Fecha factura]],"dddd")</f>
        <v>miércoles</v>
      </c>
      <c r="W444" t="str">
        <f>IF(Sala[[#This Row],[Tiempo de degustación]]&gt;0,"Sí","No")</f>
        <v>No</v>
      </c>
      <c r="X444" t="str">
        <f>IF(Sala[[#This Row],[Cobrada]]="Sí",Sala[[#This Row],[Método de Pago]],"Impago")</f>
        <v>Impago</v>
      </c>
      <c r="Y444">
        <f>IF(Sala[[#This Row],[Cobrada]]="Sí",Sala[[#This Row],[Propina]],0)</f>
        <v>0</v>
      </c>
      <c r="Z444">
        <f>(IF(Sala[[#This Row],[Cobrada]]="Sí",Sala[[#This Row],[Monto total]],0))+Sala[[#This Row],[Propina real]]</f>
        <v>0</v>
      </c>
    </row>
    <row r="445" spans="1:26" x14ac:dyDescent="0.25">
      <c r="A445">
        <v>8</v>
      </c>
      <c r="B445" t="s">
        <v>86</v>
      </c>
      <c r="C445">
        <v>5</v>
      </c>
      <c r="D445" s="2">
        <v>45021</v>
      </c>
      <c r="E445" s="3">
        <v>0.14097222222222222</v>
      </c>
      <c r="F445" s="2">
        <v>45021</v>
      </c>
      <c r="G445" s="3">
        <v>0.25555555555555554</v>
      </c>
      <c r="H445" s="1" t="s">
        <v>11</v>
      </c>
      <c r="I445" t="s">
        <v>8</v>
      </c>
      <c r="J445" t="s">
        <v>601</v>
      </c>
      <c r="K445" s="9">
        <v>25.26</v>
      </c>
      <c r="L445" t="s">
        <v>17</v>
      </c>
      <c r="M445">
        <v>444</v>
      </c>
      <c r="N445" t="s">
        <v>59</v>
      </c>
      <c r="O445" s="3">
        <f>(Sala[[#This Row],[Hora de Salida]]-Sala[[#This Row],[Hora de llegada]])+IF(Sala[[#This Row],[Estado de la Mesa]]="Ocupada",(TEXT((15/(60*24)),"h:mm")),(TEXT(0,"h:mm")))</f>
        <v>0.11458333333333331</v>
      </c>
      <c r="P445" s="43">
        <f>(SUMIF(Cocina[Número de Orden],Sala[[#This Row],[Número de Orden]],Cocina[Tiempo de Preparación]))</f>
        <v>81</v>
      </c>
      <c r="Q445" s="5" t="str">
        <f>TEXT(((SUMIF(Cocina[Número de Orden],Sala[[#This Row],[Número de Orden]],Cocina[Tiempo de Preparación]))/(60*24)),"h:mm")</f>
        <v>1:21</v>
      </c>
      <c r="R445" s="3">
        <f>MAX((Sala[[#This Row],[Tiempo de permanencia]]-Sala[[#This Row],[Tiempo de preparación (h)]]),0)</f>
        <v>5.8333333333333313E-2</v>
      </c>
      <c r="S445" s="8">
        <f>SUMIF(Cocina[Número de Orden],Sala[[#This Row],[Número de Orden]],Cocina[Ganancia bruta])</f>
        <v>95</v>
      </c>
      <c r="T445" s="8">
        <f>SUMIF(Cocina[Número de Orden],Sala[[#This Row],[Número de Orden]],Cocina[Costo Unitario])</f>
        <v>28</v>
      </c>
      <c r="U445" s="2">
        <f>Sala[[#This Row],[Fecha de Salida]]</f>
        <v>45021</v>
      </c>
      <c r="V445" s="7" t="str">
        <f>TEXT(Sala[[#This Row],[Fecha factura]],"dddd")</f>
        <v>miércoles</v>
      </c>
      <c r="W445" t="str">
        <f>IF(Sala[[#This Row],[Tiempo de degustación]]&gt;0,"Sí","No")</f>
        <v>Sí</v>
      </c>
      <c r="X445" t="str">
        <f>IF(Sala[[#This Row],[Cobrada]]="Sí",Sala[[#This Row],[Método de Pago]],"Impago")</f>
        <v>Tarjeta de crédito</v>
      </c>
      <c r="Y445">
        <f>IF(Sala[[#This Row],[Cobrada]]="Sí",Sala[[#This Row],[Propina]],0)</f>
        <v>25.26</v>
      </c>
      <c r="Z445">
        <f>(IF(Sala[[#This Row],[Cobrada]]="Sí",Sala[[#This Row],[Monto total]],0))+Sala[[#This Row],[Propina real]]</f>
        <v>120.26</v>
      </c>
    </row>
    <row r="446" spans="1:26" x14ac:dyDescent="0.25">
      <c r="A446">
        <v>6</v>
      </c>
      <c r="B446" t="s">
        <v>422</v>
      </c>
      <c r="C446">
        <v>5</v>
      </c>
      <c r="D446" s="2">
        <v>45021</v>
      </c>
      <c r="E446" s="3">
        <v>4.2361111111111113E-2</v>
      </c>
      <c r="F446" s="2">
        <v>45021</v>
      </c>
      <c r="G446" s="3">
        <v>0.13125000000000001</v>
      </c>
      <c r="H446" s="1" t="s">
        <v>11</v>
      </c>
      <c r="I446" t="s">
        <v>12</v>
      </c>
      <c r="J446" t="s">
        <v>601</v>
      </c>
      <c r="K446" s="9">
        <v>14.28</v>
      </c>
      <c r="L446" t="s">
        <v>17</v>
      </c>
      <c r="M446">
        <v>445</v>
      </c>
      <c r="N446" t="s">
        <v>21</v>
      </c>
      <c r="O446" s="3">
        <f>(Sala[[#This Row],[Hora de Salida]]-Sala[[#This Row],[Hora de llegada]])+IF(Sala[[#This Row],[Estado de la Mesa]]="Ocupada",(TEXT((15/(60*24)),"h:mm")),(TEXT(0,"h:mm")))</f>
        <v>8.8888888888888892E-2</v>
      </c>
      <c r="P446" s="43">
        <f>(SUMIF(Cocina[Número de Orden],Sala[[#This Row],[Número de Orden]],Cocina[Tiempo de Preparación]))</f>
        <v>26</v>
      </c>
      <c r="Q446" s="5" t="str">
        <f>TEXT(((SUMIF(Cocina[Número de Orden],Sala[[#This Row],[Número de Orden]],Cocina[Tiempo de Preparación]))/(60*24)),"h:mm")</f>
        <v>0:26</v>
      </c>
      <c r="R446" s="3">
        <f>MAX((Sala[[#This Row],[Tiempo de permanencia]]-Sala[[#This Row],[Tiempo de preparación (h)]]),0)</f>
        <v>7.0833333333333331E-2</v>
      </c>
      <c r="S446" s="8">
        <f>SUMIF(Cocina[Número de Orden],Sala[[#This Row],[Número de Orden]],Cocina[Ganancia bruta])</f>
        <v>81</v>
      </c>
      <c r="T446" s="8">
        <f>SUMIF(Cocina[Número de Orden],Sala[[#This Row],[Número de Orden]],Cocina[Costo Unitario])</f>
        <v>16</v>
      </c>
      <c r="U446" s="2">
        <f>Sala[[#This Row],[Fecha de Salida]]</f>
        <v>45021</v>
      </c>
      <c r="V446" s="7" t="str">
        <f>TEXT(Sala[[#This Row],[Fecha factura]],"dddd")</f>
        <v>miércoles</v>
      </c>
      <c r="W446" t="str">
        <f>IF(Sala[[#This Row],[Tiempo de degustación]]&gt;0,"Sí","No")</f>
        <v>Sí</v>
      </c>
      <c r="X446" t="str">
        <f>IF(Sala[[#This Row],[Cobrada]]="Sí",Sala[[#This Row],[Método de Pago]],"Impago")</f>
        <v>Tarjeta de crédito</v>
      </c>
      <c r="Y446">
        <f>IF(Sala[[#This Row],[Cobrada]]="Sí",Sala[[#This Row],[Propina]],0)</f>
        <v>14.28</v>
      </c>
      <c r="Z446">
        <f>(IF(Sala[[#This Row],[Cobrada]]="Sí",Sala[[#This Row],[Monto total]],0))+Sala[[#This Row],[Propina real]]</f>
        <v>95.28</v>
      </c>
    </row>
    <row r="447" spans="1:26" x14ac:dyDescent="0.25">
      <c r="A447">
        <v>12</v>
      </c>
      <c r="B447" t="s">
        <v>72</v>
      </c>
      <c r="C447">
        <v>2</v>
      </c>
      <c r="D447" s="2">
        <v>45021</v>
      </c>
      <c r="E447" s="3">
        <v>0.11666666666666667</v>
      </c>
      <c r="F447" s="2">
        <v>45021</v>
      </c>
      <c r="G447" s="3">
        <v>0.2590277777777778</v>
      </c>
      <c r="H447" s="1" t="s">
        <v>11</v>
      </c>
      <c r="I447" t="s">
        <v>8</v>
      </c>
      <c r="J447" t="s">
        <v>601</v>
      </c>
      <c r="K447" s="9">
        <v>35.24</v>
      </c>
      <c r="L447" t="s">
        <v>17</v>
      </c>
      <c r="M447">
        <v>446</v>
      </c>
      <c r="N447" t="s">
        <v>44</v>
      </c>
      <c r="O447" s="3">
        <f>(Sala[[#This Row],[Hora de Salida]]-Sala[[#This Row],[Hora de llegada]])+IF(Sala[[#This Row],[Estado de la Mesa]]="Ocupada",(TEXT((15/(60*24)),"h:mm")),(TEXT(0,"h:mm")))</f>
        <v>0.14236111111111113</v>
      </c>
      <c r="P447" s="43">
        <f>(SUMIF(Cocina[Número de Orden],Sala[[#This Row],[Número de Orden]],Cocina[Tiempo de Preparación]))</f>
        <v>8</v>
      </c>
      <c r="Q447" s="5" t="str">
        <f>TEXT(((SUMIF(Cocina[Número de Orden],Sala[[#This Row],[Número de Orden]],Cocina[Tiempo de Preparación]))/(60*24)),"h:mm")</f>
        <v>0:08</v>
      </c>
      <c r="R447" s="3">
        <f>MAX((Sala[[#This Row],[Tiempo de permanencia]]-Sala[[#This Row],[Tiempo de preparación (h)]]),0)</f>
        <v>0.13680555555555557</v>
      </c>
      <c r="S447" s="8">
        <f>SUMIF(Cocina[Número de Orden],Sala[[#This Row],[Número de Orden]],Cocina[Ganancia bruta])</f>
        <v>21</v>
      </c>
      <c r="T447" s="8">
        <f>SUMIF(Cocina[Número de Orden],Sala[[#This Row],[Número de Orden]],Cocina[Costo Unitario])</f>
        <v>13</v>
      </c>
      <c r="U447" s="2">
        <f>Sala[[#This Row],[Fecha de Salida]]</f>
        <v>45021</v>
      </c>
      <c r="V447" s="7" t="str">
        <f>TEXT(Sala[[#This Row],[Fecha factura]],"dddd")</f>
        <v>miércoles</v>
      </c>
      <c r="W447" t="str">
        <f>IF(Sala[[#This Row],[Tiempo de degustación]]&gt;0,"Sí","No")</f>
        <v>Sí</v>
      </c>
      <c r="X447" t="str">
        <f>IF(Sala[[#This Row],[Cobrada]]="Sí",Sala[[#This Row],[Método de Pago]],"Impago")</f>
        <v>Tarjeta de crédito</v>
      </c>
      <c r="Y447">
        <f>IF(Sala[[#This Row],[Cobrada]]="Sí",Sala[[#This Row],[Propina]],0)</f>
        <v>35.24</v>
      </c>
      <c r="Z447">
        <f>(IF(Sala[[#This Row],[Cobrada]]="Sí",Sala[[#This Row],[Monto total]],0))+Sala[[#This Row],[Propina real]]</f>
        <v>56.24</v>
      </c>
    </row>
    <row r="448" spans="1:26" x14ac:dyDescent="0.25">
      <c r="A448">
        <v>8</v>
      </c>
      <c r="B448" t="s">
        <v>423</v>
      </c>
      <c r="C448">
        <v>2</v>
      </c>
      <c r="D448" s="2">
        <v>45021</v>
      </c>
      <c r="E448" s="3">
        <v>0.16180555555555556</v>
      </c>
      <c r="F448" s="2">
        <v>45021</v>
      </c>
      <c r="G448" s="3">
        <v>0.30833333333333335</v>
      </c>
      <c r="H448" s="1" t="s">
        <v>23</v>
      </c>
      <c r="I448" t="s">
        <v>25</v>
      </c>
      <c r="J448" t="s">
        <v>601</v>
      </c>
      <c r="K448" s="9">
        <v>28.68</v>
      </c>
      <c r="L448" t="s">
        <v>17</v>
      </c>
      <c r="M448">
        <v>447</v>
      </c>
      <c r="N448" t="s">
        <v>594</v>
      </c>
      <c r="O448" s="3">
        <f>(Sala[[#This Row],[Hora de Salida]]-Sala[[#This Row],[Hora de llegada]])+IF(Sala[[#This Row],[Estado de la Mesa]]="Ocupada",(TEXT((15/(60*24)),"h:mm")),(TEXT(0,"h:mm")))</f>
        <v>0.14652777777777778</v>
      </c>
      <c r="P448" s="43">
        <f>(SUMIF(Cocina[Número de Orden],Sala[[#This Row],[Número de Orden]],Cocina[Tiempo de Preparación]))</f>
        <v>86</v>
      </c>
      <c r="Q448" s="5" t="str">
        <f>TEXT(((SUMIF(Cocina[Número de Orden],Sala[[#This Row],[Número de Orden]],Cocina[Tiempo de Preparación]))/(60*24)),"h:mm")</f>
        <v>1:26</v>
      </c>
      <c r="R448" s="3">
        <f>MAX((Sala[[#This Row],[Tiempo de permanencia]]-Sala[[#This Row],[Tiempo de preparación (h)]]),0)</f>
        <v>8.6805555555555552E-2</v>
      </c>
      <c r="S448" s="8">
        <f>SUMIF(Cocina[Número de Orden],Sala[[#This Row],[Número de Orden]],Cocina[Ganancia bruta])</f>
        <v>181</v>
      </c>
      <c r="T448" s="8">
        <f>SUMIF(Cocina[Número de Orden],Sala[[#This Row],[Número de Orden]],Cocina[Costo Unitario])</f>
        <v>39</v>
      </c>
      <c r="U448" s="2">
        <f>Sala[[#This Row],[Fecha de Salida]]</f>
        <v>45021</v>
      </c>
      <c r="V448" s="7" t="str">
        <f>TEXT(Sala[[#This Row],[Fecha factura]],"dddd")</f>
        <v>miércoles</v>
      </c>
      <c r="W448" t="str">
        <f>IF(Sala[[#This Row],[Tiempo de degustación]]&gt;0,"Sí","No")</f>
        <v>Sí</v>
      </c>
      <c r="X448" t="str">
        <f>IF(Sala[[#This Row],[Cobrada]]="Sí",Sala[[#This Row],[Método de Pago]],"Impago")</f>
        <v>Tarjeta de crédito</v>
      </c>
      <c r="Y448">
        <f>IF(Sala[[#This Row],[Cobrada]]="Sí",Sala[[#This Row],[Propina]],0)</f>
        <v>28.68</v>
      </c>
      <c r="Z448">
        <f>(IF(Sala[[#This Row],[Cobrada]]="Sí",Sala[[#This Row],[Monto total]],0))+Sala[[#This Row],[Propina real]]</f>
        <v>209.68</v>
      </c>
    </row>
    <row r="449" spans="1:26" x14ac:dyDescent="0.25">
      <c r="A449">
        <v>4</v>
      </c>
      <c r="B449" t="s">
        <v>338</v>
      </c>
      <c r="C449">
        <v>5</v>
      </c>
      <c r="D449" s="2">
        <v>45021</v>
      </c>
      <c r="E449" s="3">
        <v>4.8611111111111112E-3</v>
      </c>
      <c r="F449" s="2">
        <v>45021</v>
      </c>
      <c r="G449" s="3">
        <v>0.14930555555555555</v>
      </c>
      <c r="H449" s="1" t="s">
        <v>23</v>
      </c>
      <c r="I449" t="s">
        <v>25</v>
      </c>
      <c r="J449" t="s">
        <v>601</v>
      </c>
      <c r="K449" s="9">
        <v>35.68</v>
      </c>
      <c r="L449" t="s">
        <v>28</v>
      </c>
      <c r="M449">
        <v>448</v>
      </c>
      <c r="N449" t="s">
        <v>29</v>
      </c>
      <c r="O449" s="3">
        <f>(Sala[[#This Row],[Hora de Salida]]-Sala[[#This Row],[Hora de llegada]])+IF(Sala[[#This Row],[Estado de la Mesa]]="Ocupada",(TEXT((15/(60*24)),"h:mm")),(TEXT(0,"h:mm")))</f>
        <v>0.15486111111111109</v>
      </c>
      <c r="P449" s="43">
        <f>(SUMIF(Cocina[Número de Orden],Sala[[#This Row],[Número de Orden]],Cocina[Tiempo de Preparación]))</f>
        <v>66</v>
      </c>
      <c r="Q449" s="5" t="str">
        <f>TEXT(((SUMIF(Cocina[Número de Orden],Sala[[#This Row],[Número de Orden]],Cocina[Tiempo de Preparación]))/(60*24)),"h:mm")</f>
        <v>1:06</v>
      </c>
      <c r="R449" s="3">
        <f>MAX((Sala[[#This Row],[Tiempo de permanencia]]-Sala[[#This Row],[Tiempo de preparación (h)]]),0)</f>
        <v>0.10902777777777775</v>
      </c>
      <c r="S449" s="8">
        <f>SUMIF(Cocina[Número de Orden],Sala[[#This Row],[Número de Orden]],Cocina[Ganancia bruta])</f>
        <v>137</v>
      </c>
      <c r="T449" s="8">
        <f>SUMIF(Cocina[Número de Orden],Sala[[#This Row],[Número de Orden]],Cocina[Costo Unitario])</f>
        <v>31</v>
      </c>
      <c r="U449" s="2">
        <f>Sala[[#This Row],[Fecha de Salida]]</f>
        <v>45021</v>
      </c>
      <c r="V449" s="7" t="str">
        <f>TEXT(Sala[[#This Row],[Fecha factura]],"dddd")</f>
        <v>miércoles</v>
      </c>
      <c r="W449" t="str">
        <f>IF(Sala[[#This Row],[Tiempo de degustación]]&gt;0,"Sí","No")</f>
        <v>Sí</v>
      </c>
      <c r="X449" t="str">
        <f>IF(Sala[[#This Row],[Cobrada]]="Sí",Sala[[#This Row],[Método de Pago]],"Impago")</f>
        <v>Tarjeta de crédito</v>
      </c>
      <c r="Y449">
        <f>IF(Sala[[#This Row],[Cobrada]]="Sí",Sala[[#This Row],[Propina]],0)</f>
        <v>35.68</v>
      </c>
      <c r="Z449">
        <f>(IF(Sala[[#This Row],[Cobrada]]="Sí",Sala[[#This Row],[Monto total]],0))+Sala[[#This Row],[Propina real]]</f>
        <v>172.68</v>
      </c>
    </row>
    <row r="450" spans="1:26" x14ac:dyDescent="0.25">
      <c r="A450">
        <v>3</v>
      </c>
      <c r="B450" t="s">
        <v>424</v>
      </c>
      <c r="C450">
        <v>3</v>
      </c>
      <c r="D450" s="2">
        <v>45021</v>
      </c>
      <c r="E450" s="3">
        <v>0.1423611111111111</v>
      </c>
      <c r="F450" s="2">
        <v>45021</v>
      </c>
      <c r="G450" s="3">
        <v>0.20972222222222223</v>
      </c>
      <c r="H450" s="1" t="s">
        <v>7</v>
      </c>
      <c r="I450" t="s">
        <v>8</v>
      </c>
      <c r="J450" t="s">
        <v>13</v>
      </c>
      <c r="K450" s="9">
        <v>42.25</v>
      </c>
      <c r="L450" t="s">
        <v>28</v>
      </c>
      <c r="M450">
        <v>449</v>
      </c>
      <c r="N450" t="s">
        <v>18</v>
      </c>
      <c r="O450" s="3">
        <f>(Sala[[#This Row],[Hora de Salida]]-Sala[[#This Row],[Hora de llegada]])+IF(Sala[[#This Row],[Estado de la Mesa]]="Ocupada",(TEXT((15/(60*24)),"h:mm")),(TEXT(0,"h:mm")))</f>
        <v>7.7777777777777793E-2</v>
      </c>
      <c r="P450" s="43">
        <f>(SUMIF(Cocina[Número de Orden],Sala[[#This Row],[Número de Orden]],Cocina[Tiempo de Preparación]))</f>
        <v>33</v>
      </c>
      <c r="Q450" s="5" t="str">
        <f>TEXT(((SUMIF(Cocina[Número de Orden],Sala[[#This Row],[Número de Orden]],Cocina[Tiempo de Preparación]))/(60*24)),"h:mm")</f>
        <v>0:33</v>
      </c>
      <c r="R450" s="3">
        <f>MAX((Sala[[#This Row],[Tiempo de permanencia]]-Sala[[#This Row],[Tiempo de preparación (h)]]),0)</f>
        <v>5.4861111111111124E-2</v>
      </c>
      <c r="S450" s="8">
        <f>SUMIF(Cocina[Número de Orden],Sala[[#This Row],[Número de Orden]],Cocina[Ganancia bruta])</f>
        <v>64</v>
      </c>
      <c r="T450" s="8">
        <f>SUMIF(Cocina[Número de Orden],Sala[[#This Row],[Número de Orden]],Cocina[Costo Unitario])</f>
        <v>19</v>
      </c>
      <c r="U450" s="2">
        <f>Sala[[#This Row],[Fecha de Salida]]</f>
        <v>45021</v>
      </c>
      <c r="V450" s="7" t="str">
        <f>TEXT(Sala[[#This Row],[Fecha factura]],"dddd")</f>
        <v>miércoles</v>
      </c>
      <c r="W450" t="str">
        <f>IF(Sala[[#This Row],[Tiempo de degustación]]&gt;0,"Sí","No")</f>
        <v>Sí</v>
      </c>
      <c r="X450" t="str">
        <f>IF(Sala[[#This Row],[Cobrada]]="Sí",Sala[[#This Row],[Método de Pago]],"Impago")</f>
        <v>Efectivo</v>
      </c>
      <c r="Y450">
        <f>IF(Sala[[#This Row],[Cobrada]]="Sí",Sala[[#This Row],[Propina]],0)</f>
        <v>42.25</v>
      </c>
      <c r="Z450">
        <f>(IF(Sala[[#This Row],[Cobrada]]="Sí",Sala[[#This Row],[Monto total]],0))+Sala[[#This Row],[Propina real]]</f>
        <v>106.25</v>
      </c>
    </row>
    <row r="451" spans="1:26" x14ac:dyDescent="0.25">
      <c r="A451">
        <v>9</v>
      </c>
      <c r="B451" t="s">
        <v>425</v>
      </c>
      <c r="C451">
        <v>6</v>
      </c>
      <c r="D451" s="2">
        <v>45021</v>
      </c>
      <c r="E451" s="3">
        <v>0.16041666666666668</v>
      </c>
      <c r="F451" s="2">
        <v>45021</v>
      </c>
      <c r="G451" s="3">
        <v>0.20902777777777778</v>
      </c>
      <c r="H451" s="1" t="s">
        <v>7</v>
      </c>
      <c r="I451" t="s">
        <v>8</v>
      </c>
      <c r="J451" t="s">
        <v>601</v>
      </c>
      <c r="K451" s="9">
        <v>48.9</v>
      </c>
      <c r="L451" t="s">
        <v>28</v>
      </c>
      <c r="M451">
        <v>450</v>
      </c>
      <c r="N451" t="s">
        <v>32</v>
      </c>
      <c r="O451" s="3">
        <f>(Sala[[#This Row],[Hora de Salida]]-Sala[[#This Row],[Hora de llegada]])+IF(Sala[[#This Row],[Estado de la Mesa]]="Ocupada",(TEXT((15/(60*24)),"h:mm")),(TEXT(0,"h:mm")))</f>
        <v>5.9027777777777769E-2</v>
      </c>
      <c r="P451" s="43">
        <f>(SUMIF(Cocina[Número de Orden],Sala[[#This Row],[Número de Orden]],Cocina[Tiempo de Preparación]))</f>
        <v>34</v>
      </c>
      <c r="Q451" s="5" t="str">
        <f>TEXT(((SUMIF(Cocina[Número de Orden],Sala[[#This Row],[Número de Orden]],Cocina[Tiempo de Preparación]))/(60*24)),"h:mm")</f>
        <v>0:34</v>
      </c>
      <c r="R451" s="3">
        <f>MAX((Sala[[#This Row],[Tiempo de permanencia]]-Sala[[#This Row],[Tiempo de preparación (h)]]),0)</f>
        <v>3.5416666666666659E-2</v>
      </c>
      <c r="S451" s="8">
        <f>SUMIF(Cocina[Número de Orden],Sala[[#This Row],[Número de Orden]],Cocina[Ganancia bruta])</f>
        <v>72</v>
      </c>
      <c r="T451" s="8">
        <f>SUMIF(Cocina[Número de Orden],Sala[[#This Row],[Número de Orden]],Cocina[Costo Unitario])</f>
        <v>32</v>
      </c>
      <c r="U451" s="2">
        <f>Sala[[#This Row],[Fecha de Salida]]</f>
        <v>45021</v>
      </c>
      <c r="V451" s="7" t="str">
        <f>TEXT(Sala[[#This Row],[Fecha factura]],"dddd")</f>
        <v>miércoles</v>
      </c>
      <c r="W451" t="str">
        <f>IF(Sala[[#This Row],[Tiempo de degustación]]&gt;0,"Sí","No")</f>
        <v>Sí</v>
      </c>
      <c r="X451" t="str">
        <f>IF(Sala[[#This Row],[Cobrada]]="Sí",Sala[[#This Row],[Método de Pago]],"Impago")</f>
        <v>Tarjeta de crédito</v>
      </c>
      <c r="Y451">
        <f>IF(Sala[[#This Row],[Cobrada]]="Sí",Sala[[#This Row],[Propina]],0)</f>
        <v>48.9</v>
      </c>
      <c r="Z451">
        <f>(IF(Sala[[#This Row],[Cobrada]]="Sí",Sala[[#This Row],[Monto total]],0))+Sala[[#This Row],[Propina real]]</f>
        <v>120.9</v>
      </c>
    </row>
    <row r="452" spans="1:26" x14ac:dyDescent="0.25">
      <c r="A452">
        <v>3</v>
      </c>
      <c r="B452" t="s">
        <v>246</v>
      </c>
      <c r="C452">
        <v>1</v>
      </c>
      <c r="D452" s="2">
        <v>45021</v>
      </c>
      <c r="E452" s="3">
        <v>5.347222222222222E-2</v>
      </c>
      <c r="F452" s="2">
        <v>45021</v>
      </c>
      <c r="G452" s="3">
        <v>0.10138888888888889</v>
      </c>
      <c r="H452" s="1" t="s">
        <v>20</v>
      </c>
      <c r="I452" t="s">
        <v>12</v>
      </c>
      <c r="J452" t="s">
        <v>601</v>
      </c>
      <c r="K452" s="9">
        <v>46.37</v>
      </c>
      <c r="L452" t="s">
        <v>17</v>
      </c>
      <c r="M452">
        <v>451</v>
      </c>
      <c r="N452" t="s">
        <v>32</v>
      </c>
      <c r="O452" s="3">
        <f>(Sala[[#This Row],[Hora de Salida]]-Sala[[#This Row],[Hora de llegada]])+IF(Sala[[#This Row],[Estado de la Mesa]]="Ocupada",(TEXT((15/(60*24)),"h:mm")),(TEXT(0,"h:mm")))</f>
        <v>4.791666666666667E-2</v>
      </c>
      <c r="P452" s="43">
        <f>(SUMIF(Cocina[Número de Orden],Sala[[#This Row],[Número de Orden]],Cocina[Tiempo de Preparación]))</f>
        <v>103</v>
      </c>
      <c r="Q452" s="5" t="str">
        <f>TEXT(((SUMIF(Cocina[Número de Orden],Sala[[#This Row],[Número de Orden]],Cocina[Tiempo de Preparación]))/(60*24)),"h:mm")</f>
        <v>1:43</v>
      </c>
      <c r="R452" s="3">
        <f>MAX((Sala[[#This Row],[Tiempo de permanencia]]-Sala[[#This Row],[Tiempo de preparación (h)]]),0)</f>
        <v>0</v>
      </c>
      <c r="S452" s="8">
        <f>SUMIF(Cocina[Número de Orden],Sala[[#This Row],[Número de Orden]],Cocina[Ganancia bruta])</f>
        <v>92</v>
      </c>
      <c r="T452" s="8">
        <f>SUMIF(Cocina[Número de Orden],Sala[[#This Row],[Número de Orden]],Cocina[Costo Unitario])</f>
        <v>55</v>
      </c>
      <c r="U452" s="2">
        <f>Sala[[#This Row],[Fecha de Salida]]</f>
        <v>45021</v>
      </c>
      <c r="V452" s="7" t="str">
        <f>TEXT(Sala[[#This Row],[Fecha factura]],"dddd")</f>
        <v>miércoles</v>
      </c>
      <c r="W452" t="str">
        <f>IF(Sala[[#This Row],[Tiempo de degustación]]&gt;0,"Sí","No")</f>
        <v>No</v>
      </c>
      <c r="X452" t="str">
        <f>IF(Sala[[#This Row],[Cobrada]]="Sí",Sala[[#This Row],[Método de Pago]],"Impago")</f>
        <v>Impago</v>
      </c>
      <c r="Y452">
        <f>IF(Sala[[#This Row],[Cobrada]]="Sí",Sala[[#This Row],[Propina]],0)</f>
        <v>0</v>
      </c>
      <c r="Z452">
        <f>(IF(Sala[[#This Row],[Cobrada]]="Sí",Sala[[#This Row],[Monto total]],0))+Sala[[#This Row],[Propina real]]</f>
        <v>0</v>
      </c>
    </row>
    <row r="453" spans="1:26" x14ac:dyDescent="0.25">
      <c r="A453">
        <v>9</v>
      </c>
      <c r="B453" t="s">
        <v>426</v>
      </c>
      <c r="C453">
        <v>1</v>
      </c>
      <c r="D453" s="2">
        <v>45021</v>
      </c>
      <c r="E453" s="3">
        <v>0.12013888888888889</v>
      </c>
      <c r="F453" s="2">
        <v>45021</v>
      </c>
      <c r="G453" s="3">
        <v>0.22152777777777777</v>
      </c>
      <c r="H453" s="1" t="s">
        <v>23</v>
      </c>
      <c r="I453" t="s">
        <v>8</v>
      </c>
      <c r="J453" t="s">
        <v>601</v>
      </c>
      <c r="K453" s="9">
        <v>43.48</v>
      </c>
      <c r="L453" t="s">
        <v>9</v>
      </c>
      <c r="M453">
        <v>452</v>
      </c>
      <c r="N453" t="s">
        <v>34</v>
      </c>
      <c r="O453" s="3">
        <f>(Sala[[#This Row],[Hora de Salida]]-Sala[[#This Row],[Hora de llegada]])+IF(Sala[[#This Row],[Estado de la Mesa]]="Ocupada",(TEXT((15/(60*24)),"h:mm")),(TEXT(0,"h:mm")))</f>
        <v>0.10138888888888888</v>
      </c>
      <c r="P453" s="43">
        <f>(SUMIF(Cocina[Número de Orden],Sala[[#This Row],[Número de Orden]],Cocina[Tiempo de Preparación]))</f>
        <v>123</v>
      </c>
      <c r="Q453" s="5" t="str">
        <f>TEXT(((SUMIF(Cocina[Número de Orden],Sala[[#This Row],[Número de Orden]],Cocina[Tiempo de Preparación]))/(60*24)),"h:mm")</f>
        <v>2:03</v>
      </c>
      <c r="R453" s="3">
        <f>MAX((Sala[[#This Row],[Tiempo de permanencia]]-Sala[[#This Row],[Tiempo de preparación (h)]]),0)</f>
        <v>1.5972222222222207E-2</v>
      </c>
      <c r="S453" s="8">
        <f>SUMIF(Cocina[Número de Orden],Sala[[#This Row],[Número de Orden]],Cocina[Ganancia bruta])</f>
        <v>158</v>
      </c>
      <c r="T453" s="8">
        <f>SUMIF(Cocina[Número de Orden],Sala[[#This Row],[Número de Orden]],Cocina[Costo Unitario])</f>
        <v>45</v>
      </c>
      <c r="U453" s="2">
        <f>Sala[[#This Row],[Fecha de Salida]]</f>
        <v>45021</v>
      </c>
      <c r="V453" s="7" t="str">
        <f>TEXT(Sala[[#This Row],[Fecha factura]],"dddd")</f>
        <v>miércoles</v>
      </c>
      <c r="W453" t="str">
        <f>IF(Sala[[#This Row],[Tiempo de degustación]]&gt;0,"Sí","No")</f>
        <v>Sí</v>
      </c>
      <c r="X453" t="str">
        <f>IF(Sala[[#This Row],[Cobrada]]="Sí",Sala[[#This Row],[Método de Pago]],"Impago")</f>
        <v>Tarjeta de crédito</v>
      </c>
      <c r="Y453">
        <f>IF(Sala[[#This Row],[Cobrada]]="Sí",Sala[[#This Row],[Propina]],0)</f>
        <v>43.48</v>
      </c>
      <c r="Z453">
        <f>(IF(Sala[[#This Row],[Cobrada]]="Sí",Sala[[#This Row],[Monto total]],0))+Sala[[#This Row],[Propina real]]</f>
        <v>201.48</v>
      </c>
    </row>
    <row r="454" spans="1:26" x14ac:dyDescent="0.25">
      <c r="A454">
        <v>6</v>
      </c>
      <c r="B454" t="s">
        <v>427</v>
      </c>
      <c r="C454">
        <v>1</v>
      </c>
      <c r="D454" s="2">
        <v>45021</v>
      </c>
      <c r="E454" s="3">
        <v>0.15416666666666667</v>
      </c>
      <c r="F454" s="2">
        <v>45021</v>
      </c>
      <c r="G454" s="3">
        <v>0.21319444444444444</v>
      </c>
      <c r="H454" s="1" t="s">
        <v>16</v>
      </c>
      <c r="I454" t="s">
        <v>12</v>
      </c>
      <c r="J454" t="s">
        <v>601</v>
      </c>
      <c r="K454" s="9">
        <v>36.83</v>
      </c>
      <c r="L454" t="s">
        <v>17</v>
      </c>
      <c r="M454">
        <v>453</v>
      </c>
      <c r="N454" t="s">
        <v>47</v>
      </c>
      <c r="O454" s="3">
        <f>(Sala[[#This Row],[Hora de Salida]]-Sala[[#This Row],[Hora de llegada]])+IF(Sala[[#This Row],[Estado de la Mesa]]="Ocupada",(TEXT((15/(60*24)),"h:mm")),(TEXT(0,"h:mm")))</f>
        <v>5.9027777777777762E-2</v>
      </c>
      <c r="P454" s="43">
        <f>(SUMIF(Cocina[Número de Orden],Sala[[#This Row],[Número de Orden]],Cocina[Tiempo de Preparación]))</f>
        <v>100</v>
      </c>
      <c r="Q454" s="5" t="str">
        <f>TEXT(((SUMIF(Cocina[Número de Orden],Sala[[#This Row],[Número de Orden]],Cocina[Tiempo de Preparación]))/(60*24)),"h:mm")</f>
        <v>1:40</v>
      </c>
      <c r="R454" s="3">
        <f>MAX((Sala[[#This Row],[Tiempo de permanencia]]-Sala[[#This Row],[Tiempo de preparación (h)]]),0)</f>
        <v>0</v>
      </c>
      <c r="S454" s="8">
        <f>SUMIF(Cocina[Número de Orden],Sala[[#This Row],[Número de Orden]],Cocina[Ganancia bruta])</f>
        <v>130</v>
      </c>
      <c r="T454" s="8">
        <f>SUMIF(Cocina[Número de Orden],Sala[[#This Row],[Número de Orden]],Cocina[Costo Unitario])</f>
        <v>39</v>
      </c>
      <c r="U454" s="2">
        <f>Sala[[#This Row],[Fecha de Salida]]</f>
        <v>45021</v>
      </c>
      <c r="V454" s="7" t="str">
        <f>TEXT(Sala[[#This Row],[Fecha factura]],"dddd")</f>
        <v>miércoles</v>
      </c>
      <c r="W454" t="str">
        <f>IF(Sala[[#This Row],[Tiempo de degustación]]&gt;0,"Sí","No")</f>
        <v>No</v>
      </c>
      <c r="X454" t="str">
        <f>IF(Sala[[#This Row],[Cobrada]]="Sí",Sala[[#This Row],[Método de Pago]],"Impago")</f>
        <v>Impago</v>
      </c>
      <c r="Y454">
        <f>IF(Sala[[#This Row],[Cobrada]]="Sí",Sala[[#This Row],[Propina]],0)</f>
        <v>0</v>
      </c>
      <c r="Z454">
        <f>(IF(Sala[[#This Row],[Cobrada]]="Sí",Sala[[#This Row],[Monto total]],0))+Sala[[#This Row],[Propina real]]</f>
        <v>0</v>
      </c>
    </row>
    <row r="455" spans="1:26" x14ac:dyDescent="0.25">
      <c r="A455">
        <v>1</v>
      </c>
      <c r="B455" t="s">
        <v>407</v>
      </c>
      <c r="C455">
        <v>3</v>
      </c>
      <c r="D455" s="2">
        <v>45021</v>
      </c>
      <c r="E455" s="3">
        <v>0.14305555555555555</v>
      </c>
      <c r="F455" s="2">
        <v>45021</v>
      </c>
      <c r="G455" s="3">
        <v>0.20347222222222222</v>
      </c>
      <c r="H455" s="1" t="s">
        <v>11</v>
      </c>
      <c r="I455" t="s">
        <v>8</v>
      </c>
      <c r="J455" t="s">
        <v>601</v>
      </c>
      <c r="K455" s="9">
        <v>39.619999999999997</v>
      </c>
      <c r="L455" t="s">
        <v>17</v>
      </c>
      <c r="M455">
        <v>454</v>
      </c>
      <c r="N455" t="s">
        <v>14</v>
      </c>
      <c r="O455" s="3">
        <f>(Sala[[#This Row],[Hora de Salida]]-Sala[[#This Row],[Hora de llegada]])+IF(Sala[[#This Row],[Estado de la Mesa]]="Ocupada",(TEXT((15/(60*24)),"h:mm")),(TEXT(0,"h:mm")))</f>
        <v>6.0416666666666674E-2</v>
      </c>
      <c r="P455" s="43">
        <f>(SUMIF(Cocina[Número de Orden],Sala[[#This Row],[Número de Orden]],Cocina[Tiempo de Preparación]))</f>
        <v>153</v>
      </c>
      <c r="Q455" s="5" t="str">
        <f>TEXT(((SUMIF(Cocina[Número de Orden],Sala[[#This Row],[Número de Orden]],Cocina[Tiempo de Preparación]))/(60*24)),"h:mm")</f>
        <v>2:33</v>
      </c>
      <c r="R455" s="3">
        <f>MAX((Sala[[#This Row],[Tiempo de permanencia]]-Sala[[#This Row],[Tiempo de preparación (h)]]),0)</f>
        <v>0</v>
      </c>
      <c r="S455" s="8">
        <f>SUMIF(Cocina[Número de Orden],Sala[[#This Row],[Número de Orden]],Cocina[Ganancia bruta])</f>
        <v>233</v>
      </c>
      <c r="T455" s="8">
        <f>SUMIF(Cocina[Número de Orden],Sala[[#This Row],[Número de Orden]],Cocina[Costo Unitario])</f>
        <v>64</v>
      </c>
      <c r="U455" s="2">
        <f>Sala[[#This Row],[Fecha de Salida]]</f>
        <v>45021</v>
      </c>
      <c r="V455" s="7" t="str">
        <f>TEXT(Sala[[#This Row],[Fecha factura]],"dddd")</f>
        <v>miércoles</v>
      </c>
      <c r="W455" t="str">
        <f>IF(Sala[[#This Row],[Tiempo de degustación]]&gt;0,"Sí","No")</f>
        <v>No</v>
      </c>
      <c r="X455" t="str">
        <f>IF(Sala[[#This Row],[Cobrada]]="Sí",Sala[[#This Row],[Método de Pago]],"Impago")</f>
        <v>Impago</v>
      </c>
      <c r="Y455">
        <f>IF(Sala[[#This Row],[Cobrada]]="Sí",Sala[[#This Row],[Propina]],0)</f>
        <v>0</v>
      </c>
      <c r="Z455">
        <f>(IF(Sala[[#This Row],[Cobrada]]="Sí",Sala[[#This Row],[Monto total]],0))+Sala[[#This Row],[Propina real]]</f>
        <v>0</v>
      </c>
    </row>
    <row r="456" spans="1:26" x14ac:dyDescent="0.25">
      <c r="A456">
        <v>12</v>
      </c>
      <c r="B456" t="s">
        <v>276</v>
      </c>
      <c r="C456">
        <v>6</v>
      </c>
      <c r="D456" s="2">
        <v>45021</v>
      </c>
      <c r="E456" s="3">
        <v>0.16527777777777777</v>
      </c>
      <c r="F456" s="2">
        <v>45021</v>
      </c>
      <c r="G456" s="3">
        <v>0.24583333333333332</v>
      </c>
      <c r="H456" s="1" t="s">
        <v>20</v>
      </c>
      <c r="I456" t="s">
        <v>12</v>
      </c>
      <c r="J456" t="s">
        <v>600</v>
      </c>
      <c r="K456" s="9">
        <v>19.7</v>
      </c>
      <c r="L456" t="s">
        <v>9</v>
      </c>
      <c r="M456">
        <v>455</v>
      </c>
      <c r="N456" t="s">
        <v>14</v>
      </c>
      <c r="O456" s="3">
        <f>(Sala[[#This Row],[Hora de Salida]]-Sala[[#This Row],[Hora de llegada]])+IF(Sala[[#This Row],[Estado de la Mesa]]="Ocupada",(TEXT((15/(60*24)),"h:mm")),(TEXT(0,"h:mm")))</f>
        <v>8.0555555555555547E-2</v>
      </c>
      <c r="P456" s="43">
        <f>(SUMIF(Cocina[Número de Orden],Sala[[#This Row],[Número de Orden]],Cocina[Tiempo de Preparación]))</f>
        <v>11</v>
      </c>
      <c r="Q456" s="5" t="str">
        <f>TEXT(((SUMIF(Cocina[Número de Orden],Sala[[#This Row],[Número de Orden]],Cocina[Tiempo de Preparación]))/(60*24)),"h:mm")</f>
        <v>0:11</v>
      </c>
      <c r="R456" s="3">
        <f>MAX((Sala[[#This Row],[Tiempo de permanencia]]-Sala[[#This Row],[Tiempo de preparación (h)]]),0)</f>
        <v>7.2916666666666657E-2</v>
      </c>
      <c r="S456" s="8">
        <f>SUMIF(Cocina[Número de Orden],Sala[[#This Row],[Número de Orden]],Cocina[Ganancia bruta])</f>
        <v>48</v>
      </c>
      <c r="T456" s="8">
        <f>SUMIF(Cocina[Número de Orden],Sala[[#This Row],[Número de Orden]],Cocina[Costo Unitario])</f>
        <v>14</v>
      </c>
      <c r="U456" s="2">
        <f>Sala[[#This Row],[Fecha de Salida]]</f>
        <v>45021</v>
      </c>
      <c r="V456" s="7" t="str">
        <f>TEXT(Sala[[#This Row],[Fecha factura]],"dddd")</f>
        <v>miércoles</v>
      </c>
      <c r="W456" t="str">
        <f>IF(Sala[[#This Row],[Tiempo de degustación]]&gt;0,"Sí","No")</f>
        <v>Sí</v>
      </c>
      <c r="X456" t="str">
        <f>IF(Sala[[#This Row],[Cobrada]]="Sí",Sala[[#This Row],[Método de Pago]],"Impago")</f>
        <v>Tarjeta de débito</v>
      </c>
      <c r="Y456">
        <f>IF(Sala[[#This Row],[Cobrada]]="Sí",Sala[[#This Row],[Propina]],0)</f>
        <v>19.7</v>
      </c>
      <c r="Z456">
        <f>(IF(Sala[[#This Row],[Cobrada]]="Sí",Sala[[#This Row],[Monto total]],0))+Sala[[#This Row],[Propina real]]</f>
        <v>67.7</v>
      </c>
    </row>
    <row r="457" spans="1:26" x14ac:dyDescent="0.25">
      <c r="A457">
        <v>13</v>
      </c>
      <c r="B457" t="s">
        <v>428</v>
      </c>
      <c r="C457">
        <v>6</v>
      </c>
      <c r="D457" s="2">
        <v>45021</v>
      </c>
      <c r="E457" s="3">
        <v>9.166666666666666E-2</v>
      </c>
      <c r="F457" s="2">
        <v>45021</v>
      </c>
      <c r="G457" s="3">
        <v>0.21875</v>
      </c>
      <c r="H457" s="1" t="s">
        <v>23</v>
      </c>
      <c r="I457" t="s">
        <v>8</v>
      </c>
      <c r="J457" t="s">
        <v>601</v>
      </c>
      <c r="K457" s="9">
        <v>21.94</v>
      </c>
      <c r="L457" t="s">
        <v>17</v>
      </c>
      <c r="M457">
        <v>456</v>
      </c>
      <c r="N457" t="s">
        <v>59</v>
      </c>
      <c r="O457" s="3">
        <f>(Sala[[#This Row],[Hora de Salida]]-Sala[[#This Row],[Hora de llegada]])+IF(Sala[[#This Row],[Estado de la Mesa]]="Ocupada",(TEXT((15/(60*24)),"h:mm")),(TEXT(0,"h:mm")))</f>
        <v>0.12708333333333333</v>
      </c>
      <c r="P457" s="43">
        <f>(SUMIF(Cocina[Número de Orden],Sala[[#This Row],[Número de Orden]],Cocina[Tiempo de Preparación]))</f>
        <v>71</v>
      </c>
      <c r="Q457" s="5" t="str">
        <f>TEXT(((SUMIF(Cocina[Número de Orden],Sala[[#This Row],[Número de Orden]],Cocina[Tiempo de Preparación]))/(60*24)),"h:mm")</f>
        <v>1:11</v>
      </c>
      <c r="R457" s="3">
        <f>MAX((Sala[[#This Row],[Tiempo de permanencia]]-Sala[[#This Row],[Tiempo de preparación (h)]]),0)</f>
        <v>7.7777777777777779E-2</v>
      </c>
      <c r="S457" s="8">
        <f>SUMIF(Cocina[Número de Orden],Sala[[#This Row],[Número de Orden]],Cocina[Ganancia bruta])</f>
        <v>148</v>
      </c>
      <c r="T457" s="8">
        <f>SUMIF(Cocina[Número de Orden],Sala[[#This Row],[Número de Orden]],Cocina[Costo Unitario])</f>
        <v>45</v>
      </c>
      <c r="U457" s="2">
        <f>Sala[[#This Row],[Fecha de Salida]]</f>
        <v>45021</v>
      </c>
      <c r="V457" s="7" t="str">
        <f>TEXT(Sala[[#This Row],[Fecha factura]],"dddd")</f>
        <v>miércoles</v>
      </c>
      <c r="W457" t="str">
        <f>IF(Sala[[#This Row],[Tiempo de degustación]]&gt;0,"Sí","No")</f>
        <v>Sí</v>
      </c>
      <c r="X457" t="str">
        <f>IF(Sala[[#This Row],[Cobrada]]="Sí",Sala[[#This Row],[Método de Pago]],"Impago")</f>
        <v>Tarjeta de crédito</v>
      </c>
      <c r="Y457">
        <f>IF(Sala[[#This Row],[Cobrada]]="Sí",Sala[[#This Row],[Propina]],0)</f>
        <v>21.94</v>
      </c>
      <c r="Z457">
        <f>(IF(Sala[[#This Row],[Cobrada]]="Sí",Sala[[#This Row],[Monto total]],0))+Sala[[#This Row],[Propina real]]</f>
        <v>169.94</v>
      </c>
    </row>
    <row r="458" spans="1:26" x14ac:dyDescent="0.25">
      <c r="A458">
        <v>18</v>
      </c>
      <c r="B458" t="s">
        <v>429</v>
      </c>
      <c r="C458">
        <v>6</v>
      </c>
      <c r="D458" s="2">
        <v>45021</v>
      </c>
      <c r="E458" s="3">
        <v>0.15833333333333333</v>
      </c>
      <c r="F458" s="2">
        <v>45021</v>
      </c>
      <c r="G458" s="3">
        <v>0.31388888888888888</v>
      </c>
      <c r="H458" s="1" t="s">
        <v>16</v>
      </c>
      <c r="I458" t="s">
        <v>8</v>
      </c>
      <c r="J458" t="s">
        <v>13</v>
      </c>
      <c r="K458" s="9">
        <v>17.260000000000002</v>
      </c>
      <c r="L458" t="s">
        <v>9</v>
      </c>
      <c r="M458">
        <v>457</v>
      </c>
      <c r="N458" t="s">
        <v>32</v>
      </c>
      <c r="O458" s="3">
        <f>(Sala[[#This Row],[Hora de Salida]]-Sala[[#This Row],[Hora de llegada]])+IF(Sala[[#This Row],[Estado de la Mesa]]="Ocupada",(TEXT((15/(60*24)),"h:mm")),(TEXT(0,"h:mm")))</f>
        <v>0.15555555555555556</v>
      </c>
      <c r="P458" s="43">
        <f>(SUMIF(Cocina[Número de Orden],Sala[[#This Row],[Número de Orden]],Cocina[Tiempo de Preparación]))</f>
        <v>58</v>
      </c>
      <c r="Q458" s="5" t="str">
        <f>TEXT(((SUMIF(Cocina[Número de Orden],Sala[[#This Row],[Número de Orden]],Cocina[Tiempo de Preparación]))/(60*24)),"h:mm")</f>
        <v>0:58</v>
      </c>
      <c r="R458" s="3">
        <f>MAX((Sala[[#This Row],[Tiempo de permanencia]]-Sala[[#This Row],[Tiempo de preparación (h)]]),0)</f>
        <v>0.11527777777777778</v>
      </c>
      <c r="S458" s="8">
        <f>SUMIF(Cocina[Número de Orden],Sala[[#This Row],[Número de Orden]],Cocina[Ganancia bruta])</f>
        <v>137</v>
      </c>
      <c r="T458" s="8">
        <f>SUMIF(Cocina[Número de Orden],Sala[[#This Row],[Número de Orden]],Cocina[Costo Unitario])</f>
        <v>31</v>
      </c>
      <c r="U458" s="2">
        <f>Sala[[#This Row],[Fecha de Salida]]</f>
        <v>45021</v>
      </c>
      <c r="V458" s="7" t="str">
        <f>TEXT(Sala[[#This Row],[Fecha factura]],"dddd")</f>
        <v>miércoles</v>
      </c>
      <c r="W458" t="str">
        <f>IF(Sala[[#This Row],[Tiempo de degustación]]&gt;0,"Sí","No")</f>
        <v>Sí</v>
      </c>
      <c r="X458" t="str">
        <f>IF(Sala[[#This Row],[Cobrada]]="Sí",Sala[[#This Row],[Método de Pago]],"Impago")</f>
        <v>Efectivo</v>
      </c>
      <c r="Y458">
        <f>IF(Sala[[#This Row],[Cobrada]]="Sí",Sala[[#This Row],[Propina]],0)</f>
        <v>17.260000000000002</v>
      </c>
      <c r="Z458">
        <f>(IF(Sala[[#This Row],[Cobrada]]="Sí",Sala[[#This Row],[Monto total]],0))+Sala[[#This Row],[Propina real]]</f>
        <v>154.26</v>
      </c>
    </row>
    <row r="459" spans="1:26" x14ac:dyDescent="0.25">
      <c r="A459">
        <v>4</v>
      </c>
      <c r="B459" t="s">
        <v>430</v>
      </c>
      <c r="C459">
        <v>3</v>
      </c>
      <c r="D459" s="2">
        <v>45021</v>
      </c>
      <c r="E459" s="3">
        <v>0.11180555555555556</v>
      </c>
      <c r="F459" s="2">
        <v>45021</v>
      </c>
      <c r="G459" s="3">
        <v>0.18124999999999999</v>
      </c>
      <c r="H459" s="1" t="s">
        <v>23</v>
      </c>
      <c r="I459" t="s">
        <v>8</v>
      </c>
      <c r="J459" t="s">
        <v>601</v>
      </c>
      <c r="K459" s="9">
        <v>15.21</v>
      </c>
      <c r="L459" t="s">
        <v>28</v>
      </c>
      <c r="M459">
        <v>458</v>
      </c>
      <c r="N459" t="s">
        <v>32</v>
      </c>
      <c r="O459" s="3">
        <f>(Sala[[#This Row],[Hora de Salida]]-Sala[[#This Row],[Hora de llegada]])+IF(Sala[[#This Row],[Estado de la Mesa]]="Ocupada",(TEXT((15/(60*24)),"h:mm")),(TEXT(0,"h:mm")))</f>
        <v>7.9861111111111105E-2</v>
      </c>
      <c r="P459" s="43">
        <f>(SUMIF(Cocina[Número de Orden],Sala[[#This Row],[Número de Orden]],Cocina[Tiempo de Preparación]))</f>
        <v>89</v>
      </c>
      <c r="Q459" s="5" t="str">
        <f>TEXT(((SUMIF(Cocina[Número de Orden],Sala[[#This Row],[Número de Orden]],Cocina[Tiempo de Preparación]))/(60*24)),"h:mm")</f>
        <v>1:29</v>
      </c>
      <c r="R459" s="3">
        <f>MAX((Sala[[#This Row],[Tiempo de permanencia]]-Sala[[#This Row],[Tiempo de preparación (h)]]),0)</f>
        <v>1.8055555555555547E-2</v>
      </c>
      <c r="S459" s="8">
        <f>SUMIF(Cocina[Número de Orden],Sala[[#This Row],[Número de Orden]],Cocina[Ganancia bruta])</f>
        <v>268</v>
      </c>
      <c r="T459" s="8">
        <f>SUMIF(Cocina[Número de Orden],Sala[[#This Row],[Número de Orden]],Cocina[Costo Unitario])</f>
        <v>69</v>
      </c>
      <c r="U459" s="2">
        <f>Sala[[#This Row],[Fecha de Salida]]</f>
        <v>45021</v>
      </c>
      <c r="V459" s="7" t="str">
        <f>TEXT(Sala[[#This Row],[Fecha factura]],"dddd")</f>
        <v>miércoles</v>
      </c>
      <c r="W459" t="str">
        <f>IF(Sala[[#This Row],[Tiempo de degustación]]&gt;0,"Sí","No")</f>
        <v>Sí</v>
      </c>
      <c r="X459" t="str">
        <f>IF(Sala[[#This Row],[Cobrada]]="Sí",Sala[[#This Row],[Método de Pago]],"Impago")</f>
        <v>Tarjeta de crédito</v>
      </c>
      <c r="Y459">
        <f>IF(Sala[[#This Row],[Cobrada]]="Sí",Sala[[#This Row],[Propina]],0)</f>
        <v>15.21</v>
      </c>
      <c r="Z459">
        <f>(IF(Sala[[#This Row],[Cobrada]]="Sí",Sala[[#This Row],[Monto total]],0))+Sala[[#This Row],[Propina real]]</f>
        <v>283.20999999999998</v>
      </c>
    </row>
    <row r="460" spans="1:26" x14ac:dyDescent="0.25">
      <c r="A460">
        <v>20</v>
      </c>
      <c r="B460" t="s">
        <v>431</v>
      </c>
      <c r="C460">
        <v>1</v>
      </c>
      <c r="D460" s="2">
        <v>45021</v>
      </c>
      <c r="E460" s="3">
        <v>1.6666666666666666E-2</v>
      </c>
      <c r="F460" s="2">
        <v>45021</v>
      </c>
      <c r="G460" s="3">
        <v>9.166666666666666E-2</v>
      </c>
      <c r="H460" s="1" t="s">
        <v>11</v>
      </c>
      <c r="I460" t="s">
        <v>8</v>
      </c>
      <c r="J460" t="s">
        <v>601</v>
      </c>
      <c r="K460" s="9">
        <v>32.770000000000003</v>
      </c>
      <c r="L460" t="s">
        <v>28</v>
      </c>
      <c r="M460">
        <v>459</v>
      </c>
      <c r="N460" t="s">
        <v>59</v>
      </c>
      <c r="O460" s="3">
        <f>(Sala[[#This Row],[Hora de Salida]]-Sala[[#This Row],[Hora de llegada]])+IF(Sala[[#This Row],[Estado de la Mesa]]="Ocupada",(TEXT((15/(60*24)),"h:mm")),(TEXT(0,"h:mm")))</f>
        <v>8.5416666666666669E-2</v>
      </c>
      <c r="P460" s="43">
        <f>(SUMIF(Cocina[Número de Orden],Sala[[#This Row],[Número de Orden]],Cocina[Tiempo de Preparación]))</f>
        <v>30</v>
      </c>
      <c r="Q460" s="5" t="str">
        <f>TEXT(((SUMIF(Cocina[Número de Orden],Sala[[#This Row],[Número de Orden]],Cocina[Tiempo de Preparación]))/(60*24)),"h:mm")</f>
        <v>0:30</v>
      </c>
      <c r="R460" s="3">
        <f>MAX((Sala[[#This Row],[Tiempo de permanencia]]-Sala[[#This Row],[Tiempo de preparación (h)]]),0)</f>
        <v>6.458333333333334E-2</v>
      </c>
      <c r="S460" s="8">
        <f>SUMIF(Cocina[Número de Orden],Sala[[#This Row],[Número de Orden]],Cocina[Ganancia bruta])</f>
        <v>84</v>
      </c>
      <c r="T460" s="8">
        <f>SUMIF(Cocina[Número de Orden],Sala[[#This Row],[Número de Orden]],Cocina[Costo Unitario])</f>
        <v>16</v>
      </c>
      <c r="U460" s="2">
        <f>Sala[[#This Row],[Fecha de Salida]]</f>
        <v>45021</v>
      </c>
      <c r="V460" s="7" t="str">
        <f>TEXT(Sala[[#This Row],[Fecha factura]],"dddd")</f>
        <v>miércoles</v>
      </c>
      <c r="W460" t="str">
        <f>IF(Sala[[#This Row],[Tiempo de degustación]]&gt;0,"Sí","No")</f>
        <v>Sí</v>
      </c>
      <c r="X460" t="str">
        <f>IF(Sala[[#This Row],[Cobrada]]="Sí",Sala[[#This Row],[Método de Pago]],"Impago")</f>
        <v>Tarjeta de crédito</v>
      </c>
      <c r="Y460">
        <f>IF(Sala[[#This Row],[Cobrada]]="Sí",Sala[[#This Row],[Propina]],0)</f>
        <v>32.770000000000003</v>
      </c>
      <c r="Z460">
        <f>(IF(Sala[[#This Row],[Cobrada]]="Sí",Sala[[#This Row],[Monto total]],0))+Sala[[#This Row],[Propina real]]</f>
        <v>116.77000000000001</v>
      </c>
    </row>
    <row r="461" spans="1:26" x14ac:dyDescent="0.25">
      <c r="A461">
        <v>19</v>
      </c>
      <c r="B461" t="s">
        <v>187</v>
      </c>
      <c r="C461">
        <v>6</v>
      </c>
      <c r="D461" s="2">
        <v>45021</v>
      </c>
      <c r="E461" s="3">
        <v>0.14374999999999999</v>
      </c>
      <c r="F461" s="2">
        <v>45021</v>
      </c>
      <c r="G461" s="3">
        <v>0.28888888888888886</v>
      </c>
      <c r="H461" s="1" t="s">
        <v>23</v>
      </c>
      <c r="I461" t="s">
        <v>25</v>
      </c>
      <c r="J461" t="s">
        <v>601</v>
      </c>
      <c r="K461" s="9">
        <v>49.6</v>
      </c>
      <c r="L461" t="s">
        <v>17</v>
      </c>
      <c r="M461">
        <v>460</v>
      </c>
      <c r="N461" t="s">
        <v>44</v>
      </c>
      <c r="O461" s="3">
        <f>(Sala[[#This Row],[Hora de Salida]]-Sala[[#This Row],[Hora de llegada]])+IF(Sala[[#This Row],[Estado de la Mesa]]="Ocupada",(TEXT((15/(60*24)),"h:mm")),(TEXT(0,"h:mm")))</f>
        <v>0.14513888888888887</v>
      </c>
      <c r="P461" s="43">
        <f>(SUMIF(Cocina[Número de Orden],Sala[[#This Row],[Número de Orden]],Cocina[Tiempo de Preparación]))</f>
        <v>124</v>
      </c>
      <c r="Q461" s="5" t="str">
        <f>TEXT(((SUMIF(Cocina[Número de Orden],Sala[[#This Row],[Número de Orden]],Cocina[Tiempo de Preparación]))/(60*24)),"h:mm")</f>
        <v>2:04</v>
      </c>
      <c r="R461" s="3">
        <f>MAX((Sala[[#This Row],[Tiempo de permanencia]]-Sala[[#This Row],[Tiempo de preparación (h)]]),0)</f>
        <v>5.9027777777777762E-2</v>
      </c>
      <c r="S461" s="8">
        <f>SUMIF(Cocina[Número de Orden],Sala[[#This Row],[Número de Orden]],Cocina[Ganancia bruta])</f>
        <v>176</v>
      </c>
      <c r="T461" s="8">
        <f>SUMIF(Cocina[Número de Orden],Sala[[#This Row],[Número de Orden]],Cocina[Costo Unitario])</f>
        <v>60</v>
      </c>
      <c r="U461" s="2">
        <f>Sala[[#This Row],[Fecha de Salida]]</f>
        <v>45021</v>
      </c>
      <c r="V461" s="7" t="str">
        <f>TEXT(Sala[[#This Row],[Fecha factura]],"dddd")</f>
        <v>miércoles</v>
      </c>
      <c r="W461" t="str">
        <f>IF(Sala[[#This Row],[Tiempo de degustación]]&gt;0,"Sí","No")</f>
        <v>Sí</v>
      </c>
      <c r="X461" t="str">
        <f>IF(Sala[[#This Row],[Cobrada]]="Sí",Sala[[#This Row],[Método de Pago]],"Impago")</f>
        <v>Tarjeta de crédito</v>
      </c>
      <c r="Y461">
        <f>IF(Sala[[#This Row],[Cobrada]]="Sí",Sala[[#This Row],[Propina]],0)</f>
        <v>49.6</v>
      </c>
      <c r="Z461">
        <f>(IF(Sala[[#This Row],[Cobrada]]="Sí",Sala[[#This Row],[Monto total]],0))+Sala[[#This Row],[Propina real]]</f>
        <v>225.6</v>
      </c>
    </row>
    <row r="462" spans="1:26" x14ac:dyDescent="0.25">
      <c r="A462">
        <v>4</v>
      </c>
      <c r="B462" t="s">
        <v>432</v>
      </c>
      <c r="C462">
        <v>3</v>
      </c>
      <c r="D462" s="2">
        <v>45021</v>
      </c>
      <c r="E462" s="3">
        <v>0.11319444444444444</v>
      </c>
      <c r="F462" s="2">
        <v>45021</v>
      </c>
      <c r="G462" s="3">
        <v>0.24652777777777779</v>
      </c>
      <c r="H462" s="1" t="s">
        <v>20</v>
      </c>
      <c r="I462" t="s">
        <v>25</v>
      </c>
      <c r="J462" t="s">
        <v>13</v>
      </c>
      <c r="K462" s="9">
        <v>21.51</v>
      </c>
      <c r="L462" t="s">
        <v>17</v>
      </c>
      <c r="M462">
        <v>461</v>
      </c>
      <c r="N462" t="s">
        <v>593</v>
      </c>
      <c r="O462" s="3">
        <f>(Sala[[#This Row],[Hora de Salida]]-Sala[[#This Row],[Hora de llegada]])+IF(Sala[[#This Row],[Estado de la Mesa]]="Ocupada",(TEXT((15/(60*24)),"h:mm")),(TEXT(0,"h:mm")))</f>
        <v>0.13333333333333336</v>
      </c>
      <c r="P462" s="43">
        <f>(SUMIF(Cocina[Número de Orden],Sala[[#This Row],[Número de Orden]],Cocina[Tiempo de Preparación]))</f>
        <v>66</v>
      </c>
      <c r="Q462" s="5" t="str">
        <f>TEXT(((SUMIF(Cocina[Número de Orden],Sala[[#This Row],[Número de Orden]],Cocina[Tiempo de Preparación]))/(60*24)),"h:mm")</f>
        <v>1:06</v>
      </c>
      <c r="R462" s="3">
        <f>MAX((Sala[[#This Row],[Tiempo de permanencia]]-Sala[[#This Row],[Tiempo de preparación (h)]]),0)</f>
        <v>8.7500000000000022E-2</v>
      </c>
      <c r="S462" s="8">
        <f>SUMIF(Cocina[Número de Orden],Sala[[#This Row],[Número de Orden]],Cocina[Ganancia bruta])</f>
        <v>99</v>
      </c>
      <c r="T462" s="8">
        <f>SUMIF(Cocina[Número de Orden],Sala[[#This Row],[Número de Orden]],Cocina[Costo Unitario])</f>
        <v>38</v>
      </c>
      <c r="U462" s="2">
        <f>Sala[[#This Row],[Fecha de Salida]]</f>
        <v>45021</v>
      </c>
      <c r="V462" s="7" t="str">
        <f>TEXT(Sala[[#This Row],[Fecha factura]],"dddd")</f>
        <v>miércoles</v>
      </c>
      <c r="W462" t="str">
        <f>IF(Sala[[#This Row],[Tiempo de degustación]]&gt;0,"Sí","No")</f>
        <v>Sí</v>
      </c>
      <c r="X462" t="str">
        <f>IF(Sala[[#This Row],[Cobrada]]="Sí",Sala[[#This Row],[Método de Pago]],"Impago")</f>
        <v>Efectivo</v>
      </c>
      <c r="Y462">
        <f>IF(Sala[[#This Row],[Cobrada]]="Sí",Sala[[#This Row],[Propina]],0)</f>
        <v>21.51</v>
      </c>
      <c r="Z462">
        <f>(IF(Sala[[#This Row],[Cobrada]]="Sí",Sala[[#This Row],[Monto total]],0))+Sala[[#This Row],[Propina real]]</f>
        <v>120.51</v>
      </c>
    </row>
    <row r="463" spans="1:26" x14ac:dyDescent="0.25">
      <c r="A463">
        <v>9</v>
      </c>
      <c r="B463" t="s">
        <v>63</v>
      </c>
      <c r="C463">
        <v>2</v>
      </c>
      <c r="D463" s="2">
        <v>45021</v>
      </c>
      <c r="E463" s="3">
        <v>9.166666666666666E-2</v>
      </c>
      <c r="F463" s="2">
        <v>45021</v>
      </c>
      <c r="G463" s="3">
        <v>0.18541666666666667</v>
      </c>
      <c r="H463" s="1" t="s">
        <v>16</v>
      </c>
      <c r="I463" t="s">
        <v>8</v>
      </c>
      <c r="J463" t="s">
        <v>601</v>
      </c>
      <c r="K463" s="9">
        <v>21.17</v>
      </c>
      <c r="L463" t="s">
        <v>9</v>
      </c>
      <c r="M463">
        <v>462</v>
      </c>
      <c r="N463" t="s">
        <v>594</v>
      </c>
      <c r="O463" s="3">
        <f>(Sala[[#This Row],[Hora de Salida]]-Sala[[#This Row],[Hora de llegada]])+IF(Sala[[#This Row],[Estado de la Mesa]]="Ocupada",(TEXT((15/(60*24)),"h:mm")),(TEXT(0,"h:mm")))</f>
        <v>9.3750000000000014E-2</v>
      </c>
      <c r="P463" s="43">
        <f>(SUMIF(Cocina[Número de Orden],Sala[[#This Row],[Número de Orden]],Cocina[Tiempo de Preparación]))</f>
        <v>11</v>
      </c>
      <c r="Q463" s="5" t="str">
        <f>TEXT(((SUMIF(Cocina[Número de Orden],Sala[[#This Row],[Número de Orden]],Cocina[Tiempo de Preparación]))/(60*24)),"h:mm")</f>
        <v>0:11</v>
      </c>
      <c r="R463" s="3">
        <f>MAX((Sala[[#This Row],[Tiempo de permanencia]]-Sala[[#This Row],[Tiempo de preparación (h)]]),0)</f>
        <v>8.6111111111111124E-2</v>
      </c>
      <c r="S463" s="8">
        <f>SUMIF(Cocina[Número de Orden],Sala[[#This Row],[Número de Orden]],Cocina[Ganancia bruta])</f>
        <v>99</v>
      </c>
      <c r="T463" s="8">
        <f>SUMIF(Cocina[Número de Orden],Sala[[#This Row],[Número de Orden]],Cocina[Costo Unitario])</f>
        <v>20</v>
      </c>
      <c r="U463" s="2">
        <f>Sala[[#This Row],[Fecha de Salida]]</f>
        <v>45021</v>
      </c>
      <c r="V463" s="7" t="str">
        <f>TEXT(Sala[[#This Row],[Fecha factura]],"dddd")</f>
        <v>miércoles</v>
      </c>
      <c r="W463" t="str">
        <f>IF(Sala[[#This Row],[Tiempo de degustación]]&gt;0,"Sí","No")</f>
        <v>Sí</v>
      </c>
      <c r="X463" t="str">
        <f>IF(Sala[[#This Row],[Cobrada]]="Sí",Sala[[#This Row],[Método de Pago]],"Impago")</f>
        <v>Tarjeta de crédito</v>
      </c>
      <c r="Y463">
        <f>IF(Sala[[#This Row],[Cobrada]]="Sí",Sala[[#This Row],[Propina]],0)</f>
        <v>21.17</v>
      </c>
      <c r="Z463">
        <f>(IF(Sala[[#This Row],[Cobrada]]="Sí",Sala[[#This Row],[Monto total]],0))+Sala[[#This Row],[Propina real]]</f>
        <v>120.17</v>
      </c>
    </row>
    <row r="464" spans="1:26" x14ac:dyDescent="0.25">
      <c r="A464">
        <v>7</v>
      </c>
      <c r="B464" t="s">
        <v>433</v>
      </c>
      <c r="C464">
        <v>2</v>
      </c>
      <c r="D464" s="2">
        <v>45021</v>
      </c>
      <c r="E464" s="3">
        <v>3.6805555555555557E-2</v>
      </c>
      <c r="F464" s="2">
        <v>45021</v>
      </c>
      <c r="G464" s="3">
        <v>0.13402777777777777</v>
      </c>
      <c r="H464" s="1" t="s">
        <v>16</v>
      </c>
      <c r="I464" t="s">
        <v>8</v>
      </c>
      <c r="J464" t="s">
        <v>600</v>
      </c>
      <c r="K464" s="9">
        <v>17.07</v>
      </c>
      <c r="L464" t="s">
        <v>28</v>
      </c>
      <c r="M464">
        <v>463</v>
      </c>
      <c r="N464" t="s">
        <v>21</v>
      </c>
      <c r="O464" s="3">
        <f>(Sala[[#This Row],[Hora de Salida]]-Sala[[#This Row],[Hora de llegada]])+IF(Sala[[#This Row],[Estado de la Mesa]]="Ocupada",(TEXT((15/(60*24)),"h:mm")),(TEXT(0,"h:mm")))</f>
        <v>0.10763888888888888</v>
      </c>
      <c r="P464" s="43">
        <f>(SUMIF(Cocina[Número de Orden],Sala[[#This Row],[Número de Orden]],Cocina[Tiempo de Preparación]))</f>
        <v>14</v>
      </c>
      <c r="Q464" s="5" t="str">
        <f>TEXT(((SUMIF(Cocina[Número de Orden],Sala[[#This Row],[Número de Orden]],Cocina[Tiempo de Preparación]))/(60*24)),"h:mm")</f>
        <v>0:14</v>
      </c>
      <c r="R464" s="3">
        <f>MAX((Sala[[#This Row],[Tiempo de permanencia]]-Sala[[#This Row],[Tiempo de preparación (h)]]),0)</f>
        <v>9.7916666666666652E-2</v>
      </c>
      <c r="S464" s="8">
        <f>SUMIF(Cocina[Número de Orden],Sala[[#This Row],[Número de Orden]],Cocina[Ganancia bruta])</f>
        <v>93</v>
      </c>
      <c r="T464" s="8">
        <f>SUMIF(Cocina[Número de Orden],Sala[[#This Row],[Número de Orden]],Cocina[Costo Unitario])</f>
        <v>19</v>
      </c>
      <c r="U464" s="2">
        <f>Sala[[#This Row],[Fecha de Salida]]</f>
        <v>45021</v>
      </c>
      <c r="V464" s="7" t="str">
        <f>TEXT(Sala[[#This Row],[Fecha factura]],"dddd")</f>
        <v>miércoles</v>
      </c>
      <c r="W464" t="str">
        <f>IF(Sala[[#This Row],[Tiempo de degustación]]&gt;0,"Sí","No")</f>
        <v>Sí</v>
      </c>
      <c r="X464" t="str">
        <f>IF(Sala[[#This Row],[Cobrada]]="Sí",Sala[[#This Row],[Método de Pago]],"Impago")</f>
        <v>Tarjeta de débito</v>
      </c>
      <c r="Y464">
        <f>IF(Sala[[#This Row],[Cobrada]]="Sí",Sala[[#This Row],[Propina]],0)</f>
        <v>17.07</v>
      </c>
      <c r="Z464">
        <f>(IF(Sala[[#This Row],[Cobrada]]="Sí",Sala[[#This Row],[Monto total]],0))+Sala[[#This Row],[Propina real]]</f>
        <v>110.07</v>
      </c>
    </row>
    <row r="465" spans="1:26" x14ac:dyDescent="0.25">
      <c r="A465">
        <v>16</v>
      </c>
      <c r="B465" t="s">
        <v>103</v>
      </c>
      <c r="C465">
        <v>1</v>
      </c>
      <c r="D465" s="2">
        <v>45021</v>
      </c>
      <c r="E465" s="3">
        <v>5.6250000000000001E-2</v>
      </c>
      <c r="F465" s="2">
        <v>45021</v>
      </c>
      <c r="G465" s="3">
        <v>0.19375000000000001</v>
      </c>
      <c r="H465" s="1" t="s">
        <v>23</v>
      </c>
      <c r="I465" t="s">
        <v>8</v>
      </c>
      <c r="J465" t="s">
        <v>601</v>
      </c>
      <c r="K465" s="9">
        <v>48.5</v>
      </c>
      <c r="L465" t="s">
        <v>9</v>
      </c>
      <c r="M465">
        <v>464</v>
      </c>
      <c r="N465" t="s">
        <v>47</v>
      </c>
      <c r="O465" s="3">
        <f>(Sala[[#This Row],[Hora de Salida]]-Sala[[#This Row],[Hora de llegada]])+IF(Sala[[#This Row],[Estado de la Mesa]]="Ocupada",(TEXT((15/(60*24)),"h:mm")),(TEXT(0,"h:mm")))</f>
        <v>0.13750000000000001</v>
      </c>
      <c r="P465" s="43">
        <f>(SUMIF(Cocina[Número de Orden],Sala[[#This Row],[Número de Orden]],Cocina[Tiempo de Preparación]))</f>
        <v>84</v>
      </c>
      <c r="Q465" s="5" t="str">
        <f>TEXT(((SUMIF(Cocina[Número de Orden],Sala[[#This Row],[Número de Orden]],Cocina[Tiempo de Preparación]))/(60*24)),"h:mm")</f>
        <v>1:24</v>
      </c>
      <c r="R465" s="3">
        <f>MAX((Sala[[#This Row],[Tiempo de permanencia]]-Sala[[#This Row],[Tiempo de preparación (h)]]),0)</f>
        <v>7.9166666666666677E-2</v>
      </c>
      <c r="S465" s="8">
        <f>SUMIF(Cocina[Número de Orden],Sala[[#This Row],[Número de Orden]],Cocina[Ganancia bruta])</f>
        <v>154</v>
      </c>
      <c r="T465" s="8">
        <f>SUMIF(Cocina[Número de Orden],Sala[[#This Row],[Número de Orden]],Cocina[Costo Unitario])</f>
        <v>44</v>
      </c>
      <c r="U465" s="2">
        <f>Sala[[#This Row],[Fecha de Salida]]</f>
        <v>45021</v>
      </c>
      <c r="V465" s="7" t="str">
        <f>TEXT(Sala[[#This Row],[Fecha factura]],"dddd")</f>
        <v>miércoles</v>
      </c>
      <c r="W465" t="str">
        <f>IF(Sala[[#This Row],[Tiempo de degustación]]&gt;0,"Sí","No")</f>
        <v>Sí</v>
      </c>
      <c r="X465" t="str">
        <f>IF(Sala[[#This Row],[Cobrada]]="Sí",Sala[[#This Row],[Método de Pago]],"Impago")</f>
        <v>Tarjeta de crédito</v>
      </c>
      <c r="Y465">
        <f>IF(Sala[[#This Row],[Cobrada]]="Sí",Sala[[#This Row],[Propina]],0)</f>
        <v>48.5</v>
      </c>
      <c r="Z465">
        <f>(IF(Sala[[#This Row],[Cobrada]]="Sí",Sala[[#This Row],[Monto total]],0))+Sala[[#This Row],[Propina real]]</f>
        <v>202.5</v>
      </c>
    </row>
    <row r="466" spans="1:26" x14ac:dyDescent="0.25">
      <c r="A466">
        <v>4</v>
      </c>
      <c r="B466" t="s">
        <v>434</v>
      </c>
      <c r="C466">
        <v>2</v>
      </c>
      <c r="D466" s="2">
        <v>45021</v>
      </c>
      <c r="E466" s="3">
        <v>4.9305555555555554E-2</v>
      </c>
      <c r="F466" s="2">
        <v>45021</v>
      </c>
      <c r="G466" s="3">
        <v>0.15138888888888888</v>
      </c>
      <c r="H466" s="1" t="s">
        <v>11</v>
      </c>
      <c r="I466" t="s">
        <v>8</v>
      </c>
      <c r="J466" t="s">
        <v>601</v>
      </c>
      <c r="K466" s="9">
        <v>44.9</v>
      </c>
      <c r="L466" t="s">
        <v>28</v>
      </c>
      <c r="M466">
        <v>465</v>
      </c>
      <c r="N466" t="s">
        <v>34</v>
      </c>
      <c r="O466" s="3">
        <f>(Sala[[#This Row],[Hora de Salida]]-Sala[[#This Row],[Hora de llegada]])+IF(Sala[[#This Row],[Estado de la Mesa]]="Ocupada",(TEXT((15/(60*24)),"h:mm")),(TEXT(0,"h:mm")))</f>
        <v>0.1125</v>
      </c>
      <c r="P466" s="43">
        <f>(SUMIF(Cocina[Número de Orden],Sala[[#This Row],[Número de Orden]],Cocina[Tiempo de Preparación]))</f>
        <v>60</v>
      </c>
      <c r="Q466" s="5" t="str">
        <f>TEXT(((SUMIF(Cocina[Número de Orden],Sala[[#This Row],[Número de Orden]],Cocina[Tiempo de Preparación]))/(60*24)),"h:mm")</f>
        <v>1:00</v>
      </c>
      <c r="R466" s="3">
        <f>MAX((Sala[[#This Row],[Tiempo de permanencia]]-Sala[[#This Row],[Tiempo de preparación (h)]]),0)</f>
        <v>7.0833333333333331E-2</v>
      </c>
      <c r="S466" s="8">
        <f>SUMIF(Cocina[Número de Orden],Sala[[#This Row],[Número de Orden]],Cocina[Ganancia bruta])</f>
        <v>121</v>
      </c>
      <c r="T466" s="8">
        <f>SUMIF(Cocina[Número de Orden],Sala[[#This Row],[Número de Orden]],Cocina[Costo Unitario])</f>
        <v>29</v>
      </c>
      <c r="U466" s="2">
        <f>Sala[[#This Row],[Fecha de Salida]]</f>
        <v>45021</v>
      </c>
      <c r="V466" s="7" t="str">
        <f>TEXT(Sala[[#This Row],[Fecha factura]],"dddd")</f>
        <v>miércoles</v>
      </c>
      <c r="W466" t="str">
        <f>IF(Sala[[#This Row],[Tiempo de degustación]]&gt;0,"Sí","No")</f>
        <v>Sí</v>
      </c>
      <c r="X466" t="str">
        <f>IF(Sala[[#This Row],[Cobrada]]="Sí",Sala[[#This Row],[Método de Pago]],"Impago")</f>
        <v>Tarjeta de crédito</v>
      </c>
      <c r="Y466">
        <f>IF(Sala[[#This Row],[Cobrada]]="Sí",Sala[[#This Row],[Propina]],0)</f>
        <v>44.9</v>
      </c>
      <c r="Z466">
        <f>(IF(Sala[[#This Row],[Cobrada]]="Sí",Sala[[#This Row],[Monto total]],0))+Sala[[#This Row],[Propina real]]</f>
        <v>165.9</v>
      </c>
    </row>
    <row r="467" spans="1:26" x14ac:dyDescent="0.25">
      <c r="A467">
        <v>4</v>
      </c>
      <c r="B467" t="s">
        <v>435</v>
      </c>
      <c r="C467">
        <v>1</v>
      </c>
      <c r="D467" s="2">
        <v>45021</v>
      </c>
      <c r="E467" s="3">
        <v>7.9166666666666663E-2</v>
      </c>
      <c r="F467" s="2">
        <v>45021</v>
      </c>
      <c r="G467" s="3">
        <v>0.18055555555555555</v>
      </c>
      <c r="H467" s="1" t="s">
        <v>11</v>
      </c>
      <c r="I467" t="s">
        <v>8</v>
      </c>
      <c r="J467" t="s">
        <v>601</v>
      </c>
      <c r="K467" s="9">
        <v>26.63</v>
      </c>
      <c r="L467" t="s">
        <v>17</v>
      </c>
      <c r="M467">
        <v>466</v>
      </c>
      <c r="N467" t="s">
        <v>32</v>
      </c>
      <c r="O467" s="3">
        <f>(Sala[[#This Row],[Hora de Salida]]-Sala[[#This Row],[Hora de llegada]])+IF(Sala[[#This Row],[Estado de la Mesa]]="Ocupada",(TEXT((15/(60*24)),"h:mm")),(TEXT(0,"h:mm")))</f>
        <v>0.10138888888888889</v>
      </c>
      <c r="P467" s="43">
        <f>(SUMIF(Cocina[Número de Orden],Sala[[#This Row],[Número de Orden]],Cocina[Tiempo de Preparación]))</f>
        <v>145</v>
      </c>
      <c r="Q467" s="5" t="str">
        <f>TEXT(((SUMIF(Cocina[Número de Orden],Sala[[#This Row],[Número de Orden]],Cocina[Tiempo de Preparación]))/(60*24)),"h:mm")</f>
        <v>2:25</v>
      </c>
      <c r="R467" s="3">
        <f>MAX((Sala[[#This Row],[Tiempo de permanencia]]-Sala[[#This Row],[Tiempo de preparación (h)]]),0)</f>
        <v>6.9444444444444198E-4</v>
      </c>
      <c r="S467" s="8">
        <f>SUMIF(Cocina[Número de Orden],Sala[[#This Row],[Número de Orden]],Cocina[Ganancia bruta])</f>
        <v>140</v>
      </c>
      <c r="T467" s="8">
        <f>SUMIF(Cocina[Número de Orden],Sala[[#This Row],[Número de Orden]],Cocina[Costo Unitario])</f>
        <v>47</v>
      </c>
      <c r="U467" s="2">
        <f>Sala[[#This Row],[Fecha de Salida]]</f>
        <v>45021</v>
      </c>
      <c r="V467" s="7" t="str">
        <f>TEXT(Sala[[#This Row],[Fecha factura]],"dddd")</f>
        <v>miércoles</v>
      </c>
      <c r="W467" t="str">
        <f>IF(Sala[[#This Row],[Tiempo de degustación]]&gt;0,"Sí","No")</f>
        <v>Sí</v>
      </c>
      <c r="X467" t="str">
        <f>IF(Sala[[#This Row],[Cobrada]]="Sí",Sala[[#This Row],[Método de Pago]],"Impago")</f>
        <v>Tarjeta de crédito</v>
      </c>
      <c r="Y467">
        <f>IF(Sala[[#This Row],[Cobrada]]="Sí",Sala[[#This Row],[Propina]],0)</f>
        <v>26.63</v>
      </c>
      <c r="Z467">
        <f>(IF(Sala[[#This Row],[Cobrada]]="Sí",Sala[[#This Row],[Monto total]],0))+Sala[[#This Row],[Propina real]]</f>
        <v>166.63</v>
      </c>
    </row>
    <row r="468" spans="1:26" x14ac:dyDescent="0.25">
      <c r="A468">
        <v>15</v>
      </c>
      <c r="B468" t="s">
        <v>436</v>
      </c>
      <c r="C468">
        <v>3</v>
      </c>
      <c r="D468" s="2">
        <v>45021</v>
      </c>
      <c r="E468" s="3">
        <v>0.1125</v>
      </c>
      <c r="F468" s="2">
        <v>45021</v>
      </c>
      <c r="G468" s="3">
        <v>0.1763888888888889</v>
      </c>
      <c r="H468" s="1" t="s">
        <v>11</v>
      </c>
      <c r="I468" t="s">
        <v>8</v>
      </c>
      <c r="J468" t="s">
        <v>600</v>
      </c>
      <c r="K468" s="9">
        <v>42.31</v>
      </c>
      <c r="L468" t="s">
        <v>9</v>
      </c>
      <c r="M468">
        <v>467</v>
      </c>
      <c r="N468" t="s">
        <v>593</v>
      </c>
      <c r="O468" s="3">
        <f>(Sala[[#This Row],[Hora de Salida]]-Sala[[#This Row],[Hora de llegada]])+IF(Sala[[#This Row],[Estado de la Mesa]]="Ocupada",(TEXT((15/(60*24)),"h:mm")),(TEXT(0,"h:mm")))</f>
        <v>6.3888888888888898E-2</v>
      </c>
      <c r="P468" s="43">
        <f>(SUMIF(Cocina[Número de Orden],Sala[[#This Row],[Número de Orden]],Cocina[Tiempo de Preparación]))</f>
        <v>72</v>
      </c>
      <c r="Q468" s="5" t="str">
        <f>TEXT(((SUMIF(Cocina[Número de Orden],Sala[[#This Row],[Número de Orden]],Cocina[Tiempo de Preparación]))/(60*24)),"h:mm")</f>
        <v>1:12</v>
      </c>
      <c r="R468" s="3">
        <f>MAX((Sala[[#This Row],[Tiempo de permanencia]]-Sala[[#This Row],[Tiempo de preparación (h)]]),0)</f>
        <v>1.3888888888888895E-2</v>
      </c>
      <c r="S468" s="8">
        <f>SUMIF(Cocina[Número de Orden],Sala[[#This Row],[Número de Orden]],Cocina[Ganancia bruta])</f>
        <v>143</v>
      </c>
      <c r="T468" s="8">
        <f>SUMIF(Cocina[Número de Orden],Sala[[#This Row],[Número de Orden]],Cocina[Costo Unitario])</f>
        <v>33</v>
      </c>
      <c r="U468" s="2">
        <f>Sala[[#This Row],[Fecha de Salida]]</f>
        <v>45021</v>
      </c>
      <c r="V468" s="7" t="str">
        <f>TEXT(Sala[[#This Row],[Fecha factura]],"dddd")</f>
        <v>miércoles</v>
      </c>
      <c r="W468" t="str">
        <f>IF(Sala[[#This Row],[Tiempo de degustación]]&gt;0,"Sí","No")</f>
        <v>Sí</v>
      </c>
      <c r="X468" t="str">
        <f>IF(Sala[[#This Row],[Cobrada]]="Sí",Sala[[#This Row],[Método de Pago]],"Impago")</f>
        <v>Tarjeta de débito</v>
      </c>
      <c r="Y468">
        <f>IF(Sala[[#This Row],[Cobrada]]="Sí",Sala[[#This Row],[Propina]],0)</f>
        <v>42.31</v>
      </c>
      <c r="Z468">
        <f>(IF(Sala[[#This Row],[Cobrada]]="Sí",Sala[[#This Row],[Monto total]],0))+Sala[[#This Row],[Propina real]]</f>
        <v>185.31</v>
      </c>
    </row>
    <row r="469" spans="1:26" x14ac:dyDescent="0.25">
      <c r="A469">
        <v>14</v>
      </c>
      <c r="B469" t="s">
        <v>437</v>
      </c>
      <c r="C469">
        <v>6</v>
      </c>
      <c r="D469" s="2">
        <v>45021</v>
      </c>
      <c r="E469" s="3">
        <v>0.12430555555555556</v>
      </c>
      <c r="F469" s="2">
        <v>45021</v>
      </c>
      <c r="G469" s="3">
        <v>0.23958333333333334</v>
      </c>
      <c r="H469" s="1" t="s">
        <v>16</v>
      </c>
      <c r="I469" t="s">
        <v>12</v>
      </c>
      <c r="J469" t="s">
        <v>601</v>
      </c>
      <c r="K469" s="9">
        <v>14.28</v>
      </c>
      <c r="L469" t="s">
        <v>9</v>
      </c>
      <c r="M469">
        <v>468</v>
      </c>
      <c r="N469" t="s">
        <v>59</v>
      </c>
      <c r="O469" s="3">
        <f>(Sala[[#This Row],[Hora de Salida]]-Sala[[#This Row],[Hora de llegada]])+IF(Sala[[#This Row],[Estado de la Mesa]]="Ocupada",(TEXT((15/(60*24)),"h:mm")),(TEXT(0,"h:mm")))</f>
        <v>0.11527777777777778</v>
      </c>
      <c r="P469" s="43">
        <f>(SUMIF(Cocina[Número de Orden],Sala[[#This Row],[Número de Orden]],Cocina[Tiempo de Preparación]))</f>
        <v>63</v>
      </c>
      <c r="Q469" s="5" t="str">
        <f>TEXT(((SUMIF(Cocina[Número de Orden],Sala[[#This Row],[Número de Orden]],Cocina[Tiempo de Preparación]))/(60*24)),"h:mm")</f>
        <v>1:03</v>
      </c>
      <c r="R469" s="3">
        <f>MAX((Sala[[#This Row],[Tiempo de permanencia]]-Sala[[#This Row],[Tiempo de preparación (h)]]),0)</f>
        <v>7.1527777777777787E-2</v>
      </c>
      <c r="S469" s="8">
        <f>SUMIF(Cocina[Número de Orden],Sala[[#This Row],[Número de Orden]],Cocina[Ganancia bruta])</f>
        <v>106</v>
      </c>
      <c r="T469" s="8">
        <f>SUMIF(Cocina[Número de Orden],Sala[[#This Row],[Número de Orden]],Cocina[Costo Unitario])</f>
        <v>39</v>
      </c>
      <c r="U469" s="2">
        <f>Sala[[#This Row],[Fecha de Salida]]</f>
        <v>45021</v>
      </c>
      <c r="V469" s="7" t="str">
        <f>TEXT(Sala[[#This Row],[Fecha factura]],"dddd")</f>
        <v>miércoles</v>
      </c>
      <c r="W469" t="str">
        <f>IF(Sala[[#This Row],[Tiempo de degustación]]&gt;0,"Sí","No")</f>
        <v>Sí</v>
      </c>
      <c r="X469" t="str">
        <f>IF(Sala[[#This Row],[Cobrada]]="Sí",Sala[[#This Row],[Método de Pago]],"Impago")</f>
        <v>Tarjeta de crédito</v>
      </c>
      <c r="Y469">
        <f>IF(Sala[[#This Row],[Cobrada]]="Sí",Sala[[#This Row],[Propina]],0)</f>
        <v>14.28</v>
      </c>
      <c r="Z469">
        <f>(IF(Sala[[#This Row],[Cobrada]]="Sí",Sala[[#This Row],[Monto total]],0))+Sala[[#This Row],[Propina real]]</f>
        <v>120.28</v>
      </c>
    </row>
    <row r="470" spans="1:26" x14ac:dyDescent="0.25">
      <c r="A470">
        <v>1</v>
      </c>
      <c r="B470" t="s">
        <v>438</v>
      </c>
      <c r="C470">
        <v>2</v>
      </c>
      <c r="D470" s="2">
        <v>45021</v>
      </c>
      <c r="E470" s="3">
        <v>0.12291666666666666</v>
      </c>
      <c r="F470" s="2">
        <v>45021</v>
      </c>
      <c r="G470" s="3">
        <v>0.22361111111111112</v>
      </c>
      <c r="H470" s="1" t="s">
        <v>11</v>
      </c>
      <c r="I470" t="s">
        <v>25</v>
      </c>
      <c r="J470" t="s">
        <v>601</v>
      </c>
      <c r="K470" s="9">
        <v>25.26</v>
      </c>
      <c r="L470" t="s">
        <v>9</v>
      </c>
      <c r="M470">
        <v>469</v>
      </c>
      <c r="N470" t="s">
        <v>14</v>
      </c>
      <c r="O470" s="3">
        <f>(Sala[[#This Row],[Hora de Salida]]-Sala[[#This Row],[Hora de llegada]])+IF(Sala[[#This Row],[Estado de la Mesa]]="Ocupada",(TEXT((15/(60*24)),"h:mm")),(TEXT(0,"h:mm")))</f>
        <v>0.10069444444444446</v>
      </c>
      <c r="P470" s="43">
        <f>(SUMIF(Cocina[Número de Orden],Sala[[#This Row],[Número de Orden]],Cocina[Tiempo de Preparación]))</f>
        <v>66</v>
      </c>
      <c r="Q470" s="5" t="str">
        <f>TEXT(((SUMIF(Cocina[Número de Orden],Sala[[#This Row],[Número de Orden]],Cocina[Tiempo de Preparación]))/(60*24)),"h:mm")</f>
        <v>1:06</v>
      </c>
      <c r="R470" s="3">
        <f>MAX((Sala[[#This Row],[Tiempo de permanencia]]-Sala[[#This Row],[Tiempo de preparación (h)]]),0)</f>
        <v>5.4861111111111131E-2</v>
      </c>
      <c r="S470" s="8">
        <f>SUMIF(Cocina[Número de Orden],Sala[[#This Row],[Número de Orden]],Cocina[Ganancia bruta])</f>
        <v>137</v>
      </c>
      <c r="T470" s="8">
        <f>SUMIF(Cocina[Número de Orden],Sala[[#This Row],[Número de Orden]],Cocina[Costo Unitario])</f>
        <v>40</v>
      </c>
      <c r="U470" s="2">
        <f>Sala[[#This Row],[Fecha de Salida]]</f>
        <v>45021</v>
      </c>
      <c r="V470" s="7" t="str">
        <f>TEXT(Sala[[#This Row],[Fecha factura]],"dddd")</f>
        <v>miércoles</v>
      </c>
      <c r="W470" t="str">
        <f>IF(Sala[[#This Row],[Tiempo de degustación]]&gt;0,"Sí","No")</f>
        <v>Sí</v>
      </c>
      <c r="X470" t="str">
        <f>IF(Sala[[#This Row],[Cobrada]]="Sí",Sala[[#This Row],[Método de Pago]],"Impago")</f>
        <v>Tarjeta de crédito</v>
      </c>
      <c r="Y470">
        <f>IF(Sala[[#This Row],[Cobrada]]="Sí",Sala[[#This Row],[Propina]],0)</f>
        <v>25.26</v>
      </c>
      <c r="Z470">
        <f>(IF(Sala[[#This Row],[Cobrada]]="Sí",Sala[[#This Row],[Monto total]],0))+Sala[[#This Row],[Propina real]]</f>
        <v>162.26</v>
      </c>
    </row>
    <row r="471" spans="1:26" x14ac:dyDescent="0.25">
      <c r="A471">
        <v>17</v>
      </c>
      <c r="B471" t="s">
        <v>439</v>
      </c>
      <c r="C471">
        <v>3</v>
      </c>
      <c r="D471" s="2">
        <v>45021</v>
      </c>
      <c r="E471" s="3">
        <v>7.013888888888889E-2</v>
      </c>
      <c r="F471" s="2">
        <v>45021</v>
      </c>
      <c r="G471" s="3">
        <v>0.17847222222222223</v>
      </c>
      <c r="H471" s="1" t="s">
        <v>23</v>
      </c>
      <c r="I471" t="s">
        <v>8</v>
      </c>
      <c r="J471" t="s">
        <v>601</v>
      </c>
      <c r="K471" s="9">
        <v>47.46</v>
      </c>
      <c r="L471" t="s">
        <v>28</v>
      </c>
      <c r="M471">
        <v>470</v>
      </c>
      <c r="N471" t="s">
        <v>34</v>
      </c>
      <c r="O471" s="3">
        <f>(Sala[[#This Row],[Hora de Salida]]-Sala[[#This Row],[Hora de llegada]])+IF(Sala[[#This Row],[Estado de la Mesa]]="Ocupada",(TEXT((15/(60*24)),"h:mm")),(TEXT(0,"h:mm")))</f>
        <v>0.11875000000000001</v>
      </c>
      <c r="P471" s="43">
        <f>(SUMIF(Cocina[Número de Orden],Sala[[#This Row],[Número de Orden]],Cocina[Tiempo de Preparación]))</f>
        <v>72</v>
      </c>
      <c r="Q471" s="5" t="str">
        <f>TEXT(((SUMIF(Cocina[Número de Orden],Sala[[#This Row],[Número de Orden]],Cocina[Tiempo de Preparación]))/(60*24)),"h:mm")</f>
        <v>1:12</v>
      </c>
      <c r="R471" s="3">
        <f>MAX((Sala[[#This Row],[Tiempo de permanencia]]-Sala[[#This Row],[Tiempo de preparación (h)]]),0)</f>
        <v>6.8750000000000006E-2</v>
      </c>
      <c r="S471" s="8">
        <f>SUMIF(Cocina[Número de Orden],Sala[[#This Row],[Número de Orden]],Cocina[Ganancia bruta])</f>
        <v>78</v>
      </c>
      <c r="T471" s="8">
        <f>SUMIF(Cocina[Número de Orden],Sala[[#This Row],[Número de Orden]],Cocina[Costo Unitario])</f>
        <v>24</v>
      </c>
      <c r="U471" s="2">
        <f>Sala[[#This Row],[Fecha de Salida]]</f>
        <v>45021</v>
      </c>
      <c r="V471" s="7" t="str">
        <f>TEXT(Sala[[#This Row],[Fecha factura]],"dddd")</f>
        <v>miércoles</v>
      </c>
      <c r="W471" t="str">
        <f>IF(Sala[[#This Row],[Tiempo de degustación]]&gt;0,"Sí","No")</f>
        <v>Sí</v>
      </c>
      <c r="X471" t="str">
        <f>IF(Sala[[#This Row],[Cobrada]]="Sí",Sala[[#This Row],[Método de Pago]],"Impago")</f>
        <v>Tarjeta de crédito</v>
      </c>
      <c r="Y471">
        <f>IF(Sala[[#This Row],[Cobrada]]="Sí",Sala[[#This Row],[Propina]],0)</f>
        <v>47.46</v>
      </c>
      <c r="Z471">
        <f>(IF(Sala[[#This Row],[Cobrada]]="Sí",Sala[[#This Row],[Monto total]],0))+Sala[[#This Row],[Propina real]]</f>
        <v>125.46000000000001</v>
      </c>
    </row>
    <row r="472" spans="1:26" x14ac:dyDescent="0.25">
      <c r="A472">
        <v>7</v>
      </c>
      <c r="B472" t="s">
        <v>440</v>
      </c>
      <c r="C472">
        <v>6</v>
      </c>
      <c r="D472" s="2">
        <v>45021</v>
      </c>
      <c r="E472" s="3">
        <v>0.15</v>
      </c>
      <c r="F472" s="2">
        <v>45021</v>
      </c>
      <c r="G472" s="3">
        <v>0.23472222222222222</v>
      </c>
      <c r="H472" s="1" t="s">
        <v>23</v>
      </c>
      <c r="I472" t="s">
        <v>12</v>
      </c>
      <c r="J472" t="s">
        <v>600</v>
      </c>
      <c r="K472" s="9">
        <v>28.49</v>
      </c>
      <c r="L472" t="s">
        <v>9</v>
      </c>
      <c r="M472">
        <v>471</v>
      </c>
      <c r="N472" t="s">
        <v>593</v>
      </c>
      <c r="O472" s="3">
        <f>(Sala[[#This Row],[Hora de Salida]]-Sala[[#This Row],[Hora de llegada]])+IF(Sala[[#This Row],[Estado de la Mesa]]="Ocupada",(TEXT((15/(60*24)),"h:mm")),(TEXT(0,"h:mm")))</f>
        <v>8.4722222222222227E-2</v>
      </c>
      <c r="P472" s="43">
        <f>(SUMIF(Cocina[Número de Orden],Sala[[#This Row],[Número de Orden]],Cocina[Tiempo de Preparación]))</f>
        <v>57</v>
      </c>
      <c r="Q472" s="5" t="str">
        <f>TEXT(((SUMIF(Cocina[Número de Orden],Sala[[#This Row],[Número de Orden]],Cocina[Tiempo de Preparación]))/(60*24)),"h:mm")</f>
        <v>0:57</v>
      </c>
      <c r="R472" s="3">
        <f>MAX((Sala[[#This Row],[Tiempo de permanencia]]-Sala[[#This Row],[Tiempo de preparación (h)]]),0)</f>
        <v>4.5138888888888895E-2</v>
      </c>
      <c r="S472" s="8">
        <f>SUMIF(Cocina[Número de Orden],Sala[[#This Row],[Número de Orden]],Cocina[Ganancia bruta])</f>
        <v>105</v>
      </c>
      <c r="T472" s="8">
        <f>SUMIF(Cocina[Número de Orden],Sala[[#This Row],[Número de Orden]],Cocina[Costo Unitario])</f>
        <v>21</v>
      </c>
      <c r="U472" s="2">
        <f>Sala[[#This Row],[Fecha de Salida]]</f>
        <v>45021</v>
      </c>
      <c r="V472" s="7" t="str">
        <f>TEXT(Sala[[#This Row],[Fecha factura]],"dddd")</f>
        <v>miércoles</v>
      </c>
      <c r="W472" t="str">
        <f>IF(Sala[[#This Row],[Tiempo de degustación]]&gt;0,"Sí","No")</f>
        <v>Sí</v>
      </c>
      <c r="X472" t="str">
        <f>IF(Sala[[#This Row],[Cobrada]]="Sí",Sala[[#This Row],[Método de Pago]],"Impago")</f>
        <v>Tarjeta de débito</v>
      </c>
      <c r="Y472">
        <f>IF(Sala[[#This Row],[Cobrada]]="Sí",Sala[[#This Row],[Propina]],0)</f>
        <v>28.49</v>
      </c>
      <c r="Z472">
        <f>(IF(Sala[[#This Row],[Cobrada]]="Sí",Sala[[#This Row],[Monto total]],0))+Sala[[#This Row],[Propina real]]</f>
        <v>133.49</v>
      </c>
    </row>
    <row r="473" spans="1:26" x14ac:dyDescent="0.25">
      <c r="A473">
        <v>20</v>
      </c>
      <c r="B473" t="s">
        <v>441</v>
      </c>
      <c r="C473">
        <v>2</v>
      </c>
      <c r="D473" s="2">
        <v>45021</v>
      </c>
      <c r="E473" s="3">
        <v>0.16458333333333333</v>
      </c>
      <c r="F473" s="2">
        <v>45021</v>
      </c>
      <c r="G473" s="3">
        <v>0.28611111111111109</v>
      </c>
      <c r="H473" s="1" t="s">
        <v>16</v>
      </c>
      <c r="I473" t="s">
        <v>8</v>
      </c>
      <c r="J473" t="s">
        <v>13</v>
      </c>
      <c r="K473" s="9">
        <v>36.79</v>
      </c>
      <c r="L473" t="s">
        <v>28</v>
      </c>
      <c r="M473">
        <v>472</v>
      </c>
      <c r="N473" t="s">
        <v>34</v>
      </c>
      <c r="O473" s="3">
        <f>(Sala[[#This Row],[Hora de Salida]]-Sala[[#This Row],[Hora de llegada]])+IF(Sala[[#This Row],[Estado de la Mesa]]="Ocupada",(TEXT((15/(60*24)),"h:mm")),(TEXT(0,"h:mm")))</f>
        <v>0.13194444444444442</v>
      </c>
      <c r="P473" s="43">
        <f>(SUMIF(Cocina[Número de Orden],Sala[[#This Row],[Número de Orden]],Cocina[Tiempo de Preparación]))</f>
        <v>73</v>
      </c>
      <c r="Q473" s="5" t="str">
        <f>TEXT(((SUMIF(Cocina[Número de Orden],Sala[[#This Row],[Número de Orden]],Cocina[Tiempo de Preparación]))/(60*24)),"h:mm")</f>
        <v>1:13</v>
      </c>
      <c r="R473" s="3">
        <f>MAX((Sala[[#This Row],[Tiempo de permanencia]]-Sala[[#This Row],[Tiempo de preparación (h)]]),0)</f>
        <v>8.1249999999999975E-2</v>
      </c>
      <c r="S473" s="8">
        <f>SUMIF(Cocina[Número de Orden],Sala[[#This Row],[Número de Orden]],Cocina[Ganancia bruta])</f>
        <v>114</v>
      </c>
      <c r="T473" s="8">
        <f>SUMIF(Cocina[Número de Orden],Sala[[#This Row],[Número de Orden]],Cocina[Costo Unitario])</f>
        <v>34</v>
      </c>
      <c r="U473" s="2">
        <f>Sala[[#This Row],[Fecha de Salida]]</f>
        <v>45021</v>
      </c>
      <c r="V473" s="7" t="str">
        <f>TEXT(Sala[[#This Row],[Fecha factura]],"dddd")</f>
        <v>miércoles</v>
      </c>
      <c r="W473" t="str">
        <f>IF(Sala[[#This Row],[Tiempo de degustación]]&gt;0,"Sí","No")</f>
        <v>Sí</v>
      </c>
      <c r="X473" t="str">
        <f>IF(Sala[[#This Row],[Cobrada]]="Sí",Sala[[#This Row],[Método de Pago]],"Impago")</f>
        <v>Efectivo</v>
      </c>
      <c r="Y473">
        <f>IF(Sala[[#This Row],[Cobrada]]="Sí",Sala[[#This Row],[Propina]],0)</f>
        <v>36.79</v>
      </c>
      <c r="Z473">
        <f>(IF(Sala[[#This Row],[Cobrada]]="Sí",Sala[[#This Row],[Monto total]],0))+Sala[[#This Row],[Propina real]]</f>
        <v>150.79</v>
      </c>
    </row>
    <row r="474" spans="1:26" x14ac:dyDescent="0.25">
      <c r="A474">
        <v>13</v>
      </c>
      <c r="B474" t="s">
        <v>442</v>
      </c>
      <c r="C474">
        <v>4</v>
      </c>
      <c r="D474" s="2">
        <v>45022</v>
      </c>
      <c r="E474" s="3">
        <v>0.15</v>
      </c>
      <c r="F474" s="2">
        <v>45022</v>
      </c>
      <c r="G474" s="3">
        <v>0.29444444444444445</v>
      </c>
      <c r="H474" s="1" t="s">
        <v>16</v>
      </c>
      <c r="I474" t="s">
        <v>8</v>
      </c>
      <c r="J474" t="s">
        <v>600</v>
      </c>
      <c r="K474" s="9">
        <v>15.63</v>
      </c>
      <c r="L474" t="s">
        <v>28</v>
      </c>
      <c r="M474">
        <v>473</v>
      </c>
      <c r="N474" t="s">
        <v>21</v>
      </c>
      <c r="O474" s="3">
        <f>(Sala[[#This Row],[Hora de Salida]]-Sala[[#This Row],[Hora de llegada]])+IF(Sala[[#This Row],[Estado de la Mesa]]="Ocupada",(TEXT((15/(60*24)),"h:mm")),(TEXT(0,"h:mm")))</f>
        <v>0.15486111111111112</v>
      </c>
      <c r="P474" s="43">
        <f>(SUMIF(Cocina[Número de Orden],Sala[[#This Row],[Número de Orden]],Cocina[Tiempo de Preparación]))</f>
        <v>61</v>
      </c>
      <c r="Q474" s="5" t="str">
        <f>TEXT(((SUMIF(Cocina[Número de Orden],Sala[[#This Row],[Número de Orden]],Cocina[Tiempo de Preparación]))/(60*24)),"h:mm")</f>
        <v>1:01</v>
      </c>
      <c r="R474" s="3">
        <f>MAX((Sala[[#This Row],[Tiempo de permanencia]]-Sala[[#This Row],[Tiempo de preparación (h)]]),0)</f>
        <v>0.1125</v>
      </c>
      <c r="S474" s="8">
        <f>SUMIF(Cocina[Número de Orden],Sala[[#This Row],[Número de Orden]],Cocina[Ganancia bruta])</f>
        <v>79</v>
      </c>
      <c r="T474" s="8">
        <f>SUMIF(Cocina[Número de Orden],Sala[[#This Row],[Número de Orden]],Cocina[Costo Unitario])</f>
        <v>34</v>
      </c>
      <c r="U474" s="2">
        <f>Sala[[#This Row],[Fecha de Salida]]</f>
        <v>45022</v>
      </c>
      <c r="V474" s="7" t="str">
        <f>TEXT(Sala[[#This Row],[Fecha factura]],"dddd")</f>
        <v>jueves</v>
      </c>
      <c r="W474" t="str">
        <f>IF(Sala[[#This Row],[Tiempo de degustación]]&gt;0,"Sí","No")</f>
        <v>Sí</v>
      </c>
      <c r="X474" t="str">
        <f>IF(Sala[[#This Row],[Cobrada]]="Sí",Sala[[#This Row],[Método de Pago]],"Impago")</f>
        <v>Tarjeta de débito</v>
      </c>
      <c r="Y474">
        <f>IF(Sala[[#This Row],[Cobrada]]="Sí",Sala[[#This Row],[Propina]],0)</f>
        <v>15.63</v>
      </c>
      <c r="Z474">
        <f>(IF(Sala[[#This Row],[Cobrada]]="Sí",Sala[[#This Row],[Monto total]],0))+Sala[[#This Row],[Propina real]]</f>
        <v>94.63</v>
      </c>
    </row>
    <row r="475" spans="1:26" x14ac:dyDescent="0.25">
      <c r="A475">
        <v>2</v>
      </c>
      <c r="B475" t="s">
        <v>443</v>
      </c>
      <c r="C475">
        <v>6</v>
      </c>
      <c r="D475" s="2">
        <v>45022</v>
      </c>
      <c r="E475" s="3">
        <v>7.7777777777777779E-2</v>
      </c>
      <c r="F475" s="2">
        <v>45022</v>
      </c>
      <c r="G475" s="3">
        <v>0.14722222222222223</v>
      </c>
      <c r="H475" s="1" t="s">
        <v>23</v>
      </c>
      <c r="I475" t="s">
        <v>8</v>
      </c>
      <c r="J475" t="s">
        <v>601</v>
      </c>
      <c r="K475" s="9">
        <v>21.66</v>
      </c>
      <c r="L475" t="s">
        <v>17</v>
      </c>
      <c r="M475">
        <v>474</v>
      </c>
      <c r="N475" t="s">
        <v>593</v>
      </c>
      <c r="O475" s="3">
        <f>(Sala[[#This Row],[Hora de Salida]]-Sala[[#This Row],[Hora de llegada]])+IF(Sala[[#This Row],[Estado de la Mesa]]="Ocupada",(TEXT((15/(60*24)),"h:mm")),(TEXT(0,"h:mm")))</f>
        <v>6.9444444444444448E-2</v>
      </c>
      <c r="P475" s="43">
        <f>(SUMIF(Cocina[Número de Orden],Sala[[#This Row],[Número de Orden]],Cocina[Tiempo de Preparación]))</f>
        <v>161</v>
      </c>
      <c r="Q475" s="5" t="str">
        <f>TEXT(((SUMIF(Cocina[Número de Orden],Sala[[#This Row],[Número de Orden]],Cocina[Tiempo de Preparación]))/(60*24)),"h:mm")</f>
        <v>2:41</v>
      </c>
      <c r="R475" s="3">
        <f>MAX((Sala[[#This Row],[Tiempo de permanencia]]-Sala[[#This Row],[Tiempo de preparación (h)]]),0)</f>
        <v>0</v>
      </c>
      <c r="S475" s="8">
        <f>SUMIF(Cocina[Número de Orden],Sala[[#This Row],[Número de Orden]],Cocina[Ganancia bruta])</f>
        <v>178</v>
      </c>
      <c r="T475" s="8">
        <f>SUMIF(Cocina[Número de Orden],Sala[[#This Row],[Número de Orden]],Cocina[Costo Unitario])</f>
        <v>72</v>
      </c>
      <c r="U475" s="2">
        <f>Sala[[#This Row],[Fecha de Salida]]</f>
        <v>45022</v>
      </c>
      <c r="V475" s="7" t="str">
        <f>TEXT(Sala[[#This Row],[Fecha factura]],"dddd")</f>
        <v>jueves</v>
      </c>
      <c r="W475" t="str">
        <f>IF(Sala[[#This Row],[Tiempo de degustación]]&gt;0,"Sí","No")</f>
        <v>No</v>
      </c>
      <c r="X475" t="str">
        <f>IF(Sala[[#This Row],[Cobrada]]="Sí",Sala[[#This Row],[Método de Pago]],"Impago")</f>
        <v>Impago</v>
      </c>
      <c r="Y475">
        <f>IF(Sala[[#This Row],[Cobrada]]="Sí",Sala[[#This Row],[Propina]],0)</f>
        <v>0</v>
      </c>
      <c r="Z475">
        <f>(IF(Sala[[#This Row],[Cobrada]]="Sí",Sala[[#This Row],[Monto total]],0))+Sala[[#This Row],[Propina real]]</f>
        <v>0</v>
      </c>
    </row>
    <row r="476" spans="1:26" x14ac:dyDescent="0.25">
      <c r="A476">
        <v>18</v>
      </c>
      <c r="B476" t="s">
        <v>350</v>
      </c>
      <c r="C476">
        <v>4</v>
      </c>
      <c r="D476" s="2">
        <v>45022</v>
      </c>
      <c r="E476" s="3">
        <v>0.13680555555555557</v>
      </c>
      <c r="F476" s="2">
        <v>45022</v>
      </c>
      <c r="G476" s="3">
        <v>0.24305555555555555</v>
      </c>
      <c r="H476" s="1" t="s">
        <v>20</v>
      </c>
      <c r="I476" t="s">
        <v>25</v>
      </c>
      <c r="J476" t="s">
        <v>600</v>
      </c>
      <c r="K476" s="9">
        <v>19.55</v>
      </c>
      <c r="L476" t="s">
        <v>28</v>
      </c>
      <c r="M476">
        <v>475</v>
      </c>
      <c r="N476" t="s">
        <v>21</v>
      </c>
      <c r="O476" s="3">
        <f>(Sala[[#This Row],[Hora de Salida]]-Sala[[#This Row],[Hora de llegada]])+IF(Sala[[#This Row],[Estado de la Mesa]]="Ocupada",(TEXT((15/(60*24)),"h:mm")),(TEXT(0,"h:mm")))</f>
        <v>0.11666666666666665</v>
      </c>
      <c r="P476" s="43">
        <f>(SUMIF(Cocina[Número de Orden],Sala[[#This Row],[Número de Orden]],Cocina[Tiempo de Preparación]))</f>
        <v>35</v>
      </c>
      <c r="Q476" s="5" t="str">
        <f>TEXT(((SUMIF(Cocina[Número de Orden],Sala[[#This Row],[Número de Orden]],Cocina[Tiempo de Preparación]))/(60*24)),"h:mm")</f>
        <v>0:35</v>
      </c>
      <c r="R476" s="3">
        <f>MAX((Sala[[#This Row],[Tiempo de permanencia]]-Sala[[#This Row],[Tiempo de preparación (h)]]),0)</f>
        <v>9.2361111111111102E-2</v>
      </c>
      <c r="S476" s="8">
        <f>SUMIF(Cocina[Número de Orden],Sala[[#This Row],[Número de Orden]],Cocina[Ganancia bruta])</f>
        <v>174</v>
      </c>
      <c r="T476" s="8">
        <f>SUMIF(Cocina[Número de Orden],Sala[[#This Row],[Número de Orden]],Cocina[Costo Unitario])</f>
        <v>34</v>
      </c>
      <c r="U476" s="2">
        <f>Sala[[#This Row],[Fecha de Salida]]</f>
        <v>45022</v>
      </c>
      <c r="V476" s="7" t="str">
        <f>TEXT(Sala[[#This Row],[Fecha factura]],"dddd")</f>
        <v>jueves</v>
      </c>
      <c r="W476" t="str">
        <f>IF(Sala[[#This Row],[Tiempo de degustación]]&gt;0,"Sí","No")</f>
        <v>Sí</v>
      </c>
      <c r="X476" t="str">
        <f>IF(Sala[[#This Row],[Cobrada]]="Sí",Sala[[#This Row],[Método de Pago]],"Impago")</f>
        <v>Tarjeta de débito</v>
      </c>
      <c r="Y476">
        <f>IF(Sala[[#This Row],[Cobrada]]="Sí",Sala[[#This Row],[Propina]],0)</f>
        <v>19.55</v>
      </c>
      <c r="Z476">
        <f>(IF(Sala[[#This Row],[Cobrada]]="Sí",Sala[[#This Row],[Monto total]],0))+Sala[[#This Row],[Propina real]]</f>
        <v>193.55</v>
      </c>
    </row>
    <row r="477" spans="1:26" x14ac:dyDescent="0.25">
      <c r="A477">
        <v>13</v>
      </c>
      <c r="B477" t="s">
        <v>444</v>
      </c>
      <c r="C477">
        <v>2</v>
      </c>
      <c r="D477" s="2">
        <v>45022</v>
      </c>
      <c r="E477" s="3">
        <v>2.0833333333333333E-3</v>
      </c>
      <c r="F477" s="2">
        <v>45022</v>
      </c>
      <c r="G477" s="3">
        <v>7.4305555555555555E-2</v>
      </c>
      <c r="H477" s="1" t="s">
        <v>7</v>
      </c>
      <c r="I477" t="s">
        <v>12</v>
      </c>
      <c r="J477" t="s">
        <v>600</v>
      </c>
      <c r="K477" s="9">
        <v>43.53</v>
      </c>
      <c r="L477" t="s">
        <v>28</v>
      </c>
      <c r="M477">
        <v>476</v>
      </c>
      <c r="N477" t="s">
        <v>21</v>
      </c>
      <c r="O477" s="3">
        <f>(Sala[[#This Row],[Hora de Salida]]-Sala[[#This Row],[Hora de llegada]])+IF(Sala[[#This Row],[Estado de la Mesa]]="Ocupada",(TEXT((15/(60*24)),"h:mm")),(TEXT(0,"h:mm")))</f>
        <v>8.2638888888888887E-2</v>
      </c>
      <c r="P477" s="43">
        <f>(SUMIF(Cocina[Número de Orden],Sala[[#This Row],[Número de Orden]],Cocina[Tiempo de Preparación]))</f>
        <v>115</v>
      </c>
      <c r="Q477" s="5" t="str">
        <f>TEXT(((SUMIF(Cocina[Número de Orden],Sala[[#This Row],[Número de Orden]],Cocina[Tiempo de Preparación]))/(60*24)),"h:mm")</f>
        <v>1:55</v>
      </c>
      <c r="R477" s="3">
        <f>MAX((Sala[[#This Row],[Tiempo de permanencia]]-Sala[[#This Row],[Tiempo de preparación (h)]]),0)</f>
        <v>2.7777777777777818E-3</v>
      </c>
      <c r="S477" s="8">
        <f>SUMIF(Cocina[Número de Orden],Sala[[#This Row],[Número de Orden]],Cocina[Ganancia bruta])</f>
        <v>218</v>
      </c>
      <c r="T477" s="8">
        <f>SUMIF(Cocina[Número de Orden],Sala[[#This Row],[Número de Orden]],Cocina[Costo Unitario])</f>
        <v>78</v>
      </c>
      <c r="U477" s="2">
        <f>Sala[[#This Row],[Fecha de Salida]]</f>
        <v>45022</v>
      </c>
      <c r="V477" s="7" t="str">
        <f>TEXT(Sala[[#This Row],[Fecha factura]],"dddd")</f>
        <v>jueves</v>
      </c>
      <c r="W477" t="str">
        <f>IF(Sala[[#This Row],[Tiempo de degustación]]&gt;0,"Sí","No")</f>
        <v>Sí</v>
      </c>
      <c r="X477" t="str">
        <f>IF(Sala[[#This Row],[Cobrada]]="Sí",Sala[[#This Row],[Método de Pago]],"Impago")</f>
        <v>Tarjeta de débito</v>
      </c>
      <c r="Y477">
        <f>IF(Sala[[#This Row],[Cobrada]]="Sí",Sala[[#This Row],[Propina]],0)</f>
        <v>43.53</v>
      </c>
      <c r="Z477">
        <f>(IF(Sala[[#This Row],[Cobrada]]="Sí",Sala[[#This Row],[Monto total]],0))+Sala[[#This Row],[Propina real]]</f>
        <v>261.52999999999997</v>
      </c>
    </row>
    <row r="478" spans="1:26" x14ac:dyDescent="0.25">
      <c r="A478">
        <v>8</v>
      </c>
      <c r="B478" t="s">
        <v>445</v>
      </c>
      <c r="C478">
        <v>6</v>
      </c>
      <c r="D478" s="2">
        <v>45022</v>
      </c>
      <c r="E478" s="3">
        <v>6.8750000000000006E-2</v>
      </c>
      <c r="F478" s="2">
        <v>45022</v>
      </c>
      <c r="G478" s="3">
        <v>0.12361111111111112</v>
      </c>
      <c r="H478" s="1" t="s">
        <v>23</v>
      </c>
      <c r="I478" t="s">
        <v>12</v>
      </c>
      <c r="J478" t="s">
        <v>601</v>
      </c>
      <c r="K478" s="9">
        <v>33.85</v>
      </c>
      <c r="L478" t="s">
        <v>9</v>
      </c>
      <c r="M478">
        <v>477</v>
      </c>
      <c r="N478" t="s">
        <v>14</v>
      </c>
      <c r="O478" s="3">
        <f>(Sala[[#This Row],[Hora de Salida]]-Sala[[#This Row],[Hora de llegada]])+IF(Sala[[#This Row],[Estado de la Mesa]]="Ocupada",(TEXT((15/(60*24)),"h:mm")),(TEXT(0,"h:mm")))</f>
        <v>5.486111111111111E-2</v>
      </c>
      <c r="P478" s="43">
        <f>(SUMIF(Cocina[Número de Orden],Sala[[#This Row],[Número de Orden]],Cocina[Tiempo de Preparación]))</f>
        <v>115</v>
      </c>
      <c r="Q478" s="5" t="str">
        <f>TEXT(((SUMIF(Cocina[Número de Orden],Sala[[#This Row],[Número de Orden]],Cocina[Tiempo de Preparación]))/(60*24)),"h:mm")</f>
        <v>1:55</v>
      </c>
      <c r="R478" s="3">
        <f>MAX((Sala[[#This Row],[Tiempo de permanencia]]-Sala[[#This Row],[Tiempo de preparación (h)]]),0)</f>
        <v>0</v>
      </c>
      <c r="S478" s="8">
        <f>SUMIF(Cocina[Número de Orden],Sala[[#This Row],[Número de Orden]],Cocina[Ganancia bruta])</f>
        <v>204</v>
      </c>
      <c r="T478" s="8">
        <f>SUMIF(Cocina[Número de Orden],Sala[[#This Row],[Número de Orden]],Cocina[Costo Unitario])</f>
        <v>61</v>
      </c>
      <c r="U478" s="2">
        <f>Sala[[#This Row],[Fecha de Salida]]</f>
        <v>45022</v>
      </c>
      <c r="V478" s="7" t="str">
        <f>TEXT(Sala[[#This Row],[Fecha factura]],"dddd")</f>
        <v>jueves</v>
      </c>
      <c r="W478" t="str">
        <f>IF(Sala[[#This Row],[Tiempo de degustación]]&gt;0,"Sí","No")</f>
        <v>No</v>
      </c>
      <c r="X478" t="str">
        <f>IF(Sala[[#This Row],[Cobrada]]="Sí",Sala[[#This Row],[Método de Pago]],"Impago")</f>
        <v>Impago</v>
      </c>
      <c r="Y478">
        <f>IF(Sala[[#This Row],[Cobrada]]="Sí",Sala[[#This Row],[Propina]],0)</f>
        <v>0</v>
      </c>
      <c r="Z478">
        <f>(IF(Sala[[#This Row],[Cobrada]]="Sí",Sala[[#This Row],[Monto total]],0))+Sala[[#This Row],[Propina real]]</f>
        <v>0</v>
      </c>
    </row>
    <row r="479" spans="1:26" x14ac:dyDescent="0.25">
      <c r="A479">
        <v>7</v>
      </c>
      <c r="B479" t="s">
        <v>133</v>
      </c>
      <c r="C479">
        <v>5</v>
      </c>
      <c r="D479" s="2">
        <v>45022</v>
      </c>
      <c r="E479" s="3">
        <v>6.9444444444444447E-4</v>
      </c>
      <c r="F479" s="2">
        <v>45022</v>
      </c>
      <c r="G479" s="3">
        <v>0.14444444444444443</v>
      </c>
      <c r="H479" s="1" t="s">
        <v>11</v>
      </c>
      <c r="I479" t="s">
        <v>8</v>
      </c>
      <c r="J479" t="s">
        <v>13</v>
      </c>
      <c r="K479" s="9">
        <v>32.78</v>
      </c>
      <c r="L479" t="s">
        <v>28</v>
      </c>
      <c r="M479">
        <v>478</v>
      </c>
      <c r="N479" t="s">
        <v>32</v>
      </c>
      <c r="O479" s="3">
        <f>(Sala[[#This Row],[Hora de Salida]]-Sala[[#This Row],[Hora de llegada]])+IF(Sala[[#This Row],[Estado de la Mesa]]="Ocupada",(TEXT((15/(60*24)),"h:mm")),(TEXT(0,"h:mm")))</f>
        <v>0.15416666666666665</v>
      </c>
      <c r="P479" s="43">
        <f>(SUMIF(Cocina[Número de Orden],Sala[[#This Row],[Número de Orden]],Cocina[Tiempo de Preparación]))</f>
        <v>90</v>
      </c>
      <c r="Q479" s="5" t="str">
        <f>TEXT(((SUMIF(Cocina[Número de Orden],Sala[[#This Row],[Número de Orden]],Cocina[Tiempo de Preparación]))/(60*24)),"h:mm")</f>
        <v>1:30</v>
      </c>
      <c r="R479" s="3">
        <f>MAX((Sala[[#This Row],[Tiempo de permanencia]]-Sala[[#This Row],[Tiempo de preparación (h)]]),0)</f>
        <v>9.1666666666666646E-2</v>
      </c>
      <c r="S479" s="8">
        <f>SUMIF(Cocina[Número de Orden],Sala[[#This Row],[Número de Orden]],Cocina[Ganancia bruta])</f>
        <v>118</v>
      </c>
      <c r="T479" s="8">
        <f>SUMIF(Cocina[Número de Orden],Sala[[#This Row],[Número de Orden]],Cocina[Costo Unitario])</f>
        <v>35</v>
      </c>
      <c r="U479" s="2">
        <f>Sala[[#This Row],[Fecha de Salida]]</f>
        <v>45022</v>
      </c>
      <c r="V479" s="7" t="str">
        <f>TEXT(Sala[[#This Row],[Fecha factura]],"dddd")</f>
        <v>jueves</v>
      </c>
      <c r="W479" t="str">
        <f>IF(Sala[[#This Row],[Tiempo de degustación]]&gt;0,"Sí","No")</f>
        <v>Sí</v>
      </c>
      <c r="X479" t="str">
        <f>IF(Sala[[#This Row],[Cobrada]]="Sí",Sala[[#This Row],[Método de Pago]],"Impago")</f>
        <v>Efectivo</v>
      </c>
      <c r="Y479">
        <f>IF(Sala[[#This Row],[Cobrada]]="Sí",Sala[[#This Row],[Propina]],0)</f>
        <v>32.78</v>
      </c>
      <c r="Z479">
        <f>(IF(Sala[[#This Row],[Cobrada]]="Sí",Sala[[#This Row],[Monto total]],0))+Sala[[#This Row],[Propina real]]</f>
        <v>150.78</v>
      </c>
    </row>
    <row r="480" spans="1:26" x14ac:dyDescent="0.25">
      <c r="A480">
        <v>1</v>
      </c>
      <c r="B480" t="s">
        <v>84</v>
      </c>
      <c r="C480">
        <v>3</v>
      </c>
      <c r="D480" s="2">
        <v>45022</v>
      </c>
      <c r="E480" s="3">
        <v>2.9166666666666667E-2</v>
      </c>
      <c r="F480" s="2">
        <v>45022</v>
      </c>
      <c r="G480" s="3">
        <v>0.1875</v>
      </c>
      <c r="H480" s="1" t="s">
        <v>7</v>
      </c>
      <c r="I480" t="s">
        <v>8</v>
      </c>
      <c r="J480" t="s">
        <v>600</v>
      </c>
      <c r="K480" s="9">
        <v>39.58</v>
      </c>
      <c r="L480" t="s">
        <v>9</v>
      </c>
      <c r="M480">
        <v>479</v>
      </c>
      <c r="N480" t="s">
        <v>59</v>
      </c>
      <c r="O480" s="3">
        <f>(Sala[[#This Row],[Hora de Salida]]-Sala[[#This Row],[Hora de llegada]])+IF(Sala[[#This Row],[Estado de la Mesa]]="Ocupada",(TEXT((15/(60*24)),"h:mm")),(TEXT(0,"h:mm")))</f>
        <v>0.15833333333333333</v>
      </c>
      <c r="P480" s="43">
        <f>(SUMIF(Cocina[Número de Orden],Sala[[#This Row],[Número de Orden]],Cocina[Tiempo de Preparación]))</f>
        <v>83</v>
      </c>
      <c r="Q480" s="5" t="str">
        <f>TEXT(((SUMIF(Cocina[Número de Orden],Sala[[#This Row],[Número de Orden]],Cocina[Tiempo de Preparación]))/(60*24)),"h:mm")</f>
        <v>1:23</v>
      </c>
      <c r="R480" s="3">
        <f>MAX((Sala[[#This Row],[Tiempo de permanencia]]-Sala[[#This Row],[Tiempo de preparación (h)]]),0)</f>
        <v>0.10069444444444443</v>
      </c>
      <c r="S480" s="8">
        <f>SUMIF(Cocina[Número de Orden],Sala[[#This Row],[Número de Orden]],Cocina[Ganancia bruta])</f>
        <v>52</v>
      </c>
      <c r="T480" s="8">
        <f>SUMIF(Cocina[Número de Orden],Sala[[#This Row],[Número de Orden]],Cocina[Costo Unitario])</f>
        <v>30</v>
      </c>
      <c r="U480" s="2">
        <f>Sala[[#This Row],[Fecha de Salida]]</f>
        <v>45022</v>
      </c>
      <c r="V480" s="7" t="str">
        <f>TEXT(Sala[[#This Row],[Fecha factura]],"dddd")</f>
        <v>jueves</v>
      </c>
      <c r="W480" t="str">
        <f>IF(Sala[[#This Row],[Tiempo de degustación]]&gt;0,"Sí","No")</f>
        <v>Sí</v>
      </c>
      <c r="X480" t="str">
        <f>IF(Sala[[#This Row],[Cobrada]]="Sí",Sala[[#This Row],[Método de Pago]],"Impago")</f>
        <v>Tarjeta de débito</v>
      </c>
      <c r="Y480">
        <f>IF(Sala[[#This Row],[Cobrada]]="Sí",Sala[[#This Row],[Propina]],0)</f>
        <v>39.58</v>
      </c>
      <c r="Z480">
        <f>(IF(Sala[[#This Row],[Cobrada]]="Sí",Sala[[#This Row],[Monto total]],0))+Sala[[#This Row],[Propina real]]</f>
        <v>91.58</v>
      </c>
    </row>
    <row r="481" spans="1:26" x14ac:dyDescent="0.25">
      <c r="A481">
        <v>1</v>
      </c>
      <c r="B481" t="s">
        <v>446</v>
      </c>
      <c r="C481">
        <v>5</v>
      </c>
      <c r="D481" s="2">
        <v>45022</v>
      </c>
      <c r="E481" s="3">
        <v>0.14305555555555555</v>
      </c>
      <c r="F481" s="2">
        <v>45022</v>
      </c>
      <c r="G481" s="3">
        <v>0.30486111111111114</v>
      </c>
      <c r="H481" s="1" t="s">
        <v>20</v>
      </c>
      <c r="I481" t="s">
        <v>12</v>
      </c>
      <c r="J481" t="s">
        <v>13</v>
      </c>
      <c r="K481" s="9">
        <v>18.63</v>
      </c>
      <c r="L481" t="s">
        <v>9</v>
      </c>
      <c r="M481">
        <v>480</v>
      </c>
      <c r="N481" t="s">
        <v>34</v>
      </c>
      <c r="O481" s="3">
        <f>(Sala[[#This Row],[Hora de Salida]]-Sala[[#This Row],[Hora de llegada]])+IF(Sala[[#This Row],[Estado de la Mesa]]="Ocupada",(TEXT((15/(60*24)),"h:mm")),(TEXT(0,"h:mm")))</f>
        <v>0.16180555555555559</v>
      </c>
      <c r="P481" s="43">
        <f>(SUMIF(Cocina[Número de Orden],Sala[[#This Row],[Número de Orden]],Cocina[Tiempo de Preparación]))</f>
        <v>65</v>
      </c>
      <c r="Q481" s="5" t="str">
        <f>TEXT(((SUMIF(Cocina[Número de Orden],Sala[[#This Row],[Número de Orden]],Cocina[Tiempo de Preparación]))/(60*24)),"h:mm")</f>
        <v>1:05</v>
      </c>
      <c r="R481" s="3">
        <f>MAX((Sala[[#This Row],[Tiempo de permanencia]]-Sala[[#This Row],[Tiempo de preparación (h)]]),0)</f>
        <v>0.1166666666666667</v>
      </c>
      <c r="S481" s="8">
        <f>SUMIF(Cocina[Número de Orden],Sala[[#This Row],[Número de Orden]],Cocina[Ganancia bruta])</f>
        <v>159</v>
      </c>
      <c r="T481" s="8">
        <f>SUMIF(Cocina[Número de Orden],Sala[[#This Row],[Número de Orden]],Cocina[Costo Unitario])</f>
        <v>37</v>
      </c>
      <c r="U481" s="2">
        <f>Sala[[#This Row],[Fecha de Salida]]</f>
        <v>45022</v>
      </c>
      <c r="V481" s="7" t="str">
        <f>TEXT(Sala[[#This Row],[Fecha factura]],"dddd")</f>
        <v>jueves</v>
      </c>
      <c r="W481" t="str">
        <f>IF(Sala[[#This Row],[Tiempo de degustación]]&gt;0,"Sí","No")</f>
        <v>Sí</v>
      </c>
      <c r="X481" t="str">
        <f>IF(Sala[[#This Row],[Cobrada]]="Sí",Sala[[#This Row],[Método de Pago]],"Impago")</f>
        <v>Efectivo</v>
      </c>
      <c r="Y481">
        <f>IF(Sala[[#This Row],[Cobrada]]="Sí",Sala[[#This Row],[Propina]],0)</f>
        <v>18.63</v>
      </c>
      <c r="Z481">
        <f>(IF(Sala[[#This Row],[Cobrada]]="Sí",Sala[[#This Row],[Monto total]],0))+Sala[[#This Row],[Propina real]]</f>
        <v>177.63</v>
      </c>
    </row>
    <row r="482" spans="1:26" x14ac:dyDescent="0.25">
      <c r="A482">
        <v>9</v>
      </c>
      <c r="B482" t="s">
        <v>447</v>
      </c>
      <c r="C482">
        <v>4</v>
      </c>
      <c r="D482" s="2">
        <v>45022</v>
      </c>
      <c r="E482" s="3">
        <v>8.1250000000000003E-2</v>
      </c>
      <c r="F482" s="2">
        <v>45022</v>
      </c>
      <c r="G482" s="3">
        <v>0.19652777777777777</v>
      </c>
      <c r="H482" s="1" t="s">
        <v>11</v>
      </c>
      <c r="I482" t="s">
        <v>8</v>
      </c>
      <c r="J482" t="s">
        <v>601</v>
      </c>
      <c r="K482" s="9">
        <v>42.02</v>
      </c>
      <c r="L482" t="s">
        <v>9</v>
      </c>
      <c r="M482">
        <v>481</v>
      </c>
      <c r="N482" t="s">
        <v>593</v>
      </c>
      <c r="O482" s="3">
        <f>(Sala[[#This Row],[Hora de Salida]]-Sala[[#This Row],[Hora de llegada]])+IF(Sala[[#This Row],[Estado de la Mesa]]="Ocupada",(TEXT((15/(60*24)),"h:mm")),(TEXT(0,"h:mm")))</f>
        <v>0.11527777777777777</v>
      </c>
      <c r="P482" s="43">
        <f>(SUMIF(Cocina[Número de Orden],Sala[[#This Row],[Número de Orden]],Cocina[Tiempo de Preparación]))</f>
        <v>58</v>
      </c>
      <c r="Q482" s="5" t="str">
        <f>TEXT(((SUMIF(Cocina[Número de Orden],Sala[[#This Row],[Número de Orden]],Cocina[Tiempo de Preparación]))/(60*24)),"h:mm")</f>
        <v>0:58</v>
      </c>
      <c r="R482" s="3">
        <f>MAX((Sala[[#This Row],[Tiempo de permanencia]]-Sala[[#This Row],[Tiempo de preparación (h)]]),0)</f>
        <v>7.4999999999999983E-2</v>
      </c>
      <c r="S482" s="8">
        <f>SUMIF(Cocina[Número de Orden],Sala[[#This Row],[Número de Orden]],Cocina[Ganancia bruta])</f>
        <v>52</v>
      </c>
      <c r="T482" s="8">
        <f>SUMIF(Cocina[Número de Orden],Sala[[#This Row],[Número de Orden]],Cocina[Costo Unitario])</f>
        <v>15</v>
      </c>
      <c r="U482" s="2">
        <f>Sala[[#This Row],[Fecha de Salida]]</f>
        <v>45022</v>
      </c>
      <c r="V482" s="7" t="str">
        <f>TEXT(Sala[[#This Row],[Fecha factura]],"dddd")</f>
        <v>jueves</v>
      </c>
      <c r="W482" t="str">
        <f>IF(Sala[[#This Row],[Tiempo de degustación]]&gt;0,"Sí","No")</f>
        <v>Sí</v>
      </c>
      <c r="X482" t="str">
        <f>IF(Sala[[#This Row],[Cobrada]]="Sí",Sala[[#This Row],[Método de Pago]],"Impago")</f>
        <v>Tarjeta de crédito</v>
      </c>
      <c r="Y482">
        <f>IF(Sala[[#This Row],[Cobrada]]="Sí",Sala[[#This Row],[Propina]],0)</f>
        <v>42.02</v>
      </c>
      <c r="Z482">
        <f>(IF(Sala[[#This Row],[Cobrada]]="Sí",Sala[[#This Row],[Monto total]],0))+Sala[[#This Row],[Propina real]]</f>
        <v>94.02000000000001</v>
      </c>
    </row>
    <row r="483" spans="1:26" x14ac:dyDescent="0.25">
      <c r="A483">
        <v>9</v>
      </c>
      <c r="B483" t="s">
        <v>191</v>
      </c>
      <c r="C483">
        <v>4</v>
      </c>
      <c r="D483" s="2">
        <v>45022</v>
      </c>
      <c r="E483" s="3">
        <v>2.8472222222222222E-2</v>
      </c>
      <c r="F483" s="2">
        <v>45022</v>
      </c>
      <c r="G483" s="3">
        <v>0.12430555555555556</v>
      </c>
      <c r="H483" s="1" t="s">
        <v>7</v>
      </c>
      <c r="I483" t="s">
        <v>12</v>
      </c>
      <c r="J483" t="s">
        <v>601</v>
      </c>
      <c r="K483" s="9">
        <v>18.84</v>
      </c>
      <c r="L483" t="s">
        <v>17</v>
      </c>
      <c r="M483">
        <v>482</v>
      </c>
      <c r="N483" t="s">
        <v>14</v>
      </c>
      <c r="O483" s="3">
        <f>(Sala[[#This Row],[Hora de Salida]]-Sala[[#This Row],[Hora de llegada]])+IF(Sala[[#This Row],[Estado de la Mesa]]="Ocupada",(TEXT((15/(60*24)),"h:mm")),(TEXT(0,"h:mm")))</f>
        <v>9.583333333333334E-2</v>
      </c>
      <c r="P483" s="43">
        <f>(SUMIF(Cocina[Número de Orden],Sala[[#This Row],[Número de Orden]],Cocina[Tiempo de Preparación]))</f>
        <v>21</v>
      </c>
      <c r="Q483" s="5" t="str">
        <f>TEXT(((SUMIF(Cocina[Número de Orden],Sala[[#This Row],[Número de Orden]],Cocina[Tiempo de Preparación]))/(60*24)),"h:mm")</f>
        <v>0:21</v>
      </c>
      <c r="R483" s="3">
        <f>MAX((Sala[[#This Row],[Tiempo de permanencia]]-Sala[[#This Row],[Tiempo de preparación (h)]]),0)</f>
        <v>8.1250000000000003E-2</v>
      </c>
      <c r="S483" s="8">
        <f>SUMIF(Cocina[Número de Orden],Sala[[#This Row],[Número de Orden]],Cocina[Ganancia bruta])</f>
        <v>63</v>
      </c>
      <c r="T483" s="8">
        <f>SUMIF(Cocina[Número de Orden],Sala[[#This Row],[Número de Orden]],Cocina[Costo Unitario])</f>
        <v>13</v>
      </c>
      <c r="U483" s="2">
        <f>Sala[[#This Row],[Fecha de Salida]]</f>
        <v>45022</v>
      </c>
      <c r="V483" s="7" t="str">
        <f>TEXT(Sala[[#This Row],[Fecha factura]],"dddd")</f>
        <v>jueves</v>
      </c>
      <c r="W483" t="str">
        <f>IF(Sala[[#This Row],[Tiempo de degustación]]&gt;0,"Sí","No")</f>
        <v>Sí</v>
      </c>
      <c r="X483" t="str">
        <f>IF(Sala[[#This Row],[Cobrada]]="Sí",Sala[[#This Row],[Método de Pago]],"Impago")</f>
        <v>Tarjeta de crédito</v>
      </c>
      <c r="Y483">
        <f>IF(Sala[[#This Row],[Cobrada]]="Sí",Sala[[#This Row],[Propina]],0)</f>
        <v>18.84</v>
      </c>
      <c r="Z483">
        <f>(IF(Sala[[#This Row],[Cobrada]]="Sí",Sala[[#This Row],[Monto total]],0))+Sala[[#This Row],[Propina real]]</f>
        <v>81.84</v>
      </c>
    </row>
    <row r="484" spans="1:26" x14ac:dyDescent="0.25">
      <c r="A484">
        <v>2</v>
      </c>
      <c r="B484" t="s">
        <v>448</v>
      </c>
      <c r="C484">
        <v>4</v>
      </c>
      <c r="D484" s="2">
        <v>45022</v>
      </c>
      <c r="E484" s="3">
        <v>0.15972222222222221</v>
      </c>
      <c r="F484" s="2">
        <v>45022</v>
      </c>
      <c r="G484" s="3">
        <v>0.29236111111111113</v>
      </c>
      <c r="H484" s="1" t="s">
        <v>11</v>
      </c>
      <c r="I484" t="s">
        <v>8</v>
      </c>
      <c r="J484" t="s">
        <v>601</v>
      </c>
      <c r="K484" s="9">
        <v>12.74</v>
      </c>
      <c r="L484" t="s">
        <v>9</v>
      </c>
      <c r="M484">
        <v>483</v>
      </c>
      <c r="N484" t="s">
        <v>44</v>
      </c>
      <c r="O484" s="3">
        <f>(Sala[[#This Row],[Hora de Salida]]-Sala[[#This Row],[Hora de llegada]])+IF(Sala[[#This Row],[Estado de la Mesa]]="Ocupada",(TEXT((15/(60*24)),"h:mm")),(TEXT(0,"h:mm")))</f>
        <v>0.13263888888888892</v>
      </c>
      <c r="P484" s="43">
        <f>(SUMIF(Cocina[Número de Orden],Sala[[#This Row],[Número de Orden]],Cocina[Tiempo de Preparación]))</f>
        <v>53</v>
      </c>
      <c r="Q484" s="5" t="str">
        <f>TEXT(((SUMIF(Cocina[Número de Orden],Sala[[#This Row],[Número de Orden]],Cocina[Tiempo de Preparación]))/(60*24)),"h:mm")</f>
        <v>0:53</v>
      </c>
      <c r="R484" s="3">
        <f>MAX((Sala[[#This Row],[Tiempo de permanencia]]-Sala[[#This Row],[Tiempo de preparación (h)]]),0)</f>
        <v>9.5833333333333354E-2</v>
      </c>
      <c r="S484" s="8">
        <f>SUMIF(Cocina[Número de Orden],Sala[[#This Row],[Número de Orden]],Cocina[Ganancia bruta])</f>
        <v>81</v>
      </c>
      <c r="T484" s="8">
        <f>SUMIF(Cocina[Número de Orden],Sala[[#This Row],[Número de Orden]],Cocina[Costo Unitario])</f>
        <v>16</v>
      </c>
      <c r="U484" s="2">
        <f>Sala[[#This Row],[Fecha de Salida]]</f>
        <v>45022</v>
      </c>
      <c r="V484" s="7" t="str">
        <f>TEXT(Sala[[#This Row],[Fecha factura]],"dddd")</f>
        <v>jueves</v>
      </c>
      <c r="W484" t="str">
        <f>IF(Sala[[#This Row],[Tiempo de degustación]]&gt;0,"Sí","No")</f>
        <v>Sí</v>
      </c>
      <c r="X484" t="str">
        <f>IF(Sala[[#This Row],[Cobrada]]="Sí",Sala[[#This Row],[Método de Pago]],"Impago")</f>
        <v>Tarjeta de crédito</v>
      </c>
      <c r="Y484">
        <f>IF(Sala[[#This Row],[Cobrada]]="Sí",Sala[[#This Row],[Propina]],0)</f>
        <v>12.74</v>
      </c>
      <c r="Z484">
        <f>(IF(Sala[[#This Row],[Cobrada]]="Sí",Sala[[#This Row],[Monto total]],0))+Sala[[#This Row],[Propina real]]</f>
        <v>93.74</v>
      </c>
    </row>
    <row r="485" spans="1:26" x14ac:dyDescent="0.25">
      <c r="A485">
        <v>18</v>
      </c>
      <c r="B485" t="s">
        <v>449</v>
      </c>
      <c r="C485">
        <v>2</v>
      </c>
      <c r="D485" s="2">
        <v>45022</v>
      </c>
      <c r="E485" s="3">
        <v>6.458333333333334E-2</v>
      </c>
      <c r="F485" s="2">
        <v>45022</v>
      </c>
      <c r="G485" s="3">
        <v>0.18819444444444444</v>
      </c>
      <c r="H485" s="1" t="s">
        <v>23</v>
      </c>
      <c r="I485" t="s">
        <v>8</v>
      </c>
      <c r="J485" t="s">
        <v>601</v>
      </c>
      <c r="K485" s="9">
        <v>22.76</v>
      </c>
      <c r="L485" t="s">
        <v>17</v>
      </c>
      <c r="M485">
        <v>484</v>
      </c>
      <c r="N485" t="s">
        <v>47</v>
      </c>
      <c r="O485" s="3">
        <f>(Sala[[#This Row],[Hora de Salida]]-Sala[[#This Row],[Hora de llegada]])+IF(Sala[[#This Row],[Estado de la Mesa]]="Ocupada",(TEXT((15/(60*24)),"h:mm")),(TEXT(0,"h:mm")))</f>
        <v>0.1236111111111111</v>
      </c>
      <c r="P485" s="43">
        <f>(SUMIF(Cocina[Número de Orden],Sala[[#This Row],[Número de Orden]],Cocina[Tiempo de Preparación]))</f>
        <v>34</v>
      </c>
      <c r="Q485" s="5" t="str">
        <f>TEXT(((SUMIF(Cocina[Número de Orden],Sala[[#This Row],[Número de Orden]],Cocina[Tiempo de Preparación]))/(60*24)),"h:mm")</f>
        <v>0:34</v>
      </c>
      <c r="R485" s="3">
        <f>MAX((Sala[[#This Row],[Tiempo de permanencia]]-Sala[[#This Row],[Tiempo de preparación (h)]]),0)</f>
        <v>9.9999999999999992E-2</v>
      </c>
      <c r="S485" s="8">
        <f>SUMIF(Cocina[Número de Orden],Sala[[#This Row],[Número de Orden]],Cocina[Ganancia bruta])</f>
        <v>75</v>
      </c>
      <c r="T485" s="8">
        <f>SUMIF(Cocina[Número de Orden],Sala[[#This Row],[Número de Orden]],Cocina[Costo Unitario])</f>
        <v>15</v>
      </c>
      <c r="U485" s="2">
        <f>Sala[[#This Row],[Fecha de Salida]]</f>
        <v>45022</v>
      </c>
      <c r="V485" s="7" t="str">
        <f>TEXT(Sala[[#This Row],[Fecha factura]],"dddd")</f>
        <v>jueves</v>
      </c>
      <c r="W485" t="str">
        <f>IF(Sala[[#This Row],[Tiempo de degustación]]&gt;0,"Sí","No")</f>
        <v>Sí</v>
      </c>
      <c r="X485" t="str">
        <f>IF(Sala[[#This Row],[Cobrada]]="Sí",Sala[[#This Row],[Método de Pago]],"Impago")</f>
        <v>Tarjeta de crédito</v>
      </c>
      <c r="Y485">
        <f>IF(Sala[[#This Row],[Cobrada]]="Sí",Sala[[#This Row],[Propina]],0)</f>
        <v>22.76</v>
      </c>
      <c r="Z485">
        <f>(IF(Sala[[#This Row],[Cobrada]]="Sí",Sala[[#This Row],[Monto total]],0))+Sala[[#This Row],[Propina real]]</f>
        <v>97.76</v>
      </c>
    </row>
    <row r="486" spans="1:26" x14ac:dyDescent="0.25">
      <c r="A486">
        <v>6</v>
      </c>
      <c r="B486" t="s">
        <v>340</v>
      </c>
      <c r="C486">
        <v>5</v>
      </c>
      <c r="D486" s="2">
        <v>45022</v>
      </c>
      <c r="E486" s="3">
        <v>4.1666666666666664E-2</v>
      </c>
      <c r="F486" s="2">
        <v>45022</v>
      </c>
      <c r="G486" s="3">
        <v>0.11944444444444445</v>
      </c>
      <c r="H486" s="1" t="s">
        <v>20</v>
      </c>
      <c r="I486" t="s">
        <v>25</v>
      </c>
      <c r="J486" t="s">
        <v>601</v>
      </c>
      <c r="K486" s="9">
        <v>39.07</v>
      </c>
      <c r="L486" t="s">
        <v>9</v>
      </c>
      <c r="M486">
        <v>485</v>
      </c>
      <c r="N486" t="s">
        <v>32</v>
      </c>
      <c r="O486" s="3">
        <f>(Sala[[#This Row],[Hora de Salida]]-Sala[[#This Row],[Hora de llegada]])+IF(Sala[[#This Row],[Estado de la Mesa]]="Ocupada",(TEXT((15/(60*24)),"h:mm")),(TEXT(0,"h:mm")))</f>
        <v>7.7777777777777779E-2</v>
      </c>
      <c r="P486" s="43">
        <f>(SUMIF(Cocina[Número de Orden],Sala[[#This Row],[Número de Orden]],Cocina[Tiempo de Preparación]))</f>
        <v>79</v>
      </c>
      <c r="Q486" s="5" t="str">
        <f>TEXT(((SUMIF(Cocina[Número de Orden],Sala[[#This Row],[Número de Orden]],Cocina[Tiempo de Preparación]))/(60*24)),"h:mm")</f>
        <v>1:19</v>
      </c>
      <c r="R486" s="3">
        <f>MAX((Sala[[#This Row],[Tiempo de permanencia]]-Sala[[#This Row],[Tiempo de preparación (h)]]),0)</f>
        <v>2.2916666666666669E-2</v>
      </c>
      <c r="S486" s="8">
        <f>SUMIF(Cocina[Número de Orden],Sala[[#This Row],[Número de Orden]],Cocina[Ganancia bruta])</f>
        <v>144</v>
      </c>
      <c r="T486" s="8">
        <f>SUMIF(Cocina[Número de Orden],Sala[[#This Row],[Número de Orden]],Cocina[Costo Unitario])</f>
        <v>36</v>
      </c>
      <c r="U486" s="2">
        <f>Sala[[#This Row],[Fecha de Salida]]</f>
        <v>45022</v>
      </c>
      <c r="V486" s="7" t="str">
        <f>TEXT(Sala[[#This Row],[Fecha factura]],"dddd")</f>
        <v>jueves</v>
      </c>
      <c r="W486" t="str">
        <f>IF(Sala[[#This Row],[Tiempo de degustación]]&gt;0,"Sí","No")</f>
        <v>Sí</v>
      </c>
      <c r="X486" t="str">
        <f>IF(Sala[[#This Row],[Cobrada]]="Sí",Sala[[#This Row],[Método de Pago]],"Impago")</f>
        <v>Tarjeta de crédito</v>
      </c>
      <c r="Y486">
        <f>IF(Sala[[#This Row],[Cobrada]]="Sí",Sala[[#This Row],[Propina]],0)</f>
        <v>39.07</v>
      </c>
      <c r="Z486">
        <f>(IF(Sala[[#This Row],[Cobrada]]="Sí",Sala[[#This Row],[Monto total]],0))+Sala[[#This Row],[Propina real]]</f>
        <v>183.07</v>
      </c>
    </row>
    <row r="487" spans="1:26" x14ac:dyDescent="0.25">
      <c r="A487">
        <v>15</v>
      </c>
      <c r="B487" t="s">
        <v>450</v>
      </c>
      <c r="C487">
        <v>3</v>
      </c>
      <c r="D487" s="2">
        <v>45022</v>
      </c>
      <c r="E487" s="3">
        <v>0.11597222222222223</v>
      </c>
      <c r="F487" s="2">
        <v>45022</v>
      </c>
      <c r="G487" s="3">
        <v>0.25833333333333336</v>
      </c>
      <c r="H487" s="1" t="s">
        <v>11</v>
      </c>
      <c r="I487" t="s">
        <v>12</v>
      </c>
      <c r="J487" t="s">
        <v>600</v>
      </c>
      <c r="K487" s="9">
        <v>12.66</v>
      </c>
      <c r="L487" t="s">
        <v>28</v>
      </c>
      <c r="M487">
        <v>486</v>
      </c>
      <c r="N487" t="s">
        <v>14</v>
      </c>
      <c r="O487" s="3">
        <f>(Sala[[#This Row],[Hora de Salida]]-Sala[[#This Row],[Hora de llegada]])+IF(Sala[[#This Row],[Estado de la Mesa]]="Ocupada",(TEXT((15/(60*24)),"h:mm")),(TEXT(0,"h:mm")))</f>
        <v>0.15277777777777779</v>
      </c>
      <c r="P487" s="43">
        <f>(SUMIF(Cocina[Número de Orden],Sala[[#This Row],[Número de Orden]],Cocina[Tiempo de Preparación]))</f>
        <v>59</v>
      </c>
      <c r="Q487" s="5" t="str">
        <f>TEXT(((SUMIF(Cocina[Número de Orden],Sala[[#This Row],[Número de Orden]],Cocina[Tiempo de Preparación]))/(60*24)),"h:mm")</f>
        <v>0:59</v>
      </c>
      <c r="R487" s="3">
        <f>MAX((Sala[[#This Row],[Tiempo de permanencia]]-Sala[[#This Row],[Tiempo de preparación (h)]]),0)</f>
        <v>0.11180555555555557</v>
      </c>
      <c r="S487" s="8">
        <f>SUMIF(Cocina[Número de Orden],Sala[[#This Row],[Número de Orden]],Cocina[Ganancia bruta])</f>
        <v>150</v>
      </c>
      <c r="T487" s="8">
        <f>SUMIF(Cocina[Número de Orden],Sala[[#This Row],[Número de Orden]],Cocina[Costo Unitario])</f>
        <v>68</v>
      </c>
      <c r="U487" s="2">
        <f>Sala[[#This Row],[Fecha de Salida]]</f>
        <v>45022</v>
      </c>
      <c r="V487" s="7" t="str">
        <f>TEXT(Sala[[#This Row],[Fecha factura]],"dddd")</f>
        <v>jueves</v>
      </c>
      <c r="W487" t="str">
        <f>IF(Sala[[#This Row],[Tiempo de degustación]]&gt;0,"Sí","No")</f>
        <v>Sí</v>
      </c>
      <c r="X487" t="str">
        <f>IF(Sala[[#This Row],[Cobrada]]="Sí",Sala[[#This Row],[Método de Pago]],"Impago")</f>
        <v>Tarjeta de débito</v>
      </c>
      <c r="Y487">
        <f>IF(Sala[[#This Row],[Cobrada]]="Sí",Sala[[#This Row],[Propina]],0)</f>
        <v>12.66</v>
      </c>
      <c r="Z487">
        <f>(IF(Sala[[#This Row],[Cobrada]]="Sí",Sala[[#This Row],[Monto total]],0))+Sala[[#This Row],[Propina real]]</f>
        <v>162.66</v>
      </c>
    </row>
    <row r="488" spans="1:26" x14ac:dyDescent="0.25">
      <c r="A488">
        <v>17</v>
      </c>
      <c r="B488" t="s">
        <v>97</v>
      </c>
      <c r="C488">
        <v>1</v>
      </c>
      <c r="D488" s="2">
        <v>45022</v>
      </c>
      <c r="E488" s="3">
        <v>6.5277777777777782E-2</v>
      </c>
      <c r="F488" s="2">
        <v>45022</v>
      </c>
      <c r="G488" s="3">
        <v>0.15972222222222221</v>
      </c>
      <c r="H488" s="1" t="s">
        <v>11</v>
      </c>
      <c r="I488" t="s">
        <v>8</v>
      </c>
      <c r="J488" t="s">
        <v>601</v>
      </c>
      <c r="K488" s="9">
        <v>45.76</v>
      </c>
      <c r="L488" t="s">
        <v>28</v>
      </c>
      <c r="M488">
        <v>487</v>
      </c>
      <c r="N488" t="s">
        <v>21</v>
      </c>
      <c r="O488" s="3">
        <f>(Sala[[#This Row],[Hora de Salida]]-Sala[[#This Row],[Hora de llegada]])+IF(Sala[[#This Row],[Estado de la Mesa]]="Ocupada",(TEXT((15/(60*24)),"h:mm")),(TEXT(0,"h:mm")))</f>
        <v>0.1048611111111111</v>
      </c>
      <c r="P488" s="43">
        <f>(SUMIF(Cocina[Número de Orden],Sala[[#This Row],[Número de Orden]],Cocina[Tiempo de Preparación]))</f>
        <v>92</v>
      </c>
      <c r="Q488" s="5" t="str">
        <f>TEXT(((SUMIF(Cocina[Número de Orden],Sala[[#This Row],[Número de Orden]],Cocina[Tiempo de Preparación]))/(60*24)),"h:mm")</f>
        <v>1:32</v>
      </c>
      <c r="R488" s="3">
        <f>MAX((Sala[[#This Row],[Tiempo de permanencia]]-Sala[[#This Row],[Tiempo de preparación (h)]]),0)</f>
        <v>4.0972222222222215E-2</v>
      </c>
      <c r="S488" s="8">
        <f>SUMIF(Cocina[Número de Orden],Sala[[#This Row],[Número de Orden]],Cocina[Ganancia bruta])</f>
        <v>152</v>
      </c>
      <c r="T488" s="8">
        <f>SUMIF(Cocina[Número de Orden],Sala[[#This Row],[Número de Orden]],Cocina[Costo Unitario])</f>
        <v>52</v>
      </c>
      <c r="U488" s="2">
        <f>Sala[[#This Row],[Fecha de Salida]]</f>
        <v>45022</v>
      </c>
      <c r="V488" s="7" t="str">
        <f>TEXT(Sala[[#This Row],[Fecha factura]],"dddd")</f>
        <v>jueves</v>
      </c>
      <c r="W488" t="str">
        <f>IF(Sala[[#This Row],[Tiempo de degustación]]&gt;0,"Sí","No")</f>
        <v>Sí</v>
      </c>
      <c r="X488" t="str">
        <f>IF(Sala[[#This Row],[Cobrada]]="Sí",Sala[[#This Row],[Método de Pago]],"Impago")</f>
        <v>Tarjeta de crédito</v>
      </c>
      <c r="Y488">
        <f>IF(Sala[[#This Row],[Cobrada]]="Sí",Sala[[#This Row],[Propina]],0)</f>
        <v>45.76</v>
      </c>
      <c r="Z488">
        <f>(IF(Sala[[#This Row],[Cobrada]]="Sí",Sala[[#This Row],[Monto total]],0))+Sala[[#This Row],[Propina real]]</f>
        <v>197.76</v>
      </c>
    </row>
    <row r="489" spans="1:26" x14ac:dyDescent="0.25">
      <c r="A489">
        <v>10</v>
      </c>
      <c r="B489" t="s">
        <v>451</v>
      </c>
      <c r="C489">
        <v>4</v>
      </c>
      <c r="D489" s="2">
        <v>45022</v>
      </c>
      <c r="E489" s="3">
        <v>0</v>
      </c>
      <c r="F489" s="2">
        <v>45022</v>
      </c>
      <c r="G489" s="3">
        <v>8.1944444444444445E-2</v>
      </c>
      <c r="H489" s="1" t="s">
        <v>7</v>
      </c>
      <c r="I489" t="s">
        <v>8</v>
      </c>
      <c r="J489" t="s">
        <v>600</v>
      </c>
      <c r="K489" s="9">
        <v>37.380000000000003</v>
      </c>
      <c r="L489" t="s">
        <v>17</v>
      </c>
      <c r="M489">
        <v>488</v>
      </c>
      <c r="N489" t="s">
        <v>59</v>
      </c>
      <c r="O489" s="3">
        <f>(Sala[[#This Row],[Hora de Salida]]-Sala[[#This Row],[Hora de llegada]])+IF(Sala[[#This Row],[Estado de la Mesa]]="Ocupada",(TEXT((15/(60*24)),"h:mm")),(TEXT(0,"h:mm")))</f>
        <v>8.1944444444444445E-2</v>
      </c>
      <c r="P489" s="43">
        <f>(SUMIF(Cocina[Número de Orden],Sala[[#This Row],[Número de Orden]],Cocina[Tiempo de Preparación]))</f>
        <v>124</v>
      </c>
      <c r="Q489" s="5" t="str">
        <f>TEXT(((SUMIF(Cocina[Número de Orden],Sala[[#This Row],[Número de Orden]],Cocina[Tiempo de Preparación]))/(60*24)),"h:mm")</f>
        <v>2:04</v>
      </c>
      <c r="R489" s="3">
        <f>MAX((Sala[[#This Row],[Tiempo de permanencia]]-Sala[[#This Row],[Tiempo de preparación (h)]]),0)</f>
        <v>0</v>
      </c>
      <c r="S489" s="8">
        <f>SUMIF(Cocina[Número de Orden],Sala[[#This Row],[Número de Orden]],Cocina[Ganancia bruta])</f>
        <v>185</v>
      </c>
      <c r="T489" s="8">
        <f>SUMIF(Cocina[Número de Orden],Sala[[#This Row],[Número de Orden]],Cocina[Costo Unitario])</f>
        <v>43</v>
      </c>
      <c r="U489" s="2">
        <f>Sala[[#This Row],[Fecha de Salida]]</f>
        <v>45022</v>
      </c>
      <c r="V489" s="7" t="str">
        <f>TEXT(Sala[[#This Row],[Fecha factura]],"dddd")</f>
        <v>jueves</v>
      </c>
      <c r="W489" t="str">
        <f>IF(Sala[[#This Row],[Tiempo de degustación]]&gt;0,"Sí","No")</f>
        <v>No</v>
      </c>
      <c r="X489" t="str">
        <f>IF(Sala[[#This Row],[Cobrada]]="Sí",Sala[[#This Row],[Método de Pago]],"Impago")</f>
        <v>Impago</v>
      </c>
      <c r="Y489">
        <f>IF(Sala[[#This Row],[Cobrada]]="Sí",Sala[[#This Row],[Propina]],0)</f>
        <v>0</v>
      </c>
      <c r="Z489">
        <f>(IF(Sala[[#This Row],[Cobrada]]="Sí",Sala[[#This Row],[Monto total]],0))+Sala[[#This Row],[Propina real]]</f>
        <v>0</v>
      </c>
    </row>
    <row r="490" spans="1:26" x14ac:dyDescent="0.25">
      <c r="A490">
        <v>3</v>
      </c>
      <c r="B490" t="s">
        <v>452</v>
      </c>
      <c r="C490">
        <v>1</v>
      </c>
      <c r="D490" s="2">
        <v>45022</v>
      </c>
      <c r="E490" s="3">
        <v>0.12291666666666666</v>
      </c>
      <c r="F490" s="2">
        <v>45022</v>
      </c>
      <c r="G490" s="3">
        <v>0.22708333333333333</v>
      </c>
      <c r="H490" s="1" t="s">
        <v>7</v>
      </c>
      <c r="I490" t="s">
        <v>12</v>
      </c>
      <c r="J490" t="s">
        <v>601</v>
      </c>
      <c r="K490" s="9">
        <v>22.27</v>
      </c>
      <c r="L490" t="s">
        <v>28</v>
      </c>
      <c r="M490">
        <v>489</v>
      </c>
      <c r="N490" t="s">
        <v>59</v>
      </c>
      <c r="O490" s="3">
        <f>(Sala[[#This Row],[Hora de Salida]]-Sala[[#This Row],[Hora de llegada]])+IF(Sala[[#This Row],[Estado de la Mesa]]="Ocupada",(TEXT((15/(60*24)),"h:mm")),(TEXT(0,"h:mm")))</f>
        <v>0.11458333333333334</v>
      </c>
      <c r="P490" s="43">
        <f>(SUMIF(Cocina[Número de Orden],Sala[[#This Row],[Número de Orden]],Cocina[Tiempo de Preparación]))</f>
        <v>34</v>
      </c>
      <c r="Q490" s="5" t="str">
        <f>TEXT(((SUMIF(Cocina[Número de Orden],Sala[[#This Row],[Número de Orden]],Cocina[Tiempo de Preparación]))/(60*24)),"h:mm")</f>
        <v>0:34</v>
      </c>
      <c r="R490" s="3">
        <f>MAX((Sala[[#This Row],[Tiempo de permanencia]]-Sala[[#This Row],[Tiempo de preparación (h)]]),0)</f>
        <v>9.0972222222222232E-2</v>
      </c>
      <c r="S490" s="8">
        <f>SUMIF(Cocina[Número de Orden],Sala[[#This Row],[Número de Orden]],Cocina[Ganancia bruta])</f>
        <v>149</v>
      </c>
      <c r="T490" s="8">
        <f>SUMIF(Cocina[Número de Orden],Sala[[#This Row],[Número de Orden]],Cocina[Costo Unitario])</f>
        <v>39</v>
      </c>
      <c r="U490" s="2">
        <f>Sala[[#This Row],[Fecha de Salida]]</f>
        <v>45022</v>
      </c>
      <c r="V490" s="7" t="str">
        <f>TEXT(Sala[[#This Row],[Fecha factura]],"dddd")</f>
        <v>jueves</v>
      </c>
      <c r="W490" t="str">
        <f>IF(Sala[[#This Row],[Tiempo de degustación]]&gt;0,"Sí","No")</f>
        <v>Sí</v>
      </c>
      <c r="X490" t="str">
        <f>IF(Sala[[#This Row],[Cobrada]]="Sí",Sala[[#This Row],[Método de Pago]],"Impago")</f>
        <v>Tarjeta de crédito</v>
      </c>
      <c r="Y490">
        <f>IF(Sala[[#This Row],[Cobrada]]="Sí",Sala[[#This Row],[Propina]],0)</f>
        <v>22.27</v>
      </c>
      <c r="Z490">
        <f>(IF(Sala[[#This Row],[Cobrada]]="Sí",Sala[[#This Row],[Monto total]],0))+Sala[[#This Row],[Propina real]]</f>
        <v>171.27</v>
      </c>
    </row>
    <row r="491" spans="1:26" x14ac:dyDescent="0.25">
      <c r="A491">
        <v>1</v>
      </c>
      <c r="B491" t="s">
        <v>433</v>
      </c>
      <c r="C491">
        <v>2</v>
      </c>
      <c r="D491" s="2">
        <v>45022</v>
      </c>
      <c r="E491" s="3">
        <v>0.1388888888888889</v>
      </c>
      <c r="F491" s="2">
        <v>45022</v>
      </c>
      <c r="G491" s="3">
        <v>0.20624999999999999</v>
      </c>
      <c r="H491" s="1" t="s">
        <v>20</v>
      </c>
      <c r="I491" t="s">
        <v>8</v>
      </c>
      <c r="J491" t="s">
        <v>601</v>
      </c>
      <c r="K491" s="9">
        <v>26.79</v>
      </c>
      <c r="L491" t="s">
        <v>17</v>
      </c>
      <c r="M491">
        <v>490</v>
      </c>
      <c r="N491" t="s">
        <v>14</v>
      </c>
      <c r="O491" s="3">
        <f>(Sala[[#This Row],[Hora de Salida]]-Sala[[#This Row],[Hora de llegada]])+IF(Sala[[#This Row],[Estado de la Mesa]]="Ocupada",(TEXT((15/(60*24)),"h:mm")),(TEXT(0,"h:mm")))</f>
        <v>6.7361111111111094E-2</v>
      </c>
      <c r="P491" s="43">
        <f>(SUMIF(Cocina[Número de Orden],Sala[[#This Row],[Número de Orden]],Cocina[Tiempo de Preparación]))</f>
        <v>131</v>
      </c>
      <c r="Q491" s="5" t="str">
        <f>TEXT(((SUMIF(Cocina[Número de Orden],Sala[[#This Row],[Número de Orden]],Cocina[Tiempo de Preparación]))/(60*24)),"h:mm")</f>
        <v>2:11</v>
      </c>
      <c r="R491" s="3">
        <f>MAX((Sala[[#This Row],[Tiempo de permanencia]]-Sala[[#This Row],[Tiempo de preparación (h)]]),0)</f>
        <v>0</v>
      </c>
      <c r="S491" s="8">
        <f>SUMIF(Cocina[Número de Orden],Sala[[#This Row],[Número de Orden]],Cocina[Ganancia bruta])</f>
        <v>212</v>
      </c>
      <c r="T491" s="8">
        <f>SUMIF(Cocina[Número de Orden],Sala[[#This Row],[Número de Orden]],Cocina[Costo Unitario])</f>
        <v>54</v>
      </c>
      <c r="U491" s="2">
        <f>Sala[[#This Row],[Fecha de Salida]]</f>
        <v>45022</v>
      </c>
      <c r="V491" s="7" t="str">
        <f>TEXT(Sala[[#This Row],[Fecha factura]],"dddd")</f>
        <v>jueves</v>
      </c>
      <c r="W491" t="str">
        <f>IF(Sala[[#This Row],[Tiempo de degustación]]&gt;0,"Sí","No")</f>
        <v>No</v>
      </c>
      <c r="X491" t="str">
        <f>IF(Sala[[#This Row],[Cobrada]]="Sí",Sala[[#This Row],[Método de Pago]],"Impago")</f>
        <v>Impago</v>
      </c>
      <c r="Y491">
        <f>IF(Sala[[#This Row],[Cobrada]]="Sí",Sala[[#This Row],[Propina]],0)</f>
        <v>0</v>
      </c>
      <c r="Z491">
        <f>(IF(Sala[[#This Row],[Cobrada]]="Sí",Sala[[#This Row],[Monto total]],0))+Sala[[#This Row],[Propina real]]</f>
        <v>0</v>
      </c>
    </row>
    <row r="492" spans="1:26" x14ac:dyDescent="0.25">
      <c r="A492">
        <v>7</v>
      </c>
      <c r="B492" t="s">
        <v>405</v>
      </c>
      <c r="C492">
        <v>4</v>
      </c>
      <c r="D492" s="2">
        <v>45022</v>
      </c>
      <c r="E492" s="3">
        <v>4.8611111111111112E-3</v>
      </c>
      <c r="F492" s="2">
        <v>45022</v>
      </c>
      <c r="G492" s="3">
        <v>0.10902777777777778</v>
      </c>
      <c r="H492" s="1" t="s">
        <v>23</v>
      </c>
      <c r="I492" t="s">
        <v>12</v>
      </c>
      <c r="J492" t="s">
        <v>601</v>
      </c>
      <c r="K492" s="9">
        <v>34.68</v>
      </c>
      <c r="L492" t="s">
        <v>28</v>
      </c>
      <c r="M492">
        <v>491</v>
      </c>
      <c r="N492" t="s">
        <v>594</v>
      </c>
      <c r="O492" s="3">
        <f>(Sala[[#This Row],[Hora de Salida]]-Sala[[#This Row],[Hora de llegada]])+IF(Sala[[#This Row],[Estado de la Mesa]]="Ocupada",(TEXT((15/(60*24)),"h:mm")),(TEXT(0,"h:mm")))</f>
        <v>0.11458333333333334</v>
      </c>
      <c r="P492" s="43">
        <f>(SUMIF(Cocina[Número de Orden],Sala[[#This Row],[Número de Orden]],Cocina[Tiempo de Preparación]))</f>
        <v>41</v>
      </c>
      <c r="Q492" s="5" t="str">
        <f>TEXT(((SUMIF(Cocina[Número de Orden],Sala[[#This Row],[Número de Orden]],Cocina[Tiempo de Preparación]))/(60*24)),"h:mm")</f>
        <v>0:41</v>
      </c>
      <c r="R492" s="3">
        <f>MAX((Sala[[#This Row],[Tiempo de permanencia]]-Sala[[#This Row],[Tiempo de preparación (h)]]),0)</f>
        <v>8.6111111111111124E-2</v>
      </c>
      <c r="S492" s="8">
        <f>SUMIF(Cocina[Número de Orden],Sala[[#This Row],[Número de Orden]],Cocina[Ganancia bruta])</f>
        <v>118</v>
      </c>
      <c r="T492" s="8">
        <f>SUMIF(Cocina[Número de Orden],Sala[[#This Row],[Número de Orden]],Cocina[Costo Unitario])</f>
        <v>35</v>
      </c>
      <c r="U492" s="2">
        <f>Sala[[#This Row],[Fecha de Salida]]</f>
        <v>45022</v>
      </c>
      <c r="V492" s="7" t="str">
        <f>TEXT(Sala[[#This Row],[Fecha factura]],"dddd")</f>
        <v>jueves</v>
      </c>
      <c r="W492" t="str">
        <f>IF(Sala[[#This Row],[Tiempo de degustación]]&gt;0,"Sí","No")</f>
        <v>Sí</v>
      </c>
      <c r="X492" t="str">
        <f>IF(Sala[[#This Row],[Cobrada]]="Sí",Sala[[#This Row],[Método de Pago]],"Impago")</f>
        <v>Tarjeta de crédito</v>
      </c>
      <c r="Y492">
        <f>IF(Sala[[#This Row],[Cobrada]]="Sí",Sala[[#This Row],[Propina]],0)</f>
        <v>34.68</v>
      </c>
      <c r="Z492">
        <f>(IF(Sala[[#This Row],[Cobrada]]="Sí",Sala[[#This Row],[Monto total]],0))+Sala[[#This Row],[Propina real]]</f>
        <v>152.68</v>
      </c>
    </row>
    <row r="493" spans="1:26" x14ac:dyDescent="0.25">
      <c r="A493">
        <v>4</v>
      </c>
      <c r="B493" t="s">
        <v>453</v>
      </c>
      <c r="C493">
        <v>4</v>
      </c>
      <c r="D493" s="2">
        <v>45022</v>
      </c>
      <c r="E493" s="3">
        <v>4.3749999999999997E-2</v>
      </c>
      <c r="F493" s="2">
        <v>45022</v>
      </c>
      <c r="G493" s="3">
        <v>0.19166666666666668</v>
      </c>
      <c r="H493" s="1" t="s">
        <v>11</v>
      </c>
      <c r="I493" t="s">
        <v>8</v>
      </c>
      <c r="J493" t="s">
        <v>601</v>
      </c>
      <c r="K493" s="9">
        <v>16.62</v>
      </c>
      <c r="L493" t="s">
        <v>9</v>
      </c>
      <c r="M493">
        <v>492</v>
      </c>
      <c r="N493" t="s">
        <v>14</v>
      </c>
      <c r="O493" s="3">
        <f>(Sala[[#This Row],[Hora de Salida]]-Sala[[#This Row],[Hora de llegada]])+IF(Sala[[#This Row],[Estado de la Mesa]]="Ocupada",(TEXT((15/(60*24)),"h:mm")),(TEXT(0,"h:mm")))</f>
        <v>0.1479166666666667</v>
      </c>
      <c r="P493" s="43">
        <f>(SUMIF(Cocina[Número de Orden],Sala[[#This Row],[Número de Orden]],Cocina[Tiempo de Preparación]))</f>
        <v>49</v>
      </c>
      <c r="Q493" s="5" t="str">
        <f>TEXT(((SUMIF(Cocina[Número de Orden],Sala[[#This Row],[Número de Orden]],Cocina[Tiempo de Preparación]))/(60*24)),"h:mm")</f>
        <v>0:49</v>
      </c>
      <c r="R493" s="3">
        <f>MAX((Sala[[#This Row],[Tiempo de permanencia]]-Sala[[#This Row],[Tiempo de preparación (h)]]),0)</f>
        <v>0.11388888888888893</v>
      </c>
      <c r="S493" s="8">
        <f>SUMIF(Cocina[Número de Orden],Sala[[#This Row],[Número de Orden]],Cocina[Ganancia bruta])</f>
        <v>210</v>
      </c>
      <c r="T493" s="8">
        <f>SUMIF(Cocina[Número de Orden],Sala[[#This Row],[Número de Orden]],Cocina[Costo Unitario])</f>
        <v>47</v>
      </c>
      <c r="U493" s="2">
        <f>Sala[[#This Row],[Fecha de Salida]]</f>
        <v>45022</v>
      </c>
      <c r="V493" s="7" t="str">
        <f>TEXT(Sala[[#This Row],[Fecha factura]],"dddd")</f>
        <v>jueves</v>
      </c>
      <c r="W493" t="str">
        <f>IF(Sala[[#This Row],[Tiempo de degustación]]&gt;0,"Sí","No")</f>
        <v>Sí</v>
      </c>
      <c r="X493" t="str">
        <f>IF(Sala[[#This Row],[Cobrada]]="Sí",Sala[[#This Row],[Método de Pago]],"Impago")</f>
        <v>Tarjeta de crédito</v>
      </c>
      <c r="Y493">
        <f>IF(Sala[[#This Row],[Cobrada]]="Sí",Sala[[#This Row],[Propina]],0)</f>
        <v>16.62</v>
      </c>
      <c r="Z493">
        <f>(IF(Sala[[#This Row],[Cobrada]]="Sí",Sala[[#This Row],[Monto total]],0))+Sala[[#This Row],[Propina real]]</f>
        <v>226.62</v>
      </c>
    </row>
    <row r="494" spans="1:26" x14ac:dyDescent="0.25">
      <c r="A494">
        <v>2</v>
      </c>
      <c r="B494" t="s">
        <v>151</v>
      </c>
      <c r="C494">
        <v>2</v>
      </c>
      <c r="D494" s="2">
        <v>45022</v>
      </c>
      <c r="E494" s="3">
        <v>2.1527777777777778E-2</v>
      </c>
      <c r="F494" s="2">
        <v>45022</v>
      </c>
      <c r="G494" s="3">
        <v>7.3611111111111113E-2</v>
      </c>
      <c r="H494" s="1" t="s">
        <v>20</v>
      </c>
      <c r="I494" t="s">
        <v>8</v>
      </c>
      <c r="J494" t="s">
        <v>601</v>
      </c>
      <c r="K494" s="9">
        <v>32.67</v>
      </c>
      <c r="L494" t="s">
        <v>28</v>
      </c>
      <c r="M494">
        <v>493</v>
      </c>
      <c r="N494" t="s">
        <v>593</v>
      </c>
      <c r="O494" s="3">
        <f>(Sala[[#This Row],[Hora de Salida]]-Sala[[#This Row],[Hora de llegada]])+IF(Sala[[#This Row],[Estado de la Mesa]]="Ocupada",(TEXT((15/(60*24)),"h:mm")),(TEXT(0,"h:mm")))</f>
        <v>6.25E-2</v>
      </c>
      <c r="P494" s="43">
        <f>(SUMIF(Cocina[Número de Orden],Sala[[#This Row],[Número de Orden]],Cocina[Tiempo de Preparación]))</f>
        <v>8</v>
      </c>
      <c r="Q494" s="5" t="str">
        <f>TEXT(((SUMIF(Cocina[Número de Orden],Sala[[#This Row],[Número de Orden]],Cocina[Tiempo de Preparación]))/(60*24)),"h:mm")</f>
        <v>0:08</v>
      </c>
      <c r="R494" s="3">
        <f>MAX((Sala[[#This Row],[Tiempo de permanencia]]-Sala[[#This Row],[Tiempo de preparación (h)]]),0)</f>
        <v>5.6944444444444443E-2</v>
      </c>
      <c r="S494" s="8">
        <f>SUMIF(Cocina[Número de Orden],Sala[[#This Row],[Número de Orden]],Cocina[Ganancia bruta])</f>
        <v>54</v>
      </c>
      <c r="T494" s="8">
        <f>SUMIF(Cocina[Número de Orden],Sala[[#This Row],[Número de Orden]],Cocina[Costo Unitario])</f>
        <v>10</v>
      </c>
      <c r="U494" s="2">
        <f>Sala[[#This Row],[Fecha de Salida]]</f>
        <v>45022</v>
      </c>
      <c r="V494" s="7" t="str">
        <f>TEXT(Sala[[#This Row],[Fecha factura]],"dddd")</f>
        <v>jueves</v>
      </c>
      <c r="W494" t="str">
        <f>IF(Sala[[#This Row],[Tiempo de degustación]]&gt;0,"Sí","No")</f>
        <v>Sí</v>
      </c>
      <c r="X494" t="str">
        <f>IF(Sala[[#This Row],[Cobrada]]="Sí",Sala[[#This Row],[Método de Pago]],"Impago")</f>
        <v>Tarjeta de crédito</v>
      </c>
      <c r="Y494">
        <f>IF(Sala[[#This Row],[Cobrada]]="Sí",Sala[[#This Row],[Propina]],0)</f>
        <v>32.67</v>
      </c>
      <c r="Z494">
        <f>(IF(Sala[[#This Row],[Cobrada]]="Sí",Sala[[#This Row],[Monto total]],0))+Sala[[#This Row],[Propina real]]</f>
        <v>86.67</v>
      </c>
    </row>
    <row r="495" spans="1:26" x14ac:dyDescent="0.25">
      <c r="A495">
        <v>20</v>
      </c>
      <c r="B495" t="s">
        <v>339</v>
      </c>
      <c r="C495">
        <v>5</v>
      </c>
      <c r="D495" s="2">
        <v>45022</v>
      </c>
      <c r="E495" s="3">
        <v>6.1111111111111109E-2</v>
      </c>
      <c r="F495" s="2">
        <v>45022</v>
      </c>
      <c r="G495" s="3">
        <v>0.20069444444444445</v>
      </c>
      <c r="H495" s="1" t="s">
        <v>11</v>
      </c>
      <c r="I495" t="s">
        <v>12</v>
      </c>
      <c r="J495" t="s">
        <v>601</v>
      </c>
      <c r="K495" s="9">
        <v>11.85</v>
      </c>
      <c r="L495" t="s">
        <v>9</v>
      </c>
      <c r="M495">
        <v>494</v>
      </c>
      <c r="N495" t="s">
        <v>21</v>
      </c>
      <c r="O495" s="3">
        <f>(Sala[[#This Row],[Hora de Salida]]-Sala[[#This Row],[Hora de llegada]])+IF(Sala[[#This Row],[Estado de la Mesa]]="Ocupada",(TEXT((15/(60*24)),"h:mm")),(TEXT(0,"h:mm")))</f>
        <v>0.13958333333333334</v>
      </c>
      <c r="P495" s="43">
        <f>(SUMIF(Cocina[Número de Orden],Sala[[#This Row],[Número de Orden]],Cocina[Tiempo de Preparación]))</f>
        <v>31</v>
      </c>
      <c r="Q495" s="5" t="str">
        <f>TEXT(((SUMIF(Cocina[Número de Orden],Sala[[#This Row],[Número de Orden]],Cocina[Tiempo de Preparación]))/(60*24)),"h:mm")</f>
        <v>0:31</v>
      </c>
      <c r="R495" s="3">
        <f>MAX((Sala[[#This Row],[Tiempo de permanencia]]-Sala[[#This Row],[Tiempo de preparación (h)]]),0)</f>
        <v>0.11805555555555555</v>
      </c>
      <c r="S495" s="8">
        <f>SUMIF(Cocina[Número de Orden],Sala[[#This Row],[Número de Orden]],Cocina[Ganancia bruta])</f>
        <v>172</v>
      </c>
      <c r="T495" s="8">
        <f>SUMIF(Cocina[Número de Orden],Sala[[#This Row],[Número de Orden]],Cocina[Costo Unitario])</f>
        <v>41</v>
      </c>
      <c r="U495" s="2">
        <f>Sala[[#This Row],[Fecha de Salida]]</f>
        <v>45022</v>
      </c>
      <c r="V495" s="7" t="str">
        <f>TEXT(Sala[[#This Row],[Fecha factura]],"dddd")</f>
        <v>jueves</v>
      </c>
      <c r="W495" t="str">
        <f>IF(Sala[[#This Row],[Tiempo de degustación]]&gt;0,"Sí","No")</f>
        <v>Sí</v>
      </c>
      <c r="X495" t="str">
        <f>IF(Sala[[#This Row],[Cobrada]]="Sí",Sala[[#This Row],[Método de Pago]],"Impago")</f>
        <v>Tarjeta de crédito</v>
      </c>
      <c r="Y495">
        <f>IF(Sala[[#This Row],[Cobrada]]="Sí",Sala[[#This Row],[Propina]],0)</f>
        <v>11.85</v>
      </c>
      <c r="Z495">
        <f>(IF(Sala[[#This Row],[Cobrada]]="Sí",Sala[[#This Row],[Monto total]],0))+Sala[[#This Row],[Propina real]]</f>
        <v>183.85</v>
      </c>
    </row>
    <row r="496" spans="1:26" x14ac:dyDescent="0.25">
      <c r="A496">
        <v>11</v>
      </c>
      <c r="B496" t="s">
        <v>454</v>
      </c>
      <c r="C496">
        <v>6</v>
      </c>
      <c r="D496" s="2">
        <v>45022</v>
      </c>
      <c r="E496" s="3">
        <v>0.12569444444444444</v>
      </c>
      <c r="F496" s="2">
        <v>45022</v>
      </c>
      <c r="G496" s="3">
        <v>0.28472222222222221</v>
      </c>
      <c r="H496" s="1" t="s">
        <v>16</v>
      </c>
      <c r="I496" t="s">
        <v>12</v>
      </c>
      <c r="J496" t="s">
        <v>601</v>
      </c>
      <c r="K496" s="9">
        <v>33.96</v>
      </c>
      <c r="L496" t="s">
        <v>17</v>
      </c>
      <c r="M496">
        <v>495</v>
      </c>
      <c r="N496" t="s">
        <v>29</v>
      </c>
      <c r="O496" s="3">
        <f>(Sala[[#This Row],[Hora de Salida]]-Sala[[#This Row],[Hora de llegada]])+IF(Sala[[#This Row],[Estado de la Mesa]]="Ocupada",(TEXT((15/(60*24)),"h:mm")),(TEXT(0,"h:mm")))</f>
        <v>0.15902777777777777</v>
      </c>
      <c r="P496" s="43">
        <f>(SUMIF(Cocina[Número de Orden],Sala[[#This Row],[Número de Orden]],Cocina[Tiempo de Preparación]))</f>
        <v>102</v>
      </c>
      <c r="Q496" s="5" t="str">
        <f>TEXT(((SUMIF(Cocina[Número de Orden],Sala[[#This Row],[Número de Orden]],Cocina[Tiempo de Preparación]))/(60*24)),"h:mm")</f>
        <v>1:42</v>
      </c>
      <c r="R496" s="3">
        <f>MAX((Sala[[#This Row],[Tiempo de permanencia]]-Sala[[#This Row],[Tiempo de preparación (h)]]),0)</f>
        <v>8.8194444444444436E-2</v>
      </c>
      <c r="S496" s="8">
        <f>SUMIF(Cocina[Número de Orden],Sala[[#This Row],[Número de Orden]],Cocina[Ganancia bruta])</f>
        <v>263</v>
      </c>
      <c r="T496" s="8">
        <f>SUMIF(Cocina[Número de Orden],Sala[[#This Row],[Número de Orden]],Cocina[Costo Unitario])</f>
        <v>77</v>
      </c>
      <c r="U496" s="2">
        <f>Sala[[#This Row],[Fecha de Salida]]</f>
        <v>45022</v>
      </c>
      <c r="V496" s="7" t="str">
        <f>TEXT(Sala[[#This Row],[Fecha factura]],"dddd")</f>
        <v>jueves</v>
      </c>
      <c r="W496" t="str">
        <f>IF(Sala[[#This Row],[Tiempo de degustación]]&gt;0,"Sí","No")</f>
        <v>Sí</v>
      </c>
      <c r="X496" t="str">
        <f>IF(Sala[[#This Row],[Cobrada]]="Sí",Sala[[#This Row],[Método de Pago]],"Impago")</f>
        <v>Tarjeta de crédito</v>
      </c>
      <c r="Y496">
        <f>IF(Sala[[#This Row],[Cobrada]]="Sí",Sala[[#This Row],[Propina]],0)</f>
        <v>33.96</v>
      </c>
      <c r="Z496">
        <f>(IF(Sala[[#This Row],[Cobrada]]="Sí",Sala[[#This Row],[Monto total]],0))+Sala[[#This Row],[Propina real]]</f>
        <v>296.95999999999998</v>
      </c>
    </row>
    <row r="497" spans="1:26" x14ac:dyDescent="0.25">
      <c r="A497">
        <v>1</v>
      </c>
      <c r="B497" t="s">
        <v>182</v>
      </c>
      <c r="C497">
        <v>3</v>
      </c>
      <c r="D497" s="2">
        <v>45022</v>
      </c>
      <c r="E497" s="3">
        <v>0.10694444444444444</v>
      </c>
      <c r="F497" s="2">
        <v>45022</v>
      </c>
      <c r="G497" s="3">
        <v>0.26527777777777778</v>
      </c>
      <c r="H497" s="1" t="s">
        <v>11</v>
      </c>
      <c r="I497" t="s">
        <v>8</v>
      </c>
      <c r="J497" t="s">
        <v>601</v>
      </c>
      <c r="K497" s="9">
        <v>39.42</v>
      </c>
      <c r="L497" t="s">
        <v>9</v>
      </c>
      <c r="M497">
        <v>496</v>
      </c>
      <c r="N497" t="s">
        <v>59</v>
      </c>
      <c r="O497" s="3">
        <f>(Sala[[#This Row],[Hora de Salida]]-Sala[[#This Row],[Hora de llegada]])+IF(Sala[[#This Row],[Estado de la Mesa]]="Ocupada",(TEXT((15/(60*24)),"h:mm")),(TEXT(0,"h:mm")))</f>
        <v>0.15833333333333333</v>
      </c>
      <c r="P497" s="43">
        <f>(SUMIF(Cocina[Número de Orden],Sala[[#This Row],[Número de Orden]],Cocina[Tiempo de Preparación]))</f>
        <v>133</v>
      </c>
      <c r="Q497" s="5" t="str">
        <f>TEXT(((SUMIF(Cocina[Número de Orden],Sala[[#This Row],[Número de Orden]],Cocina[Tiempo de Preparación]))/(60*24)),"h:mm")</f>
        <v>2:13</v>
      </c>
      <c r="R497" s="3">
        <f>MAX((Sala[[#This Row],[Tiempo de permanencia]]-Sala[[#This Row],[Tiempo de preparación (h)]]),0)</f>
        <v>6.597222222222221E-2</v>
      </c>
      <c r="S497" s="8">
        <f>SUMIF(Cocina[Número de Orden],Sala[[#This Row],[Número de Orden]],Cocina[Ganancia bruta])</f>
        <v>223</v>
      </c>
      <c r="T497" s="8">
        <f>SUMIF(Cocina[Número de Orden],Sala[[#This Row],[Número de Orden]],Cocina[Costo Unitario])</f>
        <v>70</v>
      </c>
      <c r="U497" s="2">
        <f>Sala[[#This Row],[Fecha de Salida]]</f>
        <v>45022</v>
      </c>
      <c r="V497" s="7" t="str">
        <f>TEXT(Sala[[#This Row],[Fecha factura]],"dddd")</f>
        <v>jueves</v>
      </c>
      <c r="W497" t="str">
        <f>IF(Sala[[#This Row],[Tiempo de degustación]]&gt;0,"Sí","No")</f>
        <v>Sí</v>
      </c>
      <c r="X497" t="str">
        <f>IF(Sala[[#This Row],[Cobrada]]="Sí",Sala[[#This Row],[Método de Pago]],"Impago")</f>
        <v>Tarjeta de crédito</v>
      </c>
      <c r="Y497">
        <f>IF(Sala[[#This Row],[Cobrada]]="Sí",Sala[[#This Row],[Propina]],0)</f>
        <v>39.42</v>
      </c>
      <c r="Z497">
        <f>(IF(Sala[[#This Row],[Cobrada]]="Sí",Sala[[#This Row],[Monto total]],0))+Sala[[#This Row],[Propina real]]</f>
        <v>262.42</v>
      </c>
    </row>
    <row r="498" spans="1:26" x14ac:dyDescent="0.25">
      <c r="A498">
        <v>13</v>
      </c>
      <c r="B498" t="s">
        <v>100</v>
      </c>
      <c r="C498">
        <v>6</v>
      </c>
      <c r="D498" s="2">
        <v>45022</v>
      </c>
      <c r="E498" s="3">
        <v>0.14583333333333334</v>
      </c>
      <c r="F498" s="2">
        <v>45022</v>
      </c>
      <c r="G498" s="3">
        <v>0.2902777777777778</v>
      </c>
      <c r="H498" s="1" t="s">
        <v>7</v>
      </c>
      <c r="I498" t="s">
        <v>8</v>
      </c>
      <c r="J498" t="s">
        <v>600</v>
      </c>
      <c r="K498" s="9">
        <v>29.93</v>
      </c>
      <c r="L498" t="s">
        <v>9</v>
      </c>
      <c r="M498">
        <v>497</v>
      </c>
      <c r="N498" t="s">
        <v>59</v>
      </c>
      <c r="O498" s="3">
        <f>(Sala[[#This Row],[Hora de Salida]]-Sala[[#This Row],[Hora de llegada]])+IF(Sala[[#This Row],[Estado de la Mesa]]="Ocupada",(TEXT((15/(60*24)),"h:mm")),(TEXT(0,"h:mm")))</f>
        <v>0.14444444444444446</v>
      </c>
      <c r="P498" s="43">
        <f>(SUMIF(Cocina[Número de Orden],Sala[[#This Row],[Número de Orden]],Cocina[Tiempo de Preparación]))</f>
        <v>38</v>
      </c>
      <c r="Q498" s="5" t="str">
        <f>TEXT(((SUMIF(Cocina[Número de Orden],Sala[[#This Row],[Número de Orden]],Cocina[Tiempo de Preparación]))/(60*24)),"h:mm")</f>
        <v>0:38</v>
      </c>
      <c r="R498" s="3">
        <f>MAX((Sala[[#This Row],[Tiempo de permanencia]]-Sala[[#This Row],[Tiempo de preparación (h)]]),0)</f>
        <v>0.11805555555555557</v>
      </c>
      <c r="S498" s="8">
        <f>SUMIF(Cocina[Número de Orden],Sala[[#This Row],[Número de Orden]],Cocina[Ganancia bruta])</f>
        <v>150</v>
      </c>
      <c r="T498" s="8">
        <f>SUMIF(Cocina[Número de Orden],Sala[[#This Row],[Número de Orden]],Cocina[Costo Unitario])</f>
        <v>43</v>
      </c>
      <c r="U498" s="2">
        <f>Sala[[#This Row],[Fecha de Salida]]</f>
        <v>45022</v>
      </c>
      <c r="V498" s="7" t="str">
        <f>TEXT(Sala[[#This Row],[Fecha factura]],"dddd")</f>
        <v>jueves</v>
      </c>
      <c r="W498" t="str">
        <f>IF(Sala[[#This Row],[Tiempo de degustación]]&gt;0,"Sí","No")</f>
        <v>Sí</v>
      </c>
      <c r="X498" t="str">
        <f>IF(Sala[[#This Row],[Cobrada]]="Sí",Sala[[#This Row],[Método de Pago]],"Impago")</f>
        <v>Tarjeta de débito</v>
      </c>
      <c r="Y498">
        <f>IF(Sala[[#This Row],[Cobrada]]="Sí",Sala[[#This Row],[Propina]],0)</f>
        <v>29.93</v>
      </c>
      <c r="Z498">
        <f>(IF(Sala[[#This Row],[Cobrada]]="Sí",Sala[[#This Row],[Monto total]],0))+Sala[[#This Row],[Propina real]]</f>
        <v>179.93</v>
      </c>
    </row>
    <row r="499" spans="1:26" x14ac:dyDescent="0.25">
      <c r="A499">
        <v>20</v>
      </c>
      <c r="B499" t="s">
        <v>412</v>
      </c>
      <c r="C499">
        <v>3</v>
      </c>
      <c r="D499" s="2">
        <v>45022</v>
      </c>
      <c r="E499" s="3">
        <v>1.1805555555555555E-2</v>
      </c>
      <c r="F499" s="2">
        <v>45022</v>
      </c>
      <c r="G499" s="3">
        <v>0.15694444444444444</v>
      </c>
      <c r="H499" s="1" t="s">
        <v>7</v>
      </c>
      <c r="I499" t="s">
        <v>8</v>
      </c>
      <c r="J499" t="s">
        <v>601</v>
      </c>
      <c r="K499" s="9">
        <v>21.99</v>
      </c>
      <c r="L499" t="s">
        <v>17</v>
      </c>
      <c r="M499">
        <v>498</v>
      </c>
      <c r="N499" t="s">
        <v>594</v>
      </c>
      <c r="O499" s="3">
        <f>(Sala[[#This Row],[Hora de Salida]]-Sala[[#This Row],[Hora de llegada]])+IF(Sala[[#This Row],[Estado de la Mesa]]="Ocupada",(TEXT((15/(60*24)),"h:mm")),(TEXT(0,"h:mm")))</f>
        <v>0.14513888888888887</v>
      </c>
      <c r="P499" s="43">
        <f>(SUMIF(Cocina[Número de Orden],Sala[[#This Row],[Número de Orden]],Cocina[Tiempo de Preparación]))</f>
        <v>32</v>
      </c>
      <c r="Q499" s="5" t="str">
        <f>TEXT(((SUMIF(Cocina[Número de Orden],Sala[[#This Row],[Número de Orden]],Cocina[Tiempo de Preparación]))/(60*24)),"h:mm")</f>
        <v>0:32</v>
      </c>
      <c r="R499" s="3">
        <f>MAX((Sala[[#This Row],[Tiempo de permanencia]]-Sala[[#This Row],[Tiempo de preparación (h)]]),0)</f>
        <v>0.12291666666666665</v>
      </c>
      <c r="S499" s="8">
        <f>SUMIF(Cocina[Número de Orden],Sala[[#This Row],[Número de Orden]],Cocina[Ganancia bruta])</f>
        <v>19</v>
      </c>
      <c r="T499" s="8">
        <f>SUMIF(Cocina[Número de Orden],Sala[[#This Row],[Número de Orden]],Cocina[Costo Unitario])</f>
        <v>11</v>
      </c>
      <c r="U499" s="2">
        <f>Sala[[#This Row],[Fecha de Salida]]</f>
        <v>45022</v>
      </c>
      <c r="V499" s="7" t="str">
        <f>TEXT(Sala[[#This Row],[Fecha factura]],"dddd")</f>
        <v>jueves</v>
      </c>
      <c r="W499" t="str">
        <f>IF(Sala[[#This Row],[Tiempo de degustación]]&gt;0,"Sí","No")</f>
        <v>Sí</v>
      </c>
      <c r="X499" t="str">
        <f>IF(Sala[[#This Row],[Cobrada]]="Sí",Sala[[#This Row],[Método de Pago]],"Impago")</f>
        <v>Tarjeta de crédito</v>
      </c>
      <c r="Y499">
        <f>IF(Sala[[#This Row],[Cobrada]]="Sí",Sala[[#This Row],[Propina]],0)</f>
        <v>21.99</v>
      </c>
      <c r="Z499">
        <f>(IF(Sala[[#This Row],[Cobrada]]="Sí",Sala[[#This Row],[Monto total]],0))+Sala[[#This Row],[Propina real]]</f>
        <v>40.989999999999995</v>
      </c>
    </row>
    <row r="500" spans="1:26" x14ac:dyDescent="0.25">
      <c r="A500">
        <v>5</v>
      </c>
      <c r="B500" t="s">
        <v>400</v>
      </c>
      <c r="C500">
        <v>5</v>
      </c>
      <c r="D500" s="2">
        <v>45022</v>
      </c>
      <c r="E500" s="3">
        <v>5.6250000000000001E-2</v>
      </c>
      <c r="F500" s="2">
        <v>45022</v>
      </c>
      <c r="G500" s="3">
        <v>0.18611111111111112</v>
      </c>
      <c r="H500" s="1" t="s">
        <v>16</v>
      </c>
      <c r="I500" t="s">
        <v>25</v>
      </c>
      <c r="J500" t="s">
        <v>600</v>
      </c>
      <c r="K500" s="9">
        <v>22.69</v>
      </c>
      <c r="L500" t="s">
        <v>9</v>
      </c>
      <c r="M500">
        <v>499</v>
      </c>
      <c r="N500" t="s">
        <v>18</v>
      </c>
      <c r="O500" s="3">
        <f>(Sala[[#This Row],[Hora de Salida]]-Sala[[#This Row],[Hora de llegada]])+IF(Sala[[#This Row],[Estado de la Mesa]]="Ocupada",(TEXT((15/(60*24)),"h:mm")),(TEXT(0,"h:mm")))</f>
        <v>0.12986111111111112</v>
      </c>
      <c r="P500" s="43">
        <f>(SUMIF(Cocina[Número de Orden],Sala[[#This Row],[Número de Orden]],Cocina[Tiempo de Preparación]))</f>
        <v>130</v>
      </c>
      <c r="Q500" s="5" t="str">
        <f>TEXT(((SUMIF(Cocina[Número de Orden],Sala[[#This Row],[Número de Orden]],Cocina[Tiempo de Preparación]))/(60*24)),"h:mm")</f>
        <v>2:10</v>
      </c>
      <c r="R500" s="3">
        <f>MAX((Sala[[#This Row],[Tiempo de permanencia]]-Sala[[#This Row],[Tiempo de preparación (h)]]),0)</f>
        <v>3.9583333333333345E-2</v>
      </c>
      <c r="S500" s="8">
        <f>SUMIF(Cocina[Número de Orden],Sala[[#This Row],[Número de Orden]],Cocina[Ganancia bruta])</f>
        <v>158</v>
      </c>
      <c r="T500" s="8">
        <f>SUMIF(Cocina[Número de Orden],Sala[[#This Row],[Número de Orden]],Cocina[Costo Unitario])</f>
        <v>48</v>
      </c>
      <c r="U500" s="2">
        <f>Sala[[#This Row],[Fecha de Salida]]</f>
        <v>45022</v>
      </c>
      <c r="V500" s="7" t="str">
        <f>TEXT(Sala[[#This Row],[Fecha factura]],"dddd")</f>
        <v>jueves</v>
      </c>
      <c r="W500" t="str">
        <f>IF(Sala[[#This Row],[Tiempo de degustación]]&gt;0,"Sí","No")</f>
        <v>Sí</v>
      </c>
      <c r="X500" t="str">
        <f>IF(Sala[[#This Row],[Cobrada]]="Sí",Sala[[#This Row],[Método de Pago]],"Impago")</f>
        <v>Tarjeta de débito</v>
      </c>
      <c r="Y500">
        <f>IF(Sala[[#This Row],[Cobrada]]="Sí",Sala[[#This Row],[Propina]],0)</f>
        <v>22.69</v>
      </c>
      <c r="Z500">
        <f>(IF(Sala[[#This Row],[Cobrada]]="Sí",Sala[[#This Row],[Monto total]],0))+Sala[[#This Row],[Propina real]]</f>
        <v>180.69</v>
      </c>
    </row>
    <row r="501" spans="1:26" x14ac:dyDescent="0.25">
      <c r="A501">
        <v>4</v>
      </c>
      <c r="B501" t="s">
        <v>452</v>
      </c>
      <c r="C501">
        <v>5</v>
      </c>
      <c r="D501" s="2">
        <v>45022</v>
      </c>
      <c r="E501" s="3">
        <v>5.347222222222222E-2</v>
      </c>
      <c r="F501" s="2">
        <v>45022</v>
      </c>
      <c r="G501" s="3">
        <v>0.21875</v>
      </c>
      <c r="H501" s="1" t="s">
        <v>23</v>
      </c>
      <c r="I501" t="s">
        <v>12</v>
      </c>
      <c r="J501" t="s">
        <v>600</v>
      </c>
      <c r="K501" s="9">
        <v>37.619999999999997</v>
      </c>
      <c r="L501" t="s">
        <v>28</v>
      </c>
      <c r="M501">
        <v>500</v>
      </c>
      <c r="N501" t="s">
        <v>59</v>
      </c>
      <c r="O501" s="3">
        <f>(Sala[[#This Row],[Hora de Salida]]-Sala[[#This Row],[Hora de llegada]])+IF(Sala[[#This Row],[Estado de la Mesa]]="Ocupada",(TEXT((15/(60*24)),"h:mm")),(TEXT(0,"h:mm")))</f>
        <v>0.17569444444444443</v>
      </c>
      <c r="P501" s="43">
        <f>(SUMIF(Cocina[Número de Orden],Sala[[#This Row],[Número de Orden]],Cocina[Tiempo de Preparación]))</f>
        <v>42</v>
      </c>
      <c r="Q501" s="5" t="str">
        <f>TEXT(((SUMIF(Cocina[Número de Orden],Sala[[#This Row],[Número de Orden]],Cocina[Tiempo de Preparación]))/(60*24)),"h:mm")</f>
        <v>0:42</v>
      </c>
      <c r="R501" s="3">
        <f>MAX((Sala[[#This Row],[Tiempo de permanencia]]-Sala[[#This Row],[Tiempo de preparación (h)]]),0)</f>
        <v>0.14652777777777776</v>
      </c>
      <c r="S501" s="8">
        <f>SUMIF(Cocina[Número de Orden],Sala[[#This Row],[Número de Orden]],Cocina[Ganancia bruta])</f>
        <v>93</v>
      </c>
      <c r="T501" s="8">
        <f>SUMIF(Cocina[Número de Orden],Sala[[#This Row],[Número de Orden]],Cocina[Costo Unitario])</f>
        <v>29</v>
      </c>
      <c r="U501" s="2">
        <f>Sala[[#This Row],[Fecha de Salida]]</f>
        <v>45022</v>
      </c>
      <c r="V501" s="7" t="str">
        <f>TEXT(Sala[[#This Row],[Fecha factura]],"dddd")</f>
        <v>jueves</v>
      </c>
      <c r="W501" t="str">
        <f>IF(Sala[[#This Row],[Tiempo de degustación]]&gt;0,"Sí","No")</f>
        <v>Sí</v>
      </c>
      <c r="X501" t="str">
        <f>IF(Sala[[#This Row],[Cobrada]]="Sí",Sala[[#This Row],[Método de Pago]],"Impago")</f>
        <v>Tarjeta de débito</v>
      </c>
      <c r="Y501">
        <f>IF(Sala[[#This Row],[Cobrada]]="Sí",Sala[[#This Row],[Propina]],0)</f>
        <v>37.619999999999997</v>
      </c>
      <c r="Z501">
        <f>(IF(Sala[[#This Row],[Cobrada]]="Sí",Sala[[#This Row],[Monto total]],0))+Sala[[#This Row],[Propina real]]</f>
        <v>130.62</v>
      </c>
    </row>
    <row r="502" spans="1:26" x14ac:dyDescent="0.25">
      <c r="A502">
        <v>7</v>
      </c>
      <c r="B502" t="s">
        <v>455</v>
      </c>
      <c r="C502">
        <v>1</v>
      </c>
      <c r="D502" s="2">
        <v>45022</v>
      </c>
      <c r="E502" s="3">
        <v>0.15555555555555556</v>
      </c>
      <c r="F502" s="2">
        <v>45022</v>
      </c>
      <c r="G502" s="3">
        <v>0.27152777777777776</v>
      </c>
      <c r="H502" s="1" t="s">
        <v>11</v>
      </c>
      <c r="I502" t="s">
        <v>25</v>
      </c>
      <c r="J502" t="s">
        <v>601</v>
      </c>
      <c r="K502" s="9">
        <v>28.38</v>
      </c>
      <c r="L502" t="s">
        <v>28</v>
      </c>
      <c r="M502">
        <v>501</v>
      </c>
      <c r="N502" t="s">
        <v>29</v>
      </c>
      <c r="O502" s="3">
        <f>(Sala[[#This Row],[Hora de Salida]]-Sala[[#This Row],[Hora de llegada]])+IF(Sala[[#This Row],[Estado de la Mesa]]="Ocupada",(TEXT((15/(60*24)),"h:mm")),(TEXT(0,"h:mm")))</f>
        <v>0.12638888888888886</v>
      </c>
      <c r="P502" s="43">
        <f>(SUMIF(Cocina[Número de Orden],Sala[[#This Row],[Número de Orden]],Cocina[Tiempo de Preparación]))</f>
        <v>39</v>
      </c>
      <c r="Q502" s="5" t="str">
        <f>TEXT(((SUMIF(Cocina[Número de Orden],Sala[[#This Row],[Número de Orden]],Cocina[Tiempo de Preparación]))/(60*24)),"h:mm")</f>
        <v>0:39</v>
      </c>
      <c r="R502" s="3">
        <f>MAX((Sala[[#This Row],[Tiempo de permanencia]]-Sala[[#This Row],[Tiempo de preparación (h)]]),0)</f>
        <v>9.9305555555555522E-2</v>
      </c>
      <c r="S502" s="8">
        <f>SUMIF(Cocina[Número de Orden],Sala[[#This Row],[Número de Orden]],Cocina[Ganancia bruta])</f>
        <v>138</v>
      </c>
      <c r="T502" s="8">
        <f>SUMIF(Cocina[Número de Orden],Sala[[#This Row],[Número de Orden]],Cocina[Costo Unitario])</f>
        <v>54</v>
      </c>
      <c r="U502" s="2">
        <f>Sala[[#This Row],[Fecha de Salida]]</f>
        <v>45022</v>
      </c>
      <c r="V502" s="7" t="str">
        <f>TEXT(Sala[[#This Row],[Fecha factura]],"dddd")</f>
        <v>jueves</v>
      </c>
      <c r="W502" t="str">
        <f>IF(Sala[[#This Row],[Tiempo de degustación]]&gt;0,"Sí","No")</f>
        <v>Sí</v>
      </c>
      <c r="X502" t="str">
        <f>IF(Sala[[#This Row],[Cobrada]]="Sí",Sala[[#This Row],[Método de Pago]],"Impago")</f>
        <v>Tarjeta de crédito</v>
      </c>
      <c r="Y502">
        <f>IF(Sala[[#This Row],[Cobrada]]="Sí",Sala[[#This Row],[Propina]],0)</f>
        <v>28.38</v>
      </c>
      <c r="Z502">
        <f>(IF(Sala[[#This Row],[Cobrada]]="Sí",Sala[[#This Row],[Monto total]],0))+Sala[[#This Row],[Propina real]]</f>
        <v>166.38</v>
      </c>
    </row>
    <row r="503" spans="1:26" x14ac:dyDescent="0.25">
      <c r="A503">
        <v>5</v>
      </c>
      <c r="B503" t="s">
        <v>248</v>
      </c>
      <c r="C503">
        <v>2</v>
      </c>
      <c r="D503" s="2">
        <v>45022</v>
      </c>
      <c r="E503" s="3">
        <v>3.125E-2</v>
      </c>
      <c r="F503" s="2">
        <v>45022</v>
      </c>
      <c r="G503" s="3">
        <v>8.1250000000000003E-2</v>
      </c>
      <c r="H503" s="1" t="s">
        <v>20</v>
      </c>
      <c r="I503" t="s">
        <v>8</v>
      </c>
      <c r="J503" t="s">
        <v>601</v>
      </c>
      <c r="K503" s="9">
        <v>32.9</v>
      </c>
      <c r="L503" t="s">
        <v>9</v>
      </c>
      <c r="M503">
        <v>502</v>
      </c>
      <c r="N503" t="s">
        <v>32</v>
      </c>
      <c r="O503" s="3">
        <f>(Sala[[#This Row],[Hora de Salida]]-Sala[[#This Row],[Hora de llegada]])+IF(Sala[[#This Row],[Estado de la Mesa]]="Ocupada",(TEXT((15/(60*24)),"h:mm")),(TEXT(0,"h:mm")))</f>
        <v>0.05</v>
      </c>
      <c r="P503" s="43">
        <f>(SUMIF(Cocina[Número de Orden],Sala[[#This Row],[Número de Orden]],Cocina[Tiempo de Preparación]))</f>
        <v>73</v>
      </c>
      <c r="Q503" s="5" t="str">
        <f>TEXT(((SUMIF(Cocina[Número de Orden],Sala[[#This Row],[Número de Orden]],Cocina[Tiempo de Preparación]))/(60*24)),"h:mm")</f>
        <v>1:13</v>
      </c>
      <c r="R503" s="3">
        <f>MAX((Sala[[#This Row],[Tiempo de permanencia]]-Sala[[#This Row],[Tiempo de preparación (h)]]),0)</f>
        <v>0</v>
      </c>
      <c r="S503" s="8">
        <f>SUMIF(Cocina[Número de Orden],Sala[[#This Row],[Número de Orden]],Cocina[Ganancia bruta])</f>
        <v>139</v>
      </c>
      <c r="T503" s="8">
        <f>SUMIF(Cocina[Número de Orden],Sala[[#This Row],[Número de Orden]],Cocina[Costo Unitario])</f>
        <v>43</v>
      </c>
      <c r="U503" s="2">
        <f>Sala[[#This Row],[Fecha de Salida]]</f>
        <v>45022</v>
      </c>
      <c r="V503" s="7" t="str">
        <f>TEXT(Sala[[#This Row],[Fecha factura]],"dddd")</f>
        <v>jueves</v>
      </c>
      <c r="W503" t="str">
        <f>IF(Sala[[#This Row],[Tiempo de degustación]]&gt;0,"Sí","No")</f>
        <v>No</v>
      </c>
      <c r="X503" t="str">
        <f>IF(Sala[[#This Row],[Cobrada]]="Sí",Sala[[#This Row],[Método de Pago]],"Impago")</f>
        <v>Impago</v>
      </c>
      <c r="Y503">
        <f>IF(Sala[[#This Row],[Cobrada]]="Sí",Sala[[#This Row],[Propina]],0)</f>
        <v>0</v>
      </c>
      <c r="Z503">
        <f>(IF(Sala[[#This Row],[Cobrada]]="Sí",Sala[[#This Row],[Monto total]],0))+Sala[[#This Row],[Propina real]]</f>
        <v>0</v>
      </c>
    </row>
    <row r="504" spans="1:26" x14ac:dyDescent="0.25">
      <c r="A504">
        <v>3</v>
      </c>
      <c r="B504" t="s">
        <v>456</v>
      </c>
      <c r="C504">
        <v>1</v>
      </c>
      <c r="D504" s="2">
        <v>45022</v>
      </c>
      <c r="E504" s="3">
        <v>9.7222222222222224E-2</v>
      </c>
      <c r="F504" s="2">
        <v>45022</v>
      </c>
      <c r="G504" s="3">
        <v>0.16805555555555557</v>
      </c>
      <c r="H504" s="1" t="s">
        <v>7</v>
      </c>
      <c r="I504" t="s">
        <v>8</v>
      </c>
      <c r="J504" t="s">
        <v>601</v>
      </c>
      <c r="K504" s="9">
        <v>35.840000000000003</v>
      </c>
      <c r="L504" t="s">
        <v>9</v>
      </c>
      <c r="M504">
        <v>503</v>
      </c>
      <c r="N504" t="s">
        <v>594</v>
      </c>
      <c r="O504" s="3">
        <f>(Sala[[#This Row],[Hora de Salida]]-Sala[[#This Row],[Hora de llegada]])+IF(Sala[[#This Row],[Estado de la Mesa]]="Ocupada",(TEXT((15/(60*24)),"h:mm")),(TEXT(0,"h:mm")))</f>
        <v>7.0833333333333345E-2</v>
      </c>
      <c r="P504" s="43">
        <f>(SUMIF(Cocina[Número de Orden],Sala[[#This Row],[Número de Orden]],Cocina[Tiempo de Preparación]))</f>
        <v>85</v>
      </c>
      <c r="Q504" s="5" t="str">
        <f>TEXT(((SUMIF(Cocina[Número de Orden],Sala[[#This Row],[Número de Orden]],Cocina[Tiempo de Preparación]))/(60*24)),"h:mm")</f>
        <v>1:25</v>
      </c>
      <c r="R504" s="3">
        <f>MAX((Sala[[#This Row],[Tiempo de permanencia]]-Sala[[#This Row],[Tiempo de preparación (h)]]),0)</f>
        <v>1.1805555555555569E-2</v>
      </c>
      <c r="S504" s="8">
        <f>SUMIF(Cocina[Número de Orden],Sala[[#This Row],[Número de Orden]],Cocina[Ganancia bruta])</f>
        <v>137</v>
      </c>
      <c r="T504" s="8">
        <f>SUMIF(Cocina[Número de Orden],Sala[[#This Row],[Número de Orden]],Cocina[Costo Unitario])</f>
        <v>36</v>
      </c>
      <c r="U504" s="2">
        <f>Sala[[#This Row],[Fecha de Salida]]</f>
        <v>45022</v>
      </c>
      <c r="V504" s="7" t="str">
        <f>TEXT(Sala[[#This Row],[Fecha factura]],"dddd")</f>
        <v>jueves</v>
      </c>
      <c r="W504" t="str">
        <f>IF(Sala[[#This Row],[Tiempo de degustación]]&gt;0,"Sí","No")</f>
        <v>Sí</v>
      </c>
      <c r="X504" t="str">
        <f>IF(Sala[[#This Row],[Cobrada]]="Sí",Sala[[#This Row],[Método de Pago]],"Impago")</f>
        <v>Tarjeta de crédito</v>
      </c>
      <c r="Y504">
        <f>IF(Sala[[#This Row],[Cobrada]]="Sí",Sala[[#This Row],[Propina]],0)</f>
        <v>35.840000000000003</v>
      </c>
      <c r="Z504">
        <f>(IF(Sala[[#This Row],[Cobrada]]="Sí",Sala[[#This Row],[Monto total]],0))+Sala[[#This Row],[Propina real]]</f>
        <v>172.84</v>
      </c>
    </row>
    <row r="505" spans="1:26" x14ac:dyDescent="0.25">
      <c r="A505">
        <v>2</v>
      </c>
      <c r="B505" t="s">
        <v>457</v>
      </c>
      <c r="C505">
        <v>5</v>
      </c>
      <c r="D505" s="2">
        <v>45022</v>
      </c>
      <c r="E505" s="3">
        <v>9.0277777777777776E-2</v>
      </c>
      <c r="F505" s="2">
        <v>45022</v>
      </c>
      <c r="G505" s="3">
        <v>0.2</v>
      </c>
      <c r="H505" s="1" t="s">
        <v>20</v>
      </c>
      <c r="I505" t="s">
        <v>25</v>
      </c>
      <c r="J505" t="s">
        <v>13</v>
      </c>
      <c r="K505" s="9">
        <v>31.31</v>
      </c>
      <c r="L505" t="s">
        <v>9</v>
      </c>
      <c r="M505">
        <v>504</v>
      </c>
      <c r="N505" t="s">
        <v>18</v>
      </c>
      <c r="O505" s="3">
        <f>(Sala[[#This Row],[Hora de Salida]]-Sala[[#This Row],[Hora de llegada]])+IF(Sala[[#This Row],[Estado de la Mesa]]="Ocupada",(TEXT((15/(60*24)),"h:mm")),(TEXT(0,"h:mm")))</f>
        <v>0.10972222222222223</v>
      </c>
      <c r="P505" s="43">
        <f>(SUMIF(Cocina[Número de Orden],Sala[[#This Row],[Número de Orden]],Cocina[Tiempo de Preparación]))</f>
        <v>19</v>
      </c>
      <c r="Q505" s="5" t="str">
        <f>TEXT(((SUMIF(Cocina[Número de Orden],Sala[[#This Row],[Número de Orden]],Cocina[Tiempo de Preparación]))/(60*24)),"h:mm")</f>
        <v>0:19</v>
      </c>
      <c r="R505" s="3">
        <f>MAX((Sala[[#This Row],[Tiempo de permanencia]]-Sala[[#This Row],[Tiempo de preparación (h)]]),0)</f>
        <v>9.6527777777777796E-2</v>
      </c>
      <c r="S505" s="8">
        <f>SUMIF(Cocina[Número de Orden],Sala[[#This Row],[Número de Orden]],Cocina[Ganancia bruta])</f>
        <v>54</v>
      </c>
      <c r="T505" s="8">
        <f>SUMIF(Cocina[Número de Orden],Sala[[#This Row],[Número de Orden]],Cocina[Costo Unitario])</f>
        <v>16</v>
      </c>
      <c r="U505" s="2">
        <f>Sala[[#This Row],[Fecha de Salida]]</f>
        <v>45022</v>
      </c>
      <c r="V505" s="7" t="str">
        <f>TEXT(Sala[[#This Row],[Fecha factura]],"dddd")</f>
        <v>jueves</v>
      </c>
      <c r="W505" t="str">
        <f>IF(Sala[[#This Row],[Tiempo de degustación]]&gt;0,"Sí","No")</f>
        <v>Sí</v>
      </c>
      <c r="X505" t="str">
        <f>IF(Sala[[#This Row],[Cobrada]]="Sí",Sala[[#This Row],[Método de Pago]],"Impago")</f>
        <v>Efectivo</v>
      </c>
      <c r="Y505">
        <f>IF(Sala[[#This Row],[Cobrada]]="Sí",Sala[[#This Row],[Propina]],0)</f>
        <v>31.31</v>
      </c>
      <c r="Z505">
        <f>(IF(Sala[[#This Row],[Cobrada]]="Sí",Sala[[#This Row],[Monto total]],0))+Sala[[#This Row],[Propina real]]</f>
        <v>85.31</v>
      </c>
    </row>
    <row r="506" spans="1:26" x14ac:dyDescent="0.25">
      <c r="A506">
        <v>5</v>
      </c>
      <c r="B506" t="s">
        <v>458</v>
      </c>
      <c r="C506">
        <v>1</v>
      </c>
      <c r="D506" s="2">
        <v>45022</v>
      </c>
      <c r="E506" s="3">
        <v>0.10972222222222222</v>
      </c>
      <c r="F506" s="2">
        <v>45022</v>
      </c>
      <c r="G506" s="3">
        <v>0.25486111111111109</v>
      </c>
      <c r="H506" s="1" t="s">
        <v>16</v>
      </c>
      <c r="I506" t="s">
        <v>25</v>
      </c>
      <c r="J506" t="s">
        <v>601</v>
      </c>
      <c r="K506" s="9">
        <v>25.76</v>
      </c>
      <c r="L506" t="s">
        <v>9</v>
      </c>
      <c r="M506">
        <v>505</v>
      </c>
      <c r="N506" t="s">
        <v>14</v>
      </c>
      <c r="O506" s="3">
        <f>(Sala[[#This Row],[Hora de Salida]]-Sala[[#This Row],[Hora de llegada]])+IF(Sala[[#This Row],[Estado de la Mesa]]="Ocupada",(TEXT((15/(60*24)),"h:mm")),(TEXT(0,"h:mm")))</f>
        <v>0.14513888888888887</v>
      </c>
      <c r="P506" s="43">
        <f>(SUMIF(Cocina[Número de Orden],Sala[[#This Row],[Número de Orden]],Cocina[Tiempo de Preparación]))</f>
        <v>115</v>
      </c>
      <c r="Q506" s="5" t="str">
        <f>TEXT(((SUMIF(Cocina[Número de Orden],Sala[[#This Row],[Número de Orden]],Cocina[Tiempo de Preparación]))/(60*24)),"h:mm")</f>
        <v>1:55</v>
      </c>
      <c r="R506" s="3">
        <f>MAX((Sala[[#This Row],[Tiempo de permanencia]]-Sala[[#This Row],[Tiempo de preparación (h)]]),0)</f>
        <v>6.5277777777777768E-2</v>
      </c>
      <c r="S506" s="8">
        <f>SUMIF(Cocina[Número de Orden],Sala[[#This Row],[Número de Orden]],Cocina[Ganancia bruta])</f>
        <v>155</v>
      </c>
      <c r="T506" s="8">
        <f>SUMIF(Cocina[Número de Orden],Sala[[#This Row],[Número de Orden]],Cocina[Costo Unitario])</f>
        <v>40</v>
      </c>
      <c r="U506" s="2">
        <f>Sala[[#This Row],[Fecha de Salida]]</f>
        <v>45022</v>
      </c>
      <c r="V506" s="7" t="str">
        <f>TEXT(Sala[[#This Row],[Fecha factura]],"dddd")</f>
        <v>jueves</v>
      </c>
      <c r="W506" t="str">
        <f>IF(Sala[[#This Row],[Tiempo de degustación]]&gt;0,"Sí","No")</f>
        <v>Sí</v>
      </c>
      <c r="X506" t="str">
        <f>IF(Sala[[#This Row],[Cobrada]]="Sí",Sala[[#This Row],[Método de Pago]],"Impago")</f>
        <v>Tarjeta de crédito</v>
      </c>
      <c r="Y506">
        <f>IF(Sala[[#This Row],[Cobrada]]="Sí",Sala[[#This Row],[Propina]],0)</f>
        <v>25.76</v>
      </c>
      <c r="Z506">
        <f>(IF(Sala[[#This Row],[Cobrada]]="Sí",Sala[[#This Row],[Monto total]],0))+Sala[[#This Row],[Propina real]]</f>
        <v>180.76</v>
      </c>
    </row>
    <row r="507" spans="1:26" x14ac:dyDescent="0.25">
      <c r="A507">
        <v>18</v>
      </c>
      <c r="B507" t="s">
        <v>459</v>
      </c>
      <c r="C507">
        <v>2</v>
      </c>
      <c r="D507" s="2">
        <v>45022</v>
      </c>
      <c r="E507" s="3">
        <v>8.4027777777777785E-2</v>
      </c>
      <c r="F507" s="2">
        <v>45022</v>
      </c>
      <c r="G507" s="3">
        <v>0.16805555555555557</v>
      </c>
      <c r="H507" s="1" t="s">
        <v>7</v>
      </c>
      <c r="I507" t="s">
        <v>25</v>
      </c>
      <c r="J507" t="s">
        <v>601</v>
      </c>
      <c r="K507" s="9">
        <v>11.65</v>
      </c>
      <c r="L507" t="s">
        <v>28</v>
      </c>
      <c r="M507">
        <v>506</v>
      </c>
      <c r="N507" t="s">
        <v>21</v>
      </c>
      <c r="O507" s="3">
        <f>(Sala[[#This Row],[Hora de Salida]]-Sala[[#This Row],[Hora de llegada]])+IF(Sala[[#This Row],[Estado de la Mesa]]="Ocupada",(TEXT((15/(60*24)),"h:mm")),(TEXT(0,"h:mm")))</f>
        <v>9.4444444444444456E-2</v>
      </c>
      <c r="P507" s="43">
        <f>(SUMIF(Cocina[Número de Orden],Sala[[#This Row],[Número de Orden]],Cocina[Tiempo de Preparación]))</f>
        <v>5</v>
      </c>
      <c r="Q507" s="5" t="str">
        <f>TEXT(((SUMIF(Cocina[Número de Orden],Sala[[#This Row],[Número de Orden]],Cocina[Tiempo de Preparación]))/(60*24)),"h:mm")</f>
        <v>0:05</v>
      </c>
      <c r="R507" s="3">
        <f>MAX((Sala[[#This Row],[Tiempo de permanencia]]-Sala[[#This Row],[Tiempo de preparación (h)]]),0)</f>
        <v>9.0972222222222232E-2</v>
      </c>
      <c r="S507" s="8">
        <f>SUMIF(Cocina[Número de Orden],Sala[[#This Row],[Número de Orden]],Cocina[Ganancia bruta])</f>
        <v>70</v>
      </c>
      <c r="T507" s="8">
        <f>SUMIF(Cocina[Número de Orden],Sala[[#This Row],[Número de Orden]],Cocina[Costo Unitario])</f>
        <v>21</v>
      </c>
      <c r="U507" s="2">
        <f>Sala[[#This Row],[Fecha de Salida]]</f>
        <v>45022</v>
      </c>
      <c r="V507" s="7" t="str">
        <f>TEXT(Sala[[#This Row],[Fecha factura]],"dddd")</f>
        <v>jueves</v>
      </c>
      <c r="W507" t="str">
        <f>IF(Sala[[#This Row],[Tiempo de degustación]]&gt;0,"Sí","No")</f>
        <v>Sí</v>
      </c>
      <c r="X507" t="str">
        <f>IF(Sala[[#This Row],[Cobrada]]="Sí",Sala[[#This Row],[Método de Pago]],"Impago")</f>
        <v>Tarjeta de crédito</v>
      </c>
      <c r="Y507">
        <f>IF(Sala[[#This Row],[Cobrada]]="Sí",Sala[[#This Row],[Propina]],0)</f>
        <v>11.65</v>
      </c>
      <c r="Z507">
        <f>(IF(Sala[[#This Row],[Cobrada]]="Sí",Sala[[#This Row],[Monto total]],0))+Sala[[#This Row],[Propina real]]</f>
        <v>81.650000000000006</v>
      </c>
    </row>
    <row r="508" spans="1:26" x14ac:dyDescent="0.25">
      <c r="A508">
        <v>18</v>
      </c>
      <c r="B508" t="s">
        <v>431</v>
      </c>
      <c r="C508">
        <v>4</v>
      </c>
      <c r="D508" s="2">
        <v>45022</v>
      </c>
      <c r="E508" s="3">
        <v>0.14305555555555555</v>
      </c>
      <c r="F508" s="2">
        <v>45022</v>
      </c>
      <c r="G508" s="3">
        <v>0.1875</v>
      </c>
      <c r="H508" s="1" t="s">
        <v>16</v>
      </c>
      <c r="I508" t="s">
        <v>12</v>
      </c>
      <c r="J508" t="s">
        <v>601</v>
      </c>
      <c r="K508" s="9">
        <v>43.42</v>
      </c>
      <c r="L508" t="s">
        <v>17</v>
      </c>
      <c r="M508">
        <v>507</v>
      </c>
      <c r="N508" t="s">
        <v>32</v>
      </c>
      <c r="O508" s="3">
        <f>(Sala[[#This Row],[Hora de Salida]]-Sala[[#This Row],[Hora de llegada]])+IF(Sala[[#This Row],[Estado de la Mesa]]="Ocupada",(TEXT((15/(60*24)),"h:mm")),(TEXT(0,"h:mm")))</f>
        <v>4.4444444444444453E-2</v>
      </c>
      <c r="P508" s="43">
        <f>(SUMIF(Cocina[Número de Orden],Sala[[#This Row],[Número de Orden]],Cocina[Tiempo de Preparación]))</f>
        <v>69</v>
      </c>
      <c r="Q508" s="5" t="str">
        <f>TEXT(((SUMIF(Cocina[Número de Orden],Sala[[#This Row],[Número de Orden]],Cocina[Tiempo de Preparación]))/(60*24)),"h:mm")</f>
        <v>1:09</v>
      </c>
      <c r="R508" s="3">
        <f>MAX((Sala[[#This Row],[Tiempo de permanencia]]-Sala[[#This Row],[Tiempo de preparación (h)]]),0)</f>
        <v>0</v>
      </c>
      <c r="S508" s="8">
        <f>SUMIF(Cocina[Número de Orden],Sala[[#This Row],[Número de Orden]],Cocina[Ganancia bruta])</f>
        <v>210</v>
      </c>
      <c r="T508" s="8">
        <f>SUMIF(Cocina[Número de Orden],Sala[[#This Row],[Número de Orden]],Cocina[Costo Unitario])</f>
        <v>42</v>
      </c>
      <c r="U508" s="2">
        <f>Sala[[#This Row],[Fecha de Salida]]</f>
        <v>45022</v>
      </c>
      <c r="V508" s="7" t="str">
        <f>TEXT(Sala[[#This Row],[Fecha factura]],"dddd")</f>
        <v>jueves</v>
      </c>
      <c r="W508" t="str">
        <f>IF(Sala[[#This Row],[Tiempo de degustación]]&gt;0,"Sí","No")</f>
        <v>No</v>
      </c>
      <c r="X508" t="str">
        <f>IF(Sala[[#This Row],[Cobrada]]="Sí",Sala[[#This Row],[Método de Pago]],"Impago")</f>
        <v>Impago</v>
      </c>
      <c r="Y508">
        <f>IF(Sala[[#This Row],[Cobrada]]="Sí",Sala[[#This Row],[Propina]],0)</f>
        <v>0</v>
      </c>
      <c r="Z508">
        <f>(IF(Sala[[#This Row],[Cobrada]]="Sí",Sala[[#This Row],[Monto total]],0))+Sala[[#This Row],[Propina real]]</f>
        <v>0</v>
      </c>
    </row>
    <row r="509" spans="1:26" x14ac:dyDescent="0.25">
      <c r="A509">
        <v>6</v>
      </c>
      <c r="B509" t="s">
        <v>460</v>
      </c>
      <c r="C509">
        <v>1</v>
      </c>
      <c r="D509" s="2">
        <v>45022</v>
      </c>
      <c r="E509" s="3">
        <v>0.11805555555555555</v>
      </c>
      <c r="F509" s="2">
        <v>45022</v>
      </c>
      <c r="G509" s="3">
        <v>0.27430555555555558</v>
      </c>
      <c r="H509" s="1" t="s">
        <v>20</v>
      </c>
      <c r="I509" t="s">
        <v>8</v>
      </c>
      <c r="J509" t="s">
        <v>601</v>
      </c>
      <c r="K509" s="9">
        <v>42.8</v>
      </c>
      <c r="L509" t="s">
        <v>9</v>
      </c>
      <c r="M509">
        <v>508</v>
      </c>
      <c r="N509" t="s">
        <v>18</v>
      </c>
      <c r="O509" s="3">
        <f>(Sala[[#This Row],[Hora de Salida]]-Sala[[#This Row],[Hora de llegada]])+IF(Sala[[#This Row],[Estado de la Mesa]]="Ocupada",(TEXT((15/(60*24)),"h:mm")),(TEXT(0,"h:mm")))</f>
        <v>0.15625000000000003</v>
      </c>
      <c r="P509" s="43">
        <f>(SUMIF(Cocina[Número de Orden],Sala[[#This Row],[Número de Orden]],Cocina[Tiempo de Preparación]))</f>
        <v>34</v>
      </c>
      <c r="Q509" s="5" t="str">
        <f>TEXT(((SUMIF(Cocina[Número de Orden],Sala[[#This Row],[Número de Orden]],Cocina[Tiempo de Preparación]))/(60*24)),"h:mm")</f>
        <v>0:34</v>
      </c>
      <c r="R509" s="3">
        <f>MAX((Sala[[#This Row],[Tiempo de permanencia]]-Sala[[#This Row],[Tiempo de preparación (h)]]),0)</f>
        <v>0.13263888888888892</v>
      </c>
      <c r="S509" s="8">
        <f>SUMIF(Cocina[Número de Orden],Sala[[#This Row],[Número de Orden]],Cocina[Ganancia bruta])</f>
        <v>32</v>
      </c>
      <c r="T509" s="8">
        <f>SUMIF(Cocina[Número de Orden],Sala[[#This Row],[Número de Orden]],Cocina[Costo Unitario])</f>
        <v>19</v>
      </c>
      <c r="U509" s="2">
        <f>Sala[[#This Row],[Fecha de Salida]]</f>
        <v>45022</v>
      </c>
      <c r="V509" s="7" t="str">
        <f>TEXT(Sala[[#This Row],[Fecha factura]],"dddd")</f>
        <v>jueves</v>
      </c>
      <c r="W509" t="str">
        <f>IF(Sala[[#This Row],[Tiempo de degustación]]&gt;0,"Sí","No")</f>
        <v>Sí</v>
      </c>
      <c r="X509" t="str">
        <f>IF(Sala[[#This Row],[Cobrada]]="Sí",Sala[[#This Row],[Método de Pago]],"Impago")</f>
        <v>Tarjeta de crédito</v>
      </c>
      <c r="Y509">
        <f>IF(Sala[[#This Row],[Cobrada]]="Sí",Sala[[#This Row],[Propina]],0)</f>
        <v>42.8</v>
      </c>
      <c r="Z509">
        <f>(IF(Sala[[#This Row],[Cobrada]]="Sí",Sala[[#This Row],[Monto total]],0))+Sala[[#This Row],[Propina real]]</f>
        <v>74.8</v>
      </c>
    </row>
    <row r="510" spans="1:26" x14ac:dyDescent="0.25">
      <c r="A510">
        <v>5</v>
      </c>
      <c r="B510" t="s">
        <v>93</v>
      </c>
      <c r="C510">
        <v>3</v>
      </c>
      <c r="D510" s="2">
        <v>45022</v>
      </c>
      <c r="E510" s="3">
        <v>0.13333333333333333</v>
      </c>
      <c r="F510" s="2">
        <v>45022</v>
      </c>
      <c r="G510" s="3">
        <v>0.25138888888888888</v>
      </c>
      <c r="H510" s="1" t="s">
        <v>11</v>
      </c>
      <c r="I510" t="s">
        <v>12</v>
      </c>
      <c r="J510" t="s">
        <v>601</v>
      </c>
      <c r="K510" s="9">
        <v>16.260000000000002</v>
      </c>
      <c r="L510" t="s">
        <v>28</v>
      </c>
      <c r="M510">
        <v>509</v>
      </c>
      <c r="N510" t="s">
        <v>18</v>
      </c>
      <c r="O510" s="3">
        <f>(Sala[[#This Row],[Hora de Salida]]-Sala[[#This Row],[Hora de llegada]])+IF(Sala[[#This Row],[Estado de la Mesa]]="Ocupada",(TEXT((15/(60*24)),"h:mm")),(TEXT(0,"h:mm")))</f>
        <v>0.12847222222222221</v>
      </c>
      <c r="P510" s="43">
        <f>(SUMIF(Cocina[Número de Orden],Sala[[#This Row],[Número de Orden]],Cocina[Tiempo de Preparación]))</f>
        <v>47</v>
      </c>
      <c r="Q510" s="5" t="str">
        <f>TEXT(((SUMIF(Cocina[Número de Orden],Sala[[#This Row],[Número de Orden]],Cocina[Tiempo de Preparación]))/(60*24)),"h:mm")</f>
        <v>0:47</v>
      </c>
      <c r="R510" s="3">
        <f>MAX((Sala[[#This Row],[Tiempo de permanencia]]-Sala[[#This Row],[Tiempo de preparación (h)]]),0)</f>
        <v>9.5833333333333326E-2</v>
      </c>
      <c r="S510" s="8">
        <f>SUMIF(Cocina[Número de Orden],Sala[[#This Row],[Número de Orden]],Cocina[Ganancia bruta])</f>
        <v>80</v>
      </c>
      <c r="T510" s="8">
        <f>SUMIF(Cocina[Número de Orden],Sala[[#This Row],[Número de Orden]],Cocina[Costo Unitario])</f>
        <v>25</v>
      </c>
      <c r="U510" s="2">
        <f>Sala[[#This Row],[Fecha de Salida]]</f>
        <v>45022</v>
      </c>
      <c r="V510" s="7" t="str">
        <f>TEXT(Sala[[#This Row],[Fecha factura]],"dddd")</f>
        <v>jueves</v>
      </c>
      <c r="W510" t="str">
        <f>IF(Sala[[#This Row],[Tiempo de degustación]]&gt;0,"Sí","No")</f>
        <v>Sí</v>
      </c>
      <c r="X510" t="str">
        <f>IF(Sala[[#This Row],[Cobrada]]="Sí",Sala[[#This Row],[Método de Pago]],"Impago")</f>
        <v>Tarjeta de crédito</v>
      </c>
      <c r="Y510">
        <f>IF(Sala[[#This Row],[Cobrada]]="Sí",Sala[[#This Row],[Propina]],0)</f>
        <v>16.260000000000002</v>
      </c>
      <c r="Z510">
        <f>(IF(Sala[[#This Row],[Cobrada]]="Sí",Sala[[#This Row],[Monto total]],0))+Sala[[#This Row],[Propina real]]</f>
        <v>96.26</v>
      </c>
    </row>
    <row r="511" spans="1:26" x14ac:dyDescent="0.25">
      <c r="A511">
        <v>6</v>
      </c>
      <c r="B511" t="s">
        <v>461</v>
      </c>
      <c r="C511">
        <v>4</v>
      </c>
      <c r="D511" s="2">
        <v>45022</v>
      </c>
      <c r="E511" s="3">
        <v>0.14722222222222223</v>
      </c>
      <c r="F511" s="2">
        <v>45022</v>
      </c>
      <c r="G511" s="3">
        <v>0.18958333333333333</v>
      </c>
      <c r="H511" s="1" t="s">
        <v>23</v>
      </c>
      <c r="I511" t="s">
        <v>8</v>
      </c>
      <c r="J511" t="s">
        <v>601</v>
      </c>
      <c r="K511" s="9">
        <v>14.97</v>
      </c>
      <c r="L511" t="s">
        <v>17</v>
      </c>
      <c r="M511">
        <v>510</v>
      </c>
      <c r="N511" t="s">
        <v>21</v>
      </c>
      <c r="O511" s="3">
        <f>(Sala[[#This Row],[Hora de Salida]]-Sala[[#This Row],[Hora de llegada]])+IF(Sala[[#This Row],[Estado de la Mesa]]="Ocupada",(TEXT((15/(60*24)),"h:mm")),(TEXT(0,"h:mm")))</f>
        <v>4.2361111111111099E-2</v>
      </c>
      <c r="P511" s="43">
        <f>(SUMIF(Cocina[Número de Orden],Sala[[#This Row],[Número de Orden]],Cocina[Tiempo de Preparación]))</f>
        <v>48</v>
      </c>
      <c r="Q511" s="5" t="str">
        <f>TEXT(((SUMIF(Cocina[Número de Orden],Sala[[#This Row],[Número de Orden]],Cocina[Tiempo de Preparación]))/(60*24)),"h:mm")</f>
        <v>0:48</v>
      </c>
      <c r="R511" s="3">
        <f>MAX((Sala[[#This Row],[Tiempo de permanencia]]-Sala[[#This Row],[Tiempo de preparación (h)]]),0)</f>
        <v>9.0277777777777665E-3</v>
      </c>
      <c r="S511" s="8">
        <f>SUMIF(Cocina[Número de Orden],Sala[[#This Row],[Número de Orden]],Cocina[Ganancia bruta])</f>
        <v>36</v>
      </c>
      <c r="T511" s="8">
        <f>SUMIF(Cocina[Número de Orden],Sala[[#This Row],[Número de Orden]],Cocina[Costo Unitario])</f>
        <v>22</v>
      </c>
      <c r="U511" s="2">
        <f>Sala[[#This Row],[Fecha de Salida]]</f>
        <v>45022</v>
      </c>
      <c r="V511" s="7" t="str">
        <f>TEXT(Sala[[#This Row],[Fecha factura]],"dddd")</f>
        <v>jueves</v>
      </c>
      <c r="W511" t="str">
        <f>IF(Sala[[#This Row],[Tiempo de degustación]]&gt;0,"Sí","No")</f>
        <v>Sí</v>
      </c>
      <c r="X511" t="str">
        <f>IF(Sala[[#This Row],[Cobrada]]="Sí",Sala[[#This Row],[Método de Pago]],"Impago")</f>
        <v>Tarjeta de crédito</v>
      </c>
      <c r="Y511">
        <f>IF(Sala[[#This Row],[Cobrada]]="Sí",Sala[[#This Row],[Propina]],0)</f>
        <v>14.97</v>
      </c>
      <c r="Z511">
        <f>(IF(Sala[[#This Row],[Cobrada]]="Sí",Sala[[#This Row],[Monto total]],0))+Sala[[#This Row],[Propina real]]</f>
        <v>50.97</v>
      </c>
    </row>
    <row r="512" spans="1:26" x14ac:dyDescent="0.25">
      <c r="A512">
        <v>2</v>
      </c>
      <c r="B512" t="s">
        <v>462</v>
      </c>
      <c r="C512">
        <v>1</v>
      </c>
      <c r="D512" s="2">
        <v>45022</v>
      </c>
      <c r="E512" s="3">
        <v>6.805555555555555E-2</v>
      </c>
      <c r="F512" s="2">
        <v>45022</v>
      </c>
      <c r="G512" s="3">
        <v>0.14097222222222222</v>
      </c>
      <c r="H512" s="1" t="s">
        <v>11</v>
      </c>
      <c r="I512" t="s">
        <v>8</v>
      </c>
      <c r="J512" t="s">
        <v>601</v>
      </c>
      <c r="K512" s="9">
        <v>35.950000000000003</v>
      </c>
      <c r="L512" t="s">
        <v>17</v>
      </c>
      <c r="M512">
        <v>511</v>
      </c>
      <c r="N512" t="s">
        <v>59</v>
      </c>
      <c r="O512" s="3">
        <f>(Sala[[#This Row],[Hora de Salida]]-Sala[[#This Row],[Hora de llegada]])+IF(Sala[[#This Row],[Estado de la Mesa]]="Ocupada",(TEXT((15/(60*24)),"h:mm")),(TEXT(0,"h:mm")))</f>
        <v>7.2916666666666671E-2</v>
      </c>
      <c r="P512" s="43">
        <f>(SUMIF(Cocina[Número de Orden],Sala[[#This Row],[Número de Orden]],Cocina[Tiempo de Preparación]))</f>
        <v>38</v>
      </c>
      <c r="Q512" s="5" t="str">
        <f>TEXT(((SUMIF(Cocina[Número de Orden],Sala[[#This Row],[Número de Orden]],Cocina[Tiempo de Preparación]))/(60*24)),"h:mm")</f>
        <v>0:38</v>
      </c>
      <c r="R512" s="3">
        <f>MAX((Sala[[#This Row],[Tiempo de permanencia]]-Sala[[#This Row],[Tiempo de preparación (h)]]),0)</f>
        <v>4.6527777777777779E-2</v>
      </c>
      <c r="S512" s="8">
        <f>SUMIF(Cocina[Número de Orden],Sala[[#This Row],[Número de Orden]],Cocina[Ganancia bruta])</f>
        <v>137</v>
      </c>
      <c r="T512" s="8">
        <f>SUMIF(Cocina[Número de Orden],Sala[[#This Row],[Número de Orden]],Cocina[Costo Unitario])</f>
        <v>34</v>
      </c>
      <c r="U512" s="2">
        <f>Sala[[#This Row],[Fecha de Salida]]</f>
        <v>45022</v>
      </c>
      <c r="V512" s="7" t="str">
        <f>TEXT(Sala[[#This Row],[Fecha factura]],"dddd")</f>
        <v>jueves</v>
      </c>
      <c r="W512" t="str">
        <f>IF(Sala[[#This Row],[Tiempo de degustación]]&gt;0,"Sí","No")</f>
        <v>Sí</v>
      </c>
      <c r="X512" t="str">
        <f>IF(Sala[[#This Row],[Cobrada]]="Sí",Sala[[#This Row],[Método de Pago]],"Impago")</f>
        <v>Tarjeta de crédito</v>
      </c>
      <c r="Y512">
        <f>IF(Sala[[#This Row],[Cobrada]]="Sí",Sala[[#This Row],[Propina]],0)</f>
        <v>35.950000000000003</v>
      </c>
      <c r="Z512">
        <f>(IF(Sala[[#This Row],[Cobrada]]="Sí",Sala[[#This Row],[Monto total]],0))+Sala[[#This Row],[Propina real]]</f>
        <v>172.95</v>
      </c>
    </row>
    <row r="513" spans="1:26" x14ac:dyDescent="0.25">
      <c r="A513">
        <v>2</v>
      </c>
      <c r="B513" t="s">
        <v>390</v>
      </c>
      <c r="C513">
        <v>1</v>
      </c>
      <c r="D513" s="2">
        <v>45022</v>
      </c>
      <c r="E513" s="3">
        <v>5.486111111111111E-2</v>
      </c>
      <c r="F513" s="2">
        <v>45022</v>
      </c>
      <c r="G513" s="3">
        <v>0.10138888888888889</v>
      </c>
      <c r="H513" s="1" t="s">
        <v>20</v>
      </c>
      <c r="I513" t="s">
        <v>8</v>
      </c>
      <c r="J513" t="s">
        <v>601</v>
      </c>
      <c r="K513" s="9">
        <v>37.369999999999997</v>
      </c>
      <c r="L513" t="s">
        <v>28</v>
      </c>
      <c r="M513">
        <v>512</v>
      </c>
      <c r="N513" t="s">
        <v>594</v>
      </c>
      <c r="O513" s="3">
        <f>(Sala[[#This Row],[Hora de Salida]]-Sala[[#This Row],[Hora de llegada]])+IF(Sala[[#This Row],[Estado de la Mesa]]="Ocupada",(TEXT((15/(60*24)),"h:mm")),(TEXT(0,"h:mm")))</f>
        <v>5.6944444444444443E-2</v>
      </c>
      <c r="P513" s="43">
        <f>(SUMIF(Cocina[Número de Orden],Sala[[#This Row],[Número de Orden]],Cocina[Tiempo de Preparación]))</f>
        <v>59</v>
      </c>
      <c r="Q513" s="5" t="str">
        <f>TEXT(((SUMIF(Cocina[Número de Orden],Sala[[#This Row],[Número de Orden]],Cocina[Tiempo de Preparación]))/(60*24)),"h:mm")</f>
        <v>0:59</v>
      </c>
      <c r="R513" s="3">
        <f>MAX((Sala[[#This Row],[Tiempo de permanencia]]-Sala[[#This Row],[Tiempo de preparación (h)]]),0)</f>
        <v>1.5972222222222221E-2</v>
      </c>
      <c r="S513" s="8">
        <f>SUMIF(Cocina[Número de Orden],Sala[[#This Row],[Número de Orden]],Cocina[Ganancia bruta])</f>
        <v>128</v>
      </c>
      <c r="T513" s="8">
        <f>SUMIF(Cocina[Número de Orden],Sala[[#This Row],[Número de Orden]],Cocina[Costo Unitario])</f>
        <v>34</v>
      </c>
      <c r="U513" s="2">
        <f>Sala[[#This Row],[Fecha de Salida]]</f>
        <v>45022</v>
      </c>
      <c r="V513" s="7" t="str">
        <f>TEXT(Sala[[#This Row],[Fecha factura]],"dddd")</f>
        <v>jueves</v>
      </c>
      <c r="W513" t="str">
        <f>IF(Sala[[#This Row],[Tiempo de degustación]]&gt;0,"Sí","No")</f>
        <v>Sí</v>
      </c>
      <c r="X513" t="str">
        <f>IF(Sala[[#This Row],[Cobrada]]="Sí",Sala[[#This Row],[Método de Pago]],"Impago")</f>
        <v>Tarjeta de crédito</v>
      </c>
      <c r="Y513">
        <f>IF(Sala[[#This Row],[Cobrada]]="Sí",Sala[[#This Row],[Propina]],0)</f>
        <v>37.369999999999997</v>
      </c>
      <c r="Z513">
        <f>(IF(Sala[[#This Row],[Cobrada]]="Sí",Sala[[#This Row],[Monto total]],0))+Sala[[#This Row],[Propina real]]</f>
        <v>165.37</v>
      </c>
    </row>
    <row r="514" spans="1:26" x14ac:dyDescent="0.25">
      <c r="A514">
        <v>8</v>
      </c>
      <c r="B514" t="s">
        <v>37</v>
      </c>
      <c r="C514">
        <v>6</v>
      </c>
      <c r="D514" s="2">
        <v>45022</v>
      </c>
      <c r="E514" s="3">
        <v>6.1111111111111109E-2</v>
      </c>
      <c r="F514" s="2">
        <v>45022</v>
      </c>
      <c r="G514" s="3">
        <v>0.20208333333333334</v>
      </c>
      <c r="H514" s="1" t="s">
        <v>7</v>
      </c>
      <c r="I514" t="s">
        <v>12</v>
      </c>
      <c r="J514" t="s">
        <v>601</v>
      </c>
      <c r="K514" s="9">
        <v>22.74</v>
      </c>
      <c r="L514" t="s">
        <v>28</v>
      </c>
      <c r="M514">
        <v>513</v>
      </c>
      <c r="N514" t="s">
        <v>32</v>
      </c>
      <c r="O514" s="3">
        <f>(Sala[[#This Row],[Hora de Salida]]-Sala[[#This Row],[Hora de llegada]])+IF(Sala[[#This Row],[Estado de la Mesa]]="Ocupada",(TEXT((15/(60*24)),"h:mm")),(TEXT(0,"h:mm")))</f>
        <v>0.15138888888888888</v>
      </c>
      <c r="P514" s="43">
        <f>(SUMIF(Cocina[Número de Orden],Sala[[#This Row],[Número de Orden]],Cocina[Tiempo de Preparación]))</f>
        <v>56</v>
      </c>
      <c r="Q514" s="5" t="str">
        <f>TEXT(((SUMIF(Cocina[Número de Orden],Sala[[#This Row],[Número de Orden]],Cocina[Tiempo de Preparación]))/(60*24)),"h:mm")</f>
        <v>0:56</v>
      </c>
      <c r="R514" s="3">
        <f>MAX((Sala[[#This Row],[Tiempo de permanencia]]-Sala[[#This Row],[Tiempo de preparación (h)]]),0)</f>
        <v>0.11249999999999999</v>
      </c>
      <c r="S514" s="8">
        <f>SUMIF(Cocina[Número de Orden],Sala[[#This Row],[Número de Orden]],Cocina[Ganancia bruta])</f>
        <v>54</v>
      </c>
      <c r="T514" s="8">
        <f>SUMIF(Cocina[Número de Orden],Sala[[#This Row],[Número de Orden]],Cocina[Costo Unitario])</f>
        <v>10</v>
      </c>
      <c r="U514" s="2">
        <f>Sala[[#This Row],[Fecha de Salida]]</f>
        <v>45022</v>
      </c>
      <c r="V514" s="7" t="str">
        <f>TEXT(Sala[[#This Row],[Fecha factura]],"dddd")</f>
        <v>jueves</v>
      </c>
      <c r="W514" t="str">
        <f>IF(Sala[[#This Row],[Tiempo de degustación]]&gt;0,"Sí","No")</f>
        <v>Sí</v>
      </c>
      <c r="X514" t="str">
        <f>IF(Sala[[#This Row],[Cobrada]]="Sí",Sala[[#This Row],[Método de Pago]],"Impago")</f>
        <v>Tarjeta de crédito</v>
      </c>
      <c r="Y514">
        <f>IF(Sala[[#This Row],[Cobrada]]="Sí",Sala[[#This Row],[Propina]],0)</f>
        <v>22.74</v>
      </c>
      <c r="Z514">
        <f>(IF(Sala[[#This Row],[Cobrada]]="Sí",Sala[[#This Row],[Monto total]],0))+Sala[[#This Row],[Propina real]]</f>
        <v>76.739999999999995</v>
      </c>
    </row>
    <row r="515" spans="1:26" x14ac:dyDescent="0.25">
      <c r="A515">
        <v>18</v>
      </c>
      <c r="B515" t="s">
        <v>463</v>
      </c>
      <c r="C515">
        <v>5</v>
      </c>
      <c r="D515" s="2">
        <v>45022</v>
      </c>
      <c r="E515" s="3">
        <v>5.486111111111111E-2</v>
      </c>
      <c r="F515" s="2">
        <v>45022</v>
      </c>
      <c r="G515" s="3">
        <v>0.19166666666666668</v>
      </c>
      <c r="H515" s="1" t="s">
        <v>23</v>
      </c>
      <c r="I515" t="s">
        <v>8</v>
      </c>
      <c r="J515" t="s">
        <v>601</v>
      </c>
      <c r="K515" s="9">
        <v>38.840000000000003</v>
      </c>
      <c r="L515" t="s">
        <v>17</v>
      </c>
      <c r="M515">
        <v>514</v>
      </c>
      <c r="N515" t="s">
        <v>47</v>
      </c>
      <c r="O515" s="3">
        <f>(Sala[[#This Row],[Hora de Salida]]-Sala[[#This Row],[Hora de llegada]])+IF(Sala[[#This Row],[Estado de la Mesa]]="Ocupada",(TEXT((15/(60*24)),"h:mm")),(TEXT(0,"h:mm")))</f>
        <v>0.13680555555555557</v>
      </c>
      <c r="P515" s="43">
        <f>(SUMIF(Cocina[Número de Orden],Sala[[#This Row],[Número de Orden]],Cocina[Tiempo de Preparación]))</f>
        <v>112</v>
      </c>
      <c r="Q515" s="5" t="str">
        <f>TEXT(((SUMIF(Cocina[Número de Orden],Sala[[#This Row],[Número de Orden]],Cocina[Tiempo de Preparación]))/(60*24)),"h:mm")</f>
        <v>1:52</v>
      </c>
      <c r="R515" s="3">
        <f>MAX((Sala[[#This Row],[Tiempo de permanencia]]-Sala[[#This Row],[Tiempo de preparación (h)]]),0)</f>
        <v>5.902777777777779E-2</v>
      </c>
      <c r="S515" s="8">
        <f>SUMIF(Cocina[Número de Orden],Sala[[#This Row],[Número de Orden]],Cocina[Ganancia bruta])</f>
        <v>174</v>
      </c>
      <c r="T515" s="8">
        <f>SUMIF(Cocina[Número de Orden],Sala[[#This Row],[Número de Orden]],Cocina[Costo Unitario])</f>
        <v>57</v>
      </c>
      <c r="U515" s="2">
        <f>Sala[[#This Row],[Fecha de Salida]]</f>
        <v>45022</v>
      </c>
      <c r="V515" s="7" t="str">
        <f>TEXT(Sala[[#This Row],[Fecha factura]],"dddd")</f>
        <v>jueves</v>
      </c>
      <c r="W515" t="str">
        <f>IF(Sala[[#This Row],[Tiempo de degustación]]&gt;0,"Sí","No")</f>
        <v>Sí</v>
      </c>
      <c r="X515" t="str">
        <f>IF(Sala[[#This Row],[Cobrada]]="Sí",Sala[[#This Row],[Método de Pago]],"Impago")</f>
        <v>Tarjeta de crédito</v>
      </c>
      <c r="Y515">
        <f>IF(Sala[[#This Row],[Cobrada]]="Sí",Sala[[#This Row],[Propina]],0)</f>
        <v>38.840000000000003</v>
      </c>
      <c r="Z515">
        <f>(IF(Sala[[#This Row],[Cobrada]]="Sí",Sala[[#This Row],[Monto total]],0))+Sala[[#This Row],[Propina real]]</f>
        <v>212.84</v>
      </c>
    </row>
    <row r="516" spans="1:26" x14ac:dyDescent="0.25">
      <c r="A516">
        <v>19</v>
      </c>
      <c r="B516" t="s">
        <v>337</v>
      </c>
      <c r="C516">
        <v>2</v>
      </c>
      <c r="D516" s="2">
        <v>45022</v>
      </c>
      <c r="E516" s="3">
        <v>4.027777777777778E-2</v>
      </c>
      <c r="F516" s="2">
        <v>45022</v>
      </c>
      <c r="G516" s="3">
        <v>8.5416666666666669E-2</v>
      </c>
      <c r="H516" s="1" t="s">
        <v>16</v>
      </c>
      <c r="I516" t="s">
        <v>8</v>
      </c>
      <c r="J516" t="s">
        <v>601</v>
      </c>
      <c r="K516" s="9">
        <v>43.79</v>
      </c>
      <c r="L516" t="s">
        <v>28</v>
      </c>
      <c r="M516">
        <v>515</v>
      </c>
      <c r="N516" t="s">
        <v>47</v>
      </c>
      <c r="O516" s="3">
        <f>(Sala[[#This Row],[Hora de Salida]]-Sala[[#This Row],[Hora de llegada]])+IF(Sala[[#This Row],[Estado de la Mesa]]="Ocupada",(TEXT((15/(60*24)),"h:mm")),(TEXT(0,"h:mm")))</f>
        <v>5.5555555555555552E-2</v>
      </c>
      <c r="P516" s="43">
        <f>(SUMIF(Cocina[Número de Orden],Sala[[#This Row],[Número de Orden]],Cocina[Tiempo de Preparación]))</f>
        <v>13</v>
      </c>
      <c r="Q516" s="5" t="str">
        <f>TEXT(((SUMIF(Cocina[Número de Orden],Sala[[#This Row],[Número de Orden]],Cocina[Tiempo de Preparación]))/(60*24)),"h:mm")</f>
        <v>0:13</v>
      </c>
      <c r="R516" s="3">
        <f>MAX((Sala[[#This Row],[Tiempo de permanencia]]-Sala[[#This Row],[Tiempo de preparación (h)]]),0)</f>
        <v>4.6527777777777779E-2</v>
      </c>
      <c r="S516" s="8">
        <f>SUMIF(Cocina[Número de Orden],Sala[[#This Row],[Número de Orden]],Cocina[Ganancia bruta])</f>
        <v>18</v>
      </c>
      <c r="T516" s="8">
        <f>SUMIF(Cocina[Número de Orden],Sala[[#This Row],[Número de Orden]],Cocina[Costo Unitario])</f>
        <v>10</v>
      </c>
      <c r="U516" s="2">
        <f>Sala[[#This Row],[Fecha de Salida]]</f>
        <v>45022</v>
      </c>
      <c r="V516" s="7" t="str">
        <f>TEXT(Sala[[#This Row],[Fecha factura]],"dddd")</f>
        <v>jueves</v>
      </c>
      <c r="W516" t="str">
        <f>IF(Sala[[#This Row],[Tiempo de degustación]]&gt;0,"Sí","No")</f>
        <v>Sí</v>
      </c>
      <c r="X516" t="str">
        <f>IF(Sala[[#This Row],[Cobrada]]="Sí",Sala[[#This Row],[Método de Pago]],"Impago")</f>
        <v>Tarjeta de crédito</v>
      </c>
      <c r="Y516">
        <f>IF(Sala[[#This Row],[Cobrada]]="Sí",Sala[[#This Row],[Propina]],0)</f>
        <v>43.79</v>
      </c>
      <c r="Z516">
        <f>(IF(Sala[[#This Row],[Cobrada]]="Sí",Sala[[#This Row],[Monto total]],0))+Sala[[#This Row],[Propina real]]</f>
        <v>61.79</v>
      </c>
    </row>
    <row r="517" spans="1:26" x14ac:dyDescent="0.25">
      <c r="A517">
        <v>7</v>
      </c>
      <c r="B517" t="s">
        <v>464</v>
      </c>
      <c r="C517">
        <v>2</v>
      </c>
      <c r="D517" s="2">
        <v>45022</v>
      </c>
      <c r="E517" s="3">
        <v>0.16319444444444445</v>
      </c>
      <c r="F517" s="2">
        <v>45022</v>
      </c>
      <c r="G517" s="3">
        <v>0.2076388888888889</v>
      </c>
      <c r="H517" s="1" t="s">
        <v>23</v>
      </c>
      <c r="I517" t="s">
        <v>8</v>
      </c>
      <c r="J517" t="s">
        <v>601</v>
      </c>
      <c r="K517" s="9">
        <v>20.85</v>
      </c>
      <c r="L517" t="s">
        <v>9</v>
      </c>
      <c r="M517">
        <v>516</v>
      </c>
      <c r="N517" t="s">
        <v>21</v>
      </c>
      <c r="O517" s="3">
        <f>(Sala[[#This Row],[Hora de Salida]]-Sala[[#This Row],[Hora de llegada]])+IF(Sala[[#This Row],[Estado de la Mesa]]="Ocupada",(TEXT((15/(60*24)),"h:mm")),(TEXT(0,"h:mm")))</f>
        <v>4.4444444444444453E-2</v>
      </c>
      <c r="P517" s="43">
        <f>(SUMIF(Cocina[Número de Orden],Sala[[#This Row],[Número de Orden]],Cocina[Tiempo de Preparación]))</f>
        <v>97</v>
      </c>
      <c r="Q517" s="5" t="str">
        <f>TEXT(((SUMIF(Cocina[Número de Orden],Sala[[#This Row],[Número de Orden]],Cocina[Tiempo de Preparación]))/(60*24)),"h:mm")</f>
        <v>1:37</v>
      </c>
      <c r="R517" s="3">
        <f>MAX((Sala[[#This Row],[Tiempo de permanencia]]-Sala[[#This Row],[Tiempo de preparación (h)]]),0)</f>
        <v>0</v>
      </c>
      <c r="S517" s="8">
        <f>SUMIF(Cocina[Número de Orden],Sala[[#This Row],[Número de Orden]],Cocina[Ganancia bruta])</f>
        <v>146</v>
      </c>
      <c r="T517" s="8">
        <f>SUMIF(Cocina[Número de Orden],Sala[[#This Row],[Número de Orden]],Cocina[Costo Unitario])</f>
        <v>37</v>
      </c>
      <c r="U517" s="2">
        <f>Sala[[#This Row],[Fecha de Salida]]</f>
        <v>45022</v>
      </c>
      <c r="V517" s="7" t="str">
        <f>TEXT(Sala[[#This Row],[Fecha factura]],"dddd")</f>
        <v>jueves</v>
      </c>
      <c r="W517" t="str">
        <f>IF(Sala[[#This Row],[Tiempo de degustación]]&gt;0,"Sí","No")</f>
        <v>No</v>
      </c>
      <c r="X517" t="str">
        <f>IF(Sala[[#This Row],[Cobrada]]="Sí",Sala[[#This Row],[Método de Pago]],"Impago")</f>
        <v>Impago</v>
      </c>
      <c r="Y517">
        <f>IF(Sala[[#This Row],[Cobrada]]="Sí",Sala[[#This Row],[Propina]],0)</f>
        <v>0</v>
      </c>
      <c r="Z517">
        <f>(IF(Sala[[#This Row],[Cobrada]]="Sí",Sala[[#This Row],[Monto total]],0))+Sala[[#This Row],[Propina real]]</f>
        <v>0</v>
      </c>
    </row>
    <row r="518" spans="1:26" x14ac:dyDescent="0.25">
      <c r="A518">
        <v>4</v>
      </c>
      <c r="B518" t="s">
        <v>380</v>
      </c>
      <c r="C518">
        <v>5</v>
      </c>
      <c r="D518" s="2">
        <v>45022</v>
      </c>
      <c r="E518" s="3">
        <v>6.5972222222222224E-2</v>
      </c>
      <c r="F518" s="2">
        <v>45022</v>
      </c>
      <c r="G518" s="3">
        <v>0.22916666666666666</v>
      </c>
      <c r="H518" s="1" t="s">
        <v>23</v>
      </c>
      <c r="I518" t="s">
        <v>8</v>
      </c>
      <c r="J518" t="s">
        <v>13</v>
      </c>
      <c r="K518" s="9">
        <v>23.92</v>
      </c>
      <c r="L518" t="s">
        <v>9</v>
      </c>
      <c r="M518">
        <v>517</v>
      </c>
      <c r="N518" t="s">
        <v>44</v>
      </c>
      <c r="O518" s="3">
        <f>(Sala[[#This Row],[Hora de Salida]]-Sala[[#This Row],[Hora de llegada]])+IF(Sala[[#This Row],[Estado de la Mesa]]="Ocupada",(TEXT((15/(60*24)),"h:mm")),(TEXT(0,"h:mm")))</f>
        <v>0.16319444444444442</v>
      </c>
      <c r="P518" s="43">
        <f>(SUMIF(Cocina[Número de Orden],Sala[[#This Row],[Número de Orden]],Cocina[Tiempo de Preparación]))</f>
        <v>65</v>
      </c>
      <c r="Q518" s="5" t="str">
        <f>TEXT(((SUMIF(Cocina[Número de Orden],Sala[[#This Row],[Número de Orden]],Cocina[Tiempo de Preparación]))/(60*24)),"h:mm")</f>
        <v>1:05</v>
      </c>
      <c r="R518" s="3">
        <f>MAX((Sala[[#This Row],[Tiempo de permanencia]]-Sala[[#This Row],[Tiempo de preparación (h)]]),0)</f>
        <v>0.11805555555555552</v>
      </c>
      <c r="S518" s="8">
        <f>SUMIF(Cocina[Número de Orden],Sala[[#This Row],[Número de Orden]],Cocina[Ganancia bruta])</f>
        <v>103</v>
      </c>
      <c r="T518" s="8">
        <f>SUMIF(Cocina[Número de Orden],Sala[[#This Row],[Número de Orden]],Cocina[Costo Unitario])</f>
        <v>38</v>
      </c>
      <c r="U518" s="2">
        <f>Sala[[#This Row],[Fecha de Salida]]</f>
        <v>45022</v>
      </c>
      <c r="V518" s="7" t="str">
        <f>TEXT(Sala[[#This Row],[Fecha factura]],"dddd")</f>
        <v>jueves</v>
      </c>
      <c r="W518" t="str">
        <f>IF(Sala[[#This Row],[Tiempo de degustación]]&gt;0,"Sí","No")</f>
        <v>Sí</v>
      </c>
      <c r="X518" t="str">
        <f>IF(Sala[[#This Row],[Cobrada]]="Sí",Sala[[#This Row],[Método de Pago]],"Impago")</f>
        <v>Efectivo</v>
      </c>
      <c r="Y518">
        <f>IF(Sala[[#This Row],[Cobrada]]="Sí",Sala[[#This Row],[Propina]],0)</f>
        <v>23.92</v>
      </c>
      <c r="Z518">
        <f>(IF(Sala[[#This Row],[Cobrada]]="Sí",Sala[[#This Row],[Monto total]],0))+Sala[[#This Row],[Propina real]]</f>
        <v>126.92</v>
      </c>
    </row>
    <row r="519" spans="1:26" x14ac:dyDescent="0.25">
      <c r="A519">
        <v>5</v>
      </c>
      <c r="B519" t="s">
        <v>163</v>
      </c>
      <c r="C519">
        <v>6</v>
      </c>
      <c r="D519" s="2">
        <v>45022</v>
      </c>
      <c r="E519" s="3">
        <v>8.8888888888888892E-2</v>
      </c>
      <c r="F519" s="2">
        <v>45022</v>
      </c>
      <c r="G519" s="3">
        <v>0.25138888888888888</v>
      </c>
      <c r="H519" s="1" t="s">
        <v>23</v>
      </c>
      <c r="I519" t="s">
        <v>12</v>
      </c>
      <c r="J519" t="s">
        <v>601</v>
      </c>
      <c r="K519" s="9">
        <v>18.48</v>
      </c>
      <c r="L519" t="s">
        <v>28</v>
      </c>
      <c r="M519">
        <v>518</v>
      </c>
      <c r="N519" t="s">
        <v>14</v>
      </c>
      <c r="O519" s="3">
        <f>(Sala[[#This Row],[Hora de Salida]]-Sala[[#This Row],[Hora de llegada]])+IF(Sala[[#This Row],[Estado de la Mesa]]="Ocupada",(TEXT((15/(60*24)),"h:mm")),(TEXT(0,"h:mm")))</f>
        <v>0.17291666666666664</v>
      </c>
      <c r="P519" s="43">
        <f>(SUMIF(Cocina[Número de Orden],Sala[[#This Row],[Número de Orden]],Cocina[Tiempo de Preparación]))</f>
        <v>53</v>
      </c>
      <c r="Q519" s="5" t="str">
        <f>TEXT(((SUMIF(Cocina[Número de Orden],Sala[[#This Row],[Número de Orden]],Cocina[Tiempo de Preparación]))/(60*24)),"h:mm")</f>
        <v>0:53</v>
      </c>
      <c r="R519" s="3">
        <f>MAX((Sala[[#This Row],[Tiempo de permanencia]]-Sala[[#This Row],[Tiempo de preparación (h)]]),0)</f>
        <v>0.13611111111111107</v>
      </c>
      <c r="S519" s="8">
        <f>SUMIF(Cocina[Número de Orden],Sala[[#This Row],[Número de Orden]],Cocina[Ganancia bruta])</f>
        <v>77</v>
      </c>
      <c r="T519" s="8">
        <f>SUMIF(Cocina[Número de Orden],Sala[[#This Row],[Número de Orden]],Cocina[Costo Unitario])</f>
        <v>33</v>
      </c>
      <c r="U519" s="2">
        <f>Sala[[#This Row],[Fecha de Salida]]</f>
        <v>45022</v>
      </c>
      <c r="V519" s="7" t="str">
        <f>TEXT(Sala[[#This Row],[Fecha factura]],"dddd")</f>
        <v>jueves</v>
      </c>
      <c r="W519" t="str">
        <f>IF(Sala[[#This Row],[Tiempo de degustación]]&gt;0,"Sí","No")</f>
        <v>Sí</v>
      </c>
      <c r="X519" t="str">
        <f>IF(Sala[[#This Row],[Cobrada]]="Sí",Sala[[#This Row],[Método de Pago]],"Impago")</f>
        <v>Tarjeta de crédito</v>
      </c>
      <c r="Y519">
        <f>IF(Sala[[#This Row],[Cobrada]]="Sí",Sala[[#This Row],[Propina]],0)</f>
        <v>18.48</v>
      </c>
      <c r="Z519">
        <f>(IF(Sala[[#This Row],[Cobrada]]="Sí",Sala[[#This Row],[Monto total]],0))+Sala[[#This Row],[Propina real]]</f>
        <v>95.48</v>
      </c>
    </row>
    <row r="520" spans="1:26" x14ac:dyDescent="0.25">
      <c r="A520">
        <v>6</v>
      </c>
      <c r="B520" t="s">
        <v>465</v>
      </c>
      <c r="C520">
        <v>2</v>
      </c>
      <c r="D520" s="2">
        <v>45022</v>
      </c>
      <c r="E520" s="3">
        <v>3.3333333333333333E-2</v>
      </c>
      <c r="F520" s="2">
        <v>45022</v>
      </c>
      <c r="G520" s="3">
        <v>0.15902777777777777</v>
      </c>
      <c r="H520" s="1" t="s">
        <v>20</v>
      </c>
      <c r="I520" t="s">
        <v>8</v>
      </c>
      <c r="J520" t="s">
        <v>601</v>
      </c>
      <c r="K520" s="9">
        <v>34.590000000000003</v>
      </c>
      <c r="L520" t="s">
        <v>17</v>
      </c>
      <c r="M520">
        <v>519</v>
      </c>
      <c r="N520" t="s">
        <v>21</v>
      </c>
      <c r="O520" s="3">
        <f>(Sala[[#This Row],[Hora de Salida]]-Sala[[#This Row],[Hora de llegada]])+IF(Sala[[#This Row],[Estado de la Mesa]]="Ocupada",(TEXT((15/(60*24)),"h:mm")),(TEXT(0,"h:mm")))</f>
        <v>0.12569444444444444</v>
      </c>
      <c r="P520" s="43">
        <f>(SUMIF(Cocina[Número de Orden],Sala[[#This Row],[Número de Orden]],Cocina[Tiempo de Preparación]))</f>
        <v>156</v>
      </c>
      <c r="Q520" s="5" t="str">
        <f>TEXT(((SUMIF(Cocina[Número de Orden],Sala[[#This Row],[Número de Orden]],Cocina[Tiempo de Preparación]))/(60*24)),"h:mm")</f>
        <v>2:36</v>
      </c>
      <c r="R520" s="3">
        <f>MAX((Sala[[#This Row],[Tiempo de permanencia]]-Sala[[#This Row],[Tiempo de preparación (h)]]),0)</f>
        <v>1.7361111111111105E-2</v>
      </c>
      <c r="S520" s="8">
        <f>SUMIF(Cocina[Número de Orden],Sala[[#This Row],[Número de Orden]],Cocina[Ganancia bruta])</f>
        <v>245</v>
      </c>
      <c r="T520" s="8">
        <f>SUMIF(Cocina[Número de Orden],Sala[[#This Row],[Número de Orden]],Cocina[Costo Unitario])</f>
        <v>54</v>
      </c>
      <c r="U520" s="2">
        <f>Sala[[#This Row],[Fecha de Salida]]</f>
        <v>45022</v>
      </c>
      <c r="V520" s="7" t="str">
        <f>TEXT(Sala[[#This Row],[Fecha factura]],"dddd")</f>
        <v>jueves</v>
      </c>
      <c r="W520" t="str">
        <f>IF(Sala[[#This Row],[Tiempo de degustación]]&gt;0,"Sí","No")</f>
        <v>Sí</v>
      </c>
      <c r="X520" t="str">
        <f>IF(Sala[[#This Row],[Cobrada]]="Sí",Sala[[#This Row],[Método de Pago]],"Impago")</f>
        <v>Tarjeta de crédito</v>
      </c>
      <c r="Y520">
        <f>IF(Sala[[#This Row],[Cobrada]]="Sí",Sala[[#This Row],[Propina]],0)</f>
        <v>34.590000000000003</v>
      </c>
      <c r="Z520">
        <f>(IF(Sala[[#This Row],[Cobrada]]="Sí",Sala[[#This Row],[Monto total]],0))+Sala[[#This Row],[Propina real]]</f>
        <v>279.59000000000003</v>
      </c>
    </row>
    <row r="521" spans="1:26" x14ac:dyDescent="0.25">
      <c r="A521">
        <v>4</v>
      </c>
      <c r="B521" t="s">
        <v>466</v>
      </c>
      <c r="C521">
        <v>4</v>
      </c>
      <c r="D521" s="2">
        <v>45022</v>
      </c>
      <c r="E521" s="3">
        <v>0.14930555555555555</v>
      </c>
      <c r="F521" s="2">
        <v>45022</v>
      </c>
      <c r="G521" s="3">
        <v>0.26597222222222222</v>
      </c>
      <c r="H521" s="1" t="s">
        <v>23</v>
      </c>
      <c r="I521" t="s">
        <v>25</v>
      </c>
      <c r="J521" t="s">
        <v>601</v>
      </c>
      <c r="K521" s="9">
        <v>43.99</v>
      </c>
      <c r="L521" t="s">
        <v>17</v>
      </c>
      <c r="M521">
        <v>520</v>
      </c>
      <c r="N521" t="s">
        <v>14</v>
      </c>
      <c r="O521" s="3">
        <f>(Sala[[#This Row],[Hora de Salida]]-Sala[[#This Row],[Hora de llegada]])+IF(Sala[[#This Row],[Estado de la Mesa]]="Ocupada",(TEXT((15/(60*24)),"h:mm")),(TEXT(0,"h:mm")))</f>
        <v>0.11666666666666667</v>
      </c>
      <c r="P521" s="43">
        <f>(SUMIF(Cocina[Número de Orden],Sala[[#This Row],[Número de Orden]],Cocina[Tiempo de Preparación]))</f>
        <v>121</v>
      </c>
      <c r="Q521" s="5" t="str">
        <f>TEXT(((SUMIF(Cocina[Número de Orden],Sala[[#This Row],[Número de Orden]],Cocina[Tiempo de Preparación]))/(60*24)),"h:mm")</f>
        <v>2:01</v>
      </c>
      <c r="R521" s="3">
        <f>MAX((Sala[[#This Row],[Tiempo de permanencia]]-Sala[[#This Row],[Tiempo de preparación (h)]]),0)</f>
        <v>3.2638888888888884E-2</v>
      </c>
      <c r="S521" s="8">
        <f>SUMIF(Cocina[Número de Orden],Sala[[#This Row],[Número de Orden]],Cocina[Ganancia bruta])</f>
        <v>280</v>
      </c>
      <c r="T521" s="8">
        <f>SUMIF(Cocina[Número de Orden],Sala[[#This Row],[Número de Orden]],Cocina[Costo Unitario])</f>
        <v>74</v>
      </c>
      <c r="U521" s="2">
        <f>Sala[[#This Row],[Fecha de Salida]]</f>
        <v>45022</v>
      </c>
      <c r="V521" s="7" t="str">
        <f>TEXT(Sala[[#This Row],[Fecha factura]],"dddd")</f>
        <v>jueves</v>
      </c>
      <c r="W521" t="str">
        <f>IF(Sala[[#This Row],[Tiempo de degustación]]&gt;0,"Sí","No")</f>
        <v>Sí</v>
      </c>
      <c r="X521" t="str">
        <f>IF(Sala[[#This Row],[Cobrada]]="Sí",Sala[[#This Row],[Método de Pago]],"Impago")</f>
        <v>Tarjeta de crédito</v>
      </c>
      <c r="Y521">
        <f>IF(Sala[[#This Row],[Cobrada]]="Sí",Sala[[#This Row],[Propina]],0)</f>
        <v>43.99</v>
      </c>
      <c r="Z521">
        <f>(IF(Sala[[#This Row],[Cobrada]]="Sí",Sala[[#This Row],[Monto total]],0))+Sala[[#This Row],[Propina real]]</f>
        <v>323.99</v>
      </c>
    </row>
    <row r="522" spans="1:26" x14ac:dyDescent="0.25">
      <c r="A522">
        <v>18</v>
      </c>
      <c r="B522" t="s">
        <v>467</v>
      </c>
      <c r="C522">
        <v>2</v>
      </c>
      <c r="D522" s="2">
        <v>45022</v>
      </c>
      <c r="E522" s="3">
        <v>2.9861111111111113E-2</v>
      </c>
      <c r="F522" s="2">
        <v>45022</v>
      </c>
      <c r="G522" s="3">
        <v>0.12083333333333333</v>
      </c>
      <c r="H522" s="1" t="s">
        <v>23</v>
      </c>
      <c r="I522" t="s">
        <v>8</v>
      </c>
      <c r="J522" t="s">
        <v>601</v>
      </c>
      <c r="K522" s="9">
        <v>15.18</v>
      </c>
      <c r="L522" t="s">
        <v>17</v>
      </c>
      <c r="M522">
        <v>521</v>
      </c>
      <c r="N522" t="s">
        <v>32</v>
      </c>
      <c r="O522" s="3">
        <f>(Sala[[#This Row],[Hora de Salida]]-Sala[[#This Row],[Hora de llegada]])+IF(Sala[[#This Row],[Estado de la Mesa]]="Ocupada",(TEXT((15/(60*24)),"h:mm")),(TEXT(0,"h:mm")))</f>
        <v>9.0972222222222218E-2</v>
      </c>
      <c r="P522" s="43">
        <f>(SUMIF(Cocina[Número de Orden],Sala[[#This Row],[Número de Orden]],Cocina[Tiempo de Preparación]))</f>
        <v>91</v>
      </c>
      <c r="Q522" s="5" t="str">
        <f>TEXT(((SUMIF(Cocina[Número de Orden],Sala[[#This Row],[Número de Orden]],Cocina[Tiempo de Preparación]))/(60*24)),"h:mm")</f>
        <v>1:31</v>
      </c>
      <c r="R522" s="3">
        <f>MAX((Sala[[#This Row],[Tiempo de permanencia]]-Sala[[#This Row],[Tiempo de preparación (h)]]),0)</f>
        <v>2.7777777777777776E-2</v>
      </c>
      <c r="S522" s="8">
        <f>SUMIF(Cocina[Número de Orden],Sala[[#This Row],[Número de Orden]],Cocina[Ganancia bruta])</f>
        <v>210</v>
      </c>
      <c r="T522" s="8">
        <f>SUMIF(Cocina[Número de Orden],Sala[[#This Row],[Número de Orden]],Cocina[Costo Unitario])</f>
        <v>52</v>
      </c>
      <c r="U522" s="2">
        <f>Sala[[#This Row],[Fecha de Salida]]</f>
        <v>45022</v>
      </c>
      <c r="V522" s="7" t="str">
        <f>TEXT(Sala[[#This Row],[Fecha factura]],"dddd")</f>
        <v>jueves</v>
      </c>
      <c r="W522" t="str">
        <f>IF(Sala[[#This Row],[Tiempo de degustación]]&gt;0,"Sí","No")</f>
        <v>Sí</v>
      </c>
      <c r="X522" t="str">
        <f>IF(Sala[[#This Row],[Cobrada]]="Sí",Sala[[#This Row],[Método de Pago]],"Impago")</f>
        <v>Tarjeta de crédito</v>
      </c>
      <c r="Y522">
        <f>IF(Sala[[#This Row],[Cobrada]]="Sí",Sala[[#This Row],[Propina]],0)</f>
        <v>15.18</v>
      </c>
      <c r="Z522">
        <f>(IF(Sala[[#This Row],[Cobrada]]="Sí",Sala[[#This Row],[Monto total]],0))+Sala[[#This Row],[Propina real]]</f>
        <v>225.18</v>
      </c>
    </row>
    <row r="523" spans="1:26" x14ac:dyDescent="0.25">
      <c r="A523">
        <v>2</v>
      </c>
      <c r="B523" t="s">
        <v>31</v>
      </c>
      <c r="C523">
        <v>5</v>
      </c>
      <c r="D523" s="2">
        <v>45022</v>
      </c>
      <c r="E523" s="3">
        <v>6.805555555555555E-2</v>
      </c>
      <c r="F523" s="2">
        <v>45022</v>
      </c>
      <c r="G523" s="3">
        <v>0.18472222222222223</v>
      </c>
      <c r="H523" s="1" t="s">
        <v>23</v>
      </c>
      <c r="I523" t="s">
        <v>8</v>
      </c>
      <c r="J523" t="s">
        <v>13</v>
      </c>
      <c r="K523" s="9">
        <v>35.35</v>
      </c>
      <c r="L523" t="s">
        <v>17</v>
      </c>
      <c r="M523">
        <v>522</v>
      </c>
      <c r="N523" t="s">
        <v>34</v>
      </c>
      <c r="O523" s="3">
        <f>(Sala[[#This Row],[Hora de Salida]]-Sala[[#This Row],[Hora de llegada]])+IF(Sala[[#This Row],[Estado de la Mesa]]="Ocupada",(TEXT((15/(60*24)),"h:mm")),(TEXT(0,"h:mm")))</f>
        <v>0.11666666666666668</v>
      </c>
      <c r="P523" s="43">
        <f>(SUMIF(Cocina[Número de Orden],Sala[[#This Row],[Número de Orden]],Cocina[Tiempo de Preparación]))</f>
        <v>47</v>
      </c>
      <c r="Q523" s="5" t="str">
        <f>TEXT(((SUMIF(Cocina[Número de Orden],Sala[[#This Row],[Número de Orden]],Cocina[Tiempo de Preparación]))/(60*24)),"h:mm")</f>
        <v>0:47</v>
      </c>
      <c r="R523" s="3">
        <f>MAX((Sala[[#This Row],[Tiempo de permanencia]]-Sala[[#This Row],[Tiempo de preparación (h)]]),0)</f>
        <v>8.4027777777777785E-2</v>
      </c>
      <c r="S523" s="8">
        <f>SUMIF(Cocina[Número de Orden],Sala[[#This Row],[Número de Orden]],Cocina[Ganancia bruta])</f>
        <v>84</v>
      </c>
      <c r="T523" s="8">
        <f>SUMIF(Cocina[Número de Orden],Sala[[#This Row],[Número de Orden]],Cocina[Costo Unitario])</f>
        <v>16</v>
      </c>
      <c r="U523" s="2">
        <f>Sala[[#This Row],[Fecha de Salida]]</f>
        <v>45022</v>
      </c>
      <c r="V523" s="7" t="str">
        <f>TEXT(Sala[[#This Row],[Fecha factura]],"dddd")</f>
        <v>jueves</v>
      </c>
      <c r="W523" t="str">
        <f>IF(Sala[[#This Row],[Tiempo de degustación]]&gt;0,"Sí","No")</f>
        <v>Sí</v>
      </c>
      <c r="X523" t="str">
        <f>IF(Sala[[#This Row],[Cobrada]]="Sí",Sala[[#This Row],[Método de Pago]],"Impago")</f>
        <v>Efectivo</v>
      </c>
      <c r="Y523">
        <f>IF(Sala[[#This Row],[Cobrada]]="Sí",Sala[[#This Row],[Propina]],0)</f>
        <v>35.35</v>
      </c>
      <c r="Z523">
        <f>(IF(Sala[[#This Row],[Cobrada]]="Sí",Sala[[#This Row],[Monto total]],0))+Sala[[#This Row],[Propina real]]</f>
        <v>119.35</v>
      </c>
    </row>
    <row r="524" spans="1:26" x14ac:dyDescent="0.25">
      <c r="A524">
        <v>4</v>
      </c>
      <c r="B524" t="s">
        <v>468</v>
      </c>
      <c r="C524">
        <v>3</v>
      </c>
      <c r="D524" s="2">
        <v>45022</v>
      </c>
      <c r="E524" s="3">
        <v>6.8750000000000006E-2</v>
      </c>
      <c r="F524" s="2">
        <v>45022</v>
      </c>
      <c r="G524" s="3">
        <v>0.19583333333333333</v>
      </c>
      <c r="H524" s="1" t="s">
        <v>20</v>
      </c>
      <c r="I524" t="s">
        <v>8</v>
      </c>
      <c r="J524" t="s">
        <v>601</v>
      </c>
      <c r="K524" s="9">
        <v>45.41</v>
      </c>
      <c r="L524" t="s">
        <v>28</v>
      </c>
      <c r="M524">
        <v>523</v>
      </c>
      <c r="N524" t="s">
        <v>59</v>
      </c>
      <c r="O524" s="3">
        <f>(Sala[[#This Row],[Hora de Salida]]-Sala[[#This Row],[Hora de llegada]])+IF(Sala[[#This Row],[Estado de la Mesa]]="Ocupada",(TEXT((15/(60*24)),"h:mm")),(TEXT(0,"h:mm")))</f>
        <v>0.13749999999999998</v>
      </c>
      <c r="P524" s="43">
        <f>(SUMIF(Cocina[Número de Orden],Sala[[#This Row],[Número de Orden]],Cocina[Tiempo de Preparación]))</f>
        <v>51</v>
      </c>
      <c r="Q524" s="5" t="str">
        <f>TEXT(((SUMIF(Cocina[Número de Orden],Sala[[#This Row],[Número de Orden]],Cocina[Tiempo de Preparación]))/(60*24)),"h:mm")</f>
        <v>0:51</v>
      </c>
      <c r="R524" s="3">
        <f>MAX((Sala[[#This Row],[Tiempo de permanencia]]-Sala[[#This Row],[Tiempo de preparación (h)]]),0)</f>
        <v>0.10208333333333332</v>
      </c>
      <c r="S524" s="8">
        <f>SUMIF(Cocina[Número de Orden],Sala[[#This Row],[Número de Orden]],Cocina[Ganancia bruta])</f>
        <v>81</v>
      </c>
      <c r="T524" s="8">
        <f>SUMIF(Cocina[Número de Orden],Sala[[#This Row],[Número de Orden]],Cocina[Costo Unitario])</f>
        <v>16</v>
      </c>
      <c r="U524" s="2">
        <f>Sala[[#This Row],[Fecha de Salida]]</f>
        <v>45022</v>
      </c>
      <c r="V524" s="7" t="str">
        <f>TEXT(Sala[[#This Row],[Fecha factura]],"dddd")</f>
        <v>jueves</v>
      </c>
      <c r="W524" t="str">
        <f>IF(Sala[[#This Row],[Tiempo de degustación]]&gt;0,"Sí","No")</f>
        <v>Sí</v>
      </c>
      <c r="X524" t="str">
        <f>IF(Sala[[#This Row],[Cobrada]]="Sí",Sala[[#This Row],[Método de Pago]],"Impago")</f>
        <v>Tarjeta de crédito</v>
      </c>
      <c r="Y524">
        <f>IF(Sala[[#This Row],[Cobrada]]="Sí",Sala[[#This Row],[Propina]],0)</f>
        <v>45.41</v>
      </c>
      <c r="Z524">
        <f>(IF(Sala[[#This Row],[Cobrada]]="Sí",Sala[[#This Row],[Monto total]],0))+Sala[[#This Row],[Propina real]]</f>
        <v>126.41</v>
      </c>
    </row>
    <row r="525" spans="1:26" x14ac:dyDescent="0.25">
      <c r="A525">
        <v>16</v>
      </c>
      <c r="B525" t="s">
        <v>469</v>
      </c>
      <c r="C525">
        <v>4</v>
      </c>
      <c r="D525" s="2">
        <v>45022</v>
      </c>
      <c r="E525" s="3">
        <v>2.0833333333333333E-3</v>
      </c>
      <c r="F525" s="2">
        <v>45022</v>
      </c>
      <c r="G525" s="3">
        <v>0.10555555555555556</v>
      </c>
      <c r="H525" s="1" t="s">
        <v>7</v>
      </c>
      <c r="I525" t="s">
        <v>8</v>
      </c>
      <c r="J525" t="s">
        <v>601</v>
      </c>
      <c r="K525" s="9">
        <v>26.91</v>
      </c>
      <c r="L525" t="s">
        <v>28</v>
      </c>
      <c r="M525">
        <v>524</v>
      </c>
      <c r="N525" t="s">
        <v>593</v>
      </c>
      <c r="O525" s="3">
        <f>(Sala[[#This Row],[Hora de Salida]]-Sala[[#This Row],[Hora de llegada]])+IF(Sala[[#This Row],[Estado de la Mesa]]="Ocupada",(TEXT((15/(60*24)),"h:mm")),(TEXT(0,"h:mm")))</f>
        <v>0.11388888888888889</v>
      </c>
      <c r="P525" s="43">
        <f>(SUMIF(Cocina[Número de Orden],Sala[[#This Row],[Número de Orden]],Cocina[Tiempo de Preparación]))</f>
        <v>61</v>
      </c>
      <c r="Q525" s="5" t="str">
        <f>TEXT(((SUMIF(Cocina[Número de Orden],Sala[[#This Row],[Número de Orden]],Cocina[Tiempo de Preparación]))/(60*24)),"h:mm")</f>
        <v>1:01</v>
      </c>
      <c r="R525" s="3">
        <f>MAX((Sala[[#This Row],[Tiempo de permanencia]]-Sala[[#This Row],[Tiempo de preparación (h)]]),0)</f>
        <v>7.1527777777777773E-2</v>
      </c>
      <c r="S525" s="8">
        <f>SUMIF(Cocina[Número de Orden],Sala[[#This Row],[Número de Orden]],Cocina[Ganancia bruta])</f>
        <v>76</v>
      </c>
      <c r="T525" s="8">
        <f>SUMIF(Cocina[Número de Orden],Sala[[#This Row],[Número de Orden]],Cocina[Costo Unitario])</f>
        <v>29</v>
      </c>
      <c r="U525" s="2">
        <f>Sala[[#This Row],[Fecha de Salida]]</f>
        <v>45022</v>
      </c>
      <c r="V525" s="7" t="str">
        <f>TEXT(Sala[[#This Row],[Fecha factura]],"dddd")</f>
        <v>jueves</v>
      </c>
      <c r="W525" t="str">
        <f>IF(Sala[[#This Row],[Tiempo de degustación]]&gt;0,"Sí","No")</f>
        <v>Sí</v>
      </c>
      <c r="X525" t="str">
        <f>IF(Sala[[#This Row],[Cobrada]]="Sí",Sala[[#This Row],[Método de Pago]],"Impago")</f>
        <v>Tarjeta de crédito</v>
      </c>
      <c r="Y525">
        <f>IF(Sala[[#This Row],[Cobrada]]="Sí",Sala[[#This Row],[Propina]],0)</f>
        <v>26.91</v>
      </c>
      <c r="Z525">
        <f>(IF(Sala[[#This Row],[Cobrada]]="Sí",Sala[[#This Row],[Monto total]],0))+Sala[[#This Row],[Propina real]]</f>
        <v>102.91</v>
      </c>
    </row>
    <row r="526" spans="1:26" x14ac:dyDescent="0.25">
      <c r="A526">
        <v>16</v>
      </c>
      <c r="B526" t="s">
        <v>227</v>
      </c>
      <c r="C526">
        <v>3</v>
      </c>
      <c r="D526" s="2">
        <v>45022</v>
      </c>
      <c r="E526" s="3">
        <v>0.14374999999999999</v>
      </c>
      <c r="F526" s="2">
        <v>45022</v>
      </c>
      <c r="G526" s="3">
        <v>0.30138888888888887</v>
      </c>
      <c r="H526" s="1" t="s">
        <v>7</v>
      </c>
      <c r="I526" t="s">
        <v>8</v>
      </c>
      <c r="J526" t="s">
        <v>601</v>
      </c>
      <c r="K526" s="9">
        <v>32.869999999999997</v>
      </c>
      <c r="L526" t="s">
        <v>28</v>
      </c>
      <c r="M526">
        <v>525</v>
      </c>
      <c r="N526" t="s">
        <v>29</v>
      </c>
      <c r="O526" s="3">
        <f>(Sala[[#This Row],[Hora de Salida]]-Sala[[#This Row],[Hora de llegada]])+IF(Sala[[#This Row],[Estado de la Mesa]]="Ocupada",(TEXT((15/(60*24)),"h:mm")),(TEXT(0,"h:mm")))</f>
        <v>0.16805555555555554</v>
      </c>
      <c r="P526" s="43">
        <f>(SUMIF(Cocina[Número de Orden],Sala[[#This Row],[Número de Orden]],Cocina[Tiempo de Preparación]))</f>
        <v>77</v>
      </c>
      <c r="Q526" s="5" t="str">
        <f>TEXT(((SUMIF(Cocina[Número de Orden],Sala[[#This Row],[Número de Orden]],Cocina[Tiempo de Preparación]))/(60*24)),"h:mm")</f>
        <v>1:17</v>
      </c>
      <c r="R526" s="3">
        <f>MAX((Sala[[#This Row],[Tiempo de permanencia]]-Sala[[#This Row],[Tiempo de preparación (h)]]),0)</f>
        <v>0.11458333333333331</v>
      </c>
      <c r="S526" s="8">
        <f>SUMIF(Cocina[Número de Orden],Sala[[#This Row],[Número de Orden]],Cocina[Ganancia bruta])</f>
        <v>197</v>
      </c>
      <c r="T526" s="8">
        <f>SUMIF(Cocina[Número de Orden],Sala[[#This Row],[Número de Orden]],Cocina[Costo Unitario])</f>
        <v>54</v>
      </c>
      <c r="U526" s="2">
        <f>Sala[[#This Row],[Fecha de Salida]]</f>
        <v>45022</v>
      </c>
      <c r="V526" s="7" t="str">
        <f>TEXT(Sala[[#This Row],[Fecha factura]],"dddd")</f>
        <v>jueves</v>
      </c>
      <c r="W526" t="str">
        <f>IF(Sala[[#This Row],[Tiempo de degustación]]&gt;0,"Sí","No")</f>
        <v>Sí</v>
      </c>
      <c r="X526" t="str">
        <f>IF(Sala[[#This Row],[Cobrada]]="Sí",Sala[[#This Row],[Método de Pago]],"Impago")</f>
        <v>Tarjeta de crédito</v>
      </c>
      <c r="Y526">
        <f>IF(Sala[[#This Row],[Cobrada]]="Sí",Sala[[#This Row],[Propina]],0)</f>
        <v>32.869999999999997</v>
      </c>
      <c r="Z526">
        <f>(IF(Sala[[#This Row],[Cobrada]]="Sí",Sala[[#This Row],[Monto total]],0))+Sala[[#This Row],[Propina real]]</f>
        <v>229.87</v>
      </c>
    </row>
    <row r="527" spans="1:26" x14ac:dyDescent="0.25">
      <c r="A527">
        <v>4</v>
      </c>
      <c r="B527" t="s">
        <v>470</v>
      </c>
      <c r="C527">
        <v>6</v>
      </c>
      <c r="D527" s="2">
        <v>45022</v>
      </c>
      <c r="E527" s="3">
        <v>0.15555555555555556</v>
      </c>
      <c r="F527" s="2">
        <v>45022</v>
      </c>
      <c r="G527" s="3">
        <v>0.23680555555555555</v>
      </c>
      <c r="H527" s="1" t="s">
        <v>23</v>
      </c>
      <c r="I527" t="s">
        <v>25</v>
      </c>
      <c r="J527" t="s">
        <v>600</v>
      </c>
      <c r="K527" s="9">
        <v>43.02</v>
      </c>
      <c r="L527" t="s">
        <v>17</v>
      </c>
      <c r="M527">
        <v>526</v>
      </c>
      <c r="N527" t="s">
        <v>32</v>
      </c>
      <c r="O527" s="3">
        <f>(Sala[[#This Row],[Hora de Salida]]-Sala[[#This Row],[Hora de llegada]])+IF(Sala[[#This Row],[Estado de la Mesa]]="Ocupada",(TEXT((15/(60*24)),"h:mm")),(TEXT(0,"h:mm")))</f>
        <v>8.1249999999999989E-2</v>
      </c>
      <c r="P527" s="43">
        <f>(SUMIF(Cocina[Número de Orden],Sala[[#This Row],[Número de Orden]],Cocina[Tiempo de Preparación]))</f>
        <v>22</v>
      </c>
      <c r="Q527" s="5" t="str">
        <f>TEXT(((SUMIF(Cocina[Número de Orden],Sala[[#This Row],[Número de Orden]],Cocina[Tiempo de Preparación]))/(60*24)),"h:mm")</f>
        <v>0:22</v>
      </c>
      <c r="R527" s="3">
        <f>MAX((Sala[[#This Row],[Tiempo de permanencia]]-Sala[[#This Row],[Tiempo de preparación (h)]]),0)</f>
        <v>6.597222222222221E-2</v>
      </c>
      <c r="S527" s="8">
        <f>SUMIF(Cocina[Número de Orden],Sala[[#This Row],[Número de Orden]],Cocina[Ganancia bruta])</f>
        <v>33</v>
      </c>
      <c r="T527" s="8">
        <f>SUMIF(Cocina[Número de Orden],Sala[[#This Row],[Número de Orden]],Cocina[Costo Unitario])</f>
        <v>20</v>
      </c>
      <c r="U527" s="2">
        <f>Sala[[#This Row],[Fecha de Salida]]</f>
        <v>45022</v>
      </c>
      <c r="V527" s="7" t="str">
        <f>TEXT(Sala[[#This Row],[Fecha factura]],"dddd")</f>
        <v>jueves</v>
      </c>
      <c r="W527" t="str">
        <f>IF(Sala[[#This Row],[Tiempo de degustación]]&gt;0,"Sí","No")</f>
        <v>Sí</v>
      </c>
      <c r="X527" t="str">
        <f>IF(Sala[[#This Row],[Cobrada]]="Sí",Sala[[#This Row],[Método de Pago]],"Impago")</f>
        <v>Tarjeta de débito</v>
      </c>
      <c r="Y527">
        <f>IF(Sala[[#This Row],[Cobrada]]="Sí",Sala[[#This Row],[Propina]],0)</f>
        <v>43.02</v>
      </c>
      <c r="Z527">
        <f>(IF(Sala[[#This Row],[Cobrada]]="Sí",Sala[[#This Row],[Monto total]],0))+Sala[[#This Row],[Propina real]]</f>
        <v>76.02000000000001</v>
      </c>
    </row>
    <row r="528" spans="1:26" x14ac:dyDescent="0.25">
      <c r="A528">
        <v>19</v>
      </c>
      <c r="B528" t="s">
        <v>471</v>
      </c>
      <c r="C528">
        <v>4</v>
      </c>
      <c r="D528" s="2">
        <v>45022</v>
      </c>
      <c r="E528" s="3">
        <v>0.15347222222222223</v>
      </c>
      <c r="F528" s="2">
        <v>45022</v>
      </c>
      <c r="G528" s="3">
        <v>0.24652777777777779</v>
      </c>
      <c r="H528" s="1" t="s">
        <v>11</v>
      </c>
      <c r="I528" t="s">
        <v>12</v>
      </c>
      <c r="J528" t="s">
        <v>13</v>
      </c>
      <c r="K528" s="9">
        <v>22.95</v>
      </c>
      <c r="L528" t="s">
        <v>28</v>
      </c>
      <c r="M528">
        <v>527</v>
      </c>
      <c r="N528" t="s">
        <v>594</v>
      </c>
      <c r="O528" s="3">
        <f>(Sala[[#This Row],[Hora de Salida]]-Sala[[#This Row],[Hora de llegada]])+IF(Sala[[#This Row],[Estado de la Mesa]]="Ocupada",(TEXT((15/(60*24)),"h:mm")),(TEXT(0,"h:mm")))</f>
        <v>0.10347222222222223</v>
      </c>
      <c r="P528" s="43">
        <f>(SUMIF(Cocina[Número de Orden],Sala[[#This Row],[Número de Orden]],Cocina[Tiempo de Preparación]))</f>
        <v>31</v>
      </c>
      <c r="Q528" s="5" t="str">
        <f>TEXT(((SUMIF(Cocina[Número de Orden],Sala[[#This Row],[Número de Orden]],Cocina[Tiempo de Preparación]))/(60*24)),"h:mm")</f>
        <v>0:31</v>
      </c>
      <c r="R528" s="3">
        <f>MAX((Sala[[#This Row],[Tiempo de permanencia]]-Sala[[#This Row],[Tiempo de preparación (h)]]),0)</f>
        <v>8.1944444444444459E-2</v>
      </c>
      <c r="S528" s="8">
        <f>SUMIF(Cocina[Número de Orden],Sala[[#This Row],[Número de Orden]],Cocina[Ganancia bruta])</f>
        <v>54</v>
      </c>
      <c r="T528" s="8">
        <f>SUMIF(Cocina[Número de Orden],Sala[[#This Row],[Número de Orden]],Cocina[Costo Unitario])</f>
        <v>16</v>
      </c>
      <c r="U528" s="2">
        <f>Sala[[#This Row],[Fecha de Salida]]</f>
        <v>45022</v>
      </c>
      <c r="V528" s="7" t="str">
        <f>TEXT(Sala[[#This Row],[Fecha factura]],"dddd")</f>
        <v>jueves</v>
      </c>
      <c r="W528" t="str">
        <f>IF(Sala[[#This Row],[Tiempo de degustación]]&gt;0,"Sí","No")</f>
        <v>Sí</v>
      </c>
      <c r="X528" t="str">
        <f>IF(Sala[[#This Row],[Cobrada]]="Sí",Sala[[#This Row],[Método de Pago]],"Impago")</f>
        <v>Efectivo</v>
      </c>
      <c r="Y528">
        <f>IF(Sala[[#This Row],[Cobrada]]="Sí",Sala[[#This Row],[Propina]],0)</f>
        <v>22.95</v>
      </c>
      <c r="Z528">
        <f>(IF(Sala[[#This Row],[Cobrada]]="Sí",Sala[[#This Row],[Monto total]],0))+Sala[[#This Row],[Propina real]]</f>
        <v>76.95</v>
      </c>
    </row>
    <row r="529" spans="1:26" x14ac:dyDescent="0.25">
      <c r="A529">
        <v>14</v>
      </c>
      <c r="B529" t="s">
        <v>472</v>
      </c>
      <c r="C529">
        <v>2</v>
      </c>
      <c r="D529" s="2">
        <v>45022</v>
      </c>
      <c r="E529" s="3">
        <v>7.4305555555555555E-2</v>
      </c>
      <c r="F529" s="2">
        <v>45022</v>
      </c>
      <c r="G529" s="3">
        <v>0.15833333333333333</v>
      </c>
      <c r="H529" s="1" t="s">
        <v>16</v>
      </c>
      <c r="I529" t="s">
        <v>8</v>
      </c>
      <c r="J529" t="s">
        <v>600</v>
      </c>
      <c r="K529" s="9">
        <v>15.62</v>
      </c>
      <c r="L529" t="s">
        <v>9</v>
      </c>
      <c r="M529">
        <v>528</v>
      </c>
      <c r="N529" t="s">
        <v>32</v>
      </c>
      <c r="O529" s="3">
        <f>(Sala[[#This Row],[Hora de Salida]]-Sala[[#This Row],[Hora de llegada]])+IF(Sala[[#This Row],[Estado de la Mesa]]="Ocupada",(TEXT((15/(60*24)),"h:mm")),(TEXT(0,"h:mm")))</f>
        <v>8.4027777777777771E-2</v>
      </c>
      <c r="P529" s="43">
        <f>(SUMIF(Cocina[Número de Orden],Sala[[#This Row],[Número de Orden]],Cocina[Tiempo de Preparación]))</f>
        <v>121</v>
      </c>
      <c r="Q529" s="5" t="str">
        <f>TEXT(((SUMIF(Cocina[Número de Orden],Sala[[#This Row],[Número de Orden]],Cocina[Tiempo de Preparación]))/(60*24)),"h:mm")</f>
        <v>2:01</v>
      </c>
      <c r="R529" s="3">
        <f>MAX((Sala[[#This Row],[Tiempo de permanencia]]-Sala[[#This Row],[Tiempo de preparación (h)]]),0)</f>
        <v>0</v>
      </c>
      <c r="S529" s="8">
        <f>SUMIF(Cocina[Número de Orden],Sala[[#This Row],[Número de Orden]],Cocina[Ganancia bruta])</f>
        <v>78</v>
      </c>
      <c r="T529" s="8">
        <f>SUMIF(Cocina[Número de Orden],Sala[[#This Row],[Número de Orden]],Cocina[Costo Unitario])</f>
        <v>47</v>
      </c>
      <c r="U529" s="2">
        <f>Sala[[#This Row],[Fecha de Salida]]</f>
        <v>45022</v>
      </c>
      <c r="V529" s="7" t="str">
        <f>TEXT(Sala[[#This Row],[Fecha factura]],"dddd")</f>
        <v>jueves</v>
      </c>
      <c r="W529" t="str">
        <f>IF(Sala[[#This Row],[Tiempo de degustación]]&gt;0,"Sí","No")</f>
        <v>No</v>
      </c>
      <c r="X529" t="str">
        <f>IF(Sala[[#This Row],[Cobrada]]="Sí",Sala[[#This Row],[Método de Pago]],"Impago")</f>
        <v>Impago</v>
      </c>
      <c r="Y529">
        <f>IF(Sala[[#This Row],[Cobrada]]="Sí",Sala[[#This Row],[Propina]],0)</f>
        <v>0</v>
      </c>
      <c r="Z529">
        <f>(IF(Sala[[#This Row],[Cobrada]]="Sí",Sala[[#This Row],[Monto total]],0))+Sala[[#This Row],[Propina real]]</f>
        <v>0</v>
      </c>
    </row>
    <row r="530" spans="1:26" x14ac:dyDescent="0.25">
      <c r="A530">
        <v>1</v>
      </c>
      <c r="B530" t="s">
        <v>473</v>
      </c>
      <c r="C530">
        <v>2</v>
      </c>
      <c r="D530" s="2">
        <v>45022</v>
      </c>
      <c r="E530" s="3">
        <v>8.1944444444444445E-2</v>
      </c>
      <c r="F530" s="2">
        <v>45022</v>
      </c>
      <c r="G530" s="3">
        <v>0.19583333333333333</v>
      </c>
      <c r="H530" s="1" t="s">
        <v>7</v>
      </c>
      <c r="I530" t="s">
        <v>8</v>
      </c>
      <c r="J530" t="s">
        <v>601</v>
      </c>
      <c r="K530" s="9">
        <v>25.91</v>
      </c>
      <c r="L530" t="s">
        <v>28</v>
      </c>
      <c r="M530">
        <v>529</v>
      </c>
      <c r="N530" t="s">
        <v>594</v>
      </c>
      <c r="O530" s="3">
        <f>(Sala[[#This Row],[Hora de Salida]]-Sala[[#This Row],[Hora de llegada]])+IF(Sala[[#This Row],[Estado de la Mesa]]="Ocupada",(TEXT((15/(60*24)),"h:mm")),(TEXT(0,"h:mm")))</f>
        <v>0.12430555555555556</v>
      </c>
      <c r="P530" s="43">
        <f>(SUMIF(Cocina[Número de Orden],Sala[[#This Row],[Número de Orden]],Cocina[Tiempo de Preparación]))</f>
        <v>157</v>
      </c>
      <c r="Q530" s="5" t="str">
        <f>TEXT(((SUMIF(Cocina[Número de Orden],Sala[[#This Row],[Número de Orden]],Cocina[Tiempo de Preparación]))/(60*24)),"h:mm")</f>
        <v>2:37</v>
      </c>
      <c r="R530" s="3">
        <f>MAX((Sala[[#This Row],[Tiempo de permanencia]]-Sala[[#This Row],[Tiempo de preparación (h)]]),0)</f>
        <v>1.5277777777777779E-2</v>
      </c>
      <c r="S530" s="8">
        <f>SUMIF(Cocina[Número de Orden],Sala[[#This Row],[Número de Orden]],Cocina[Ganancia bruta])</f>
        <v>208</v>
      </c>
      <c r="T530" s="8">
        <f>SUMIF(Cocina[Número de Orden],Sala[[#This Row],[Número de Orden]],Cocina[Costo Unitario])</f>
        <v>72</v>
      </c>
      <c r="U530" s="2">
        <f>Sala[[#This Row],[Fecha de Salida]]</f>
        <v>45022</v>
      </c>
      <c r="V530" s="7" t="str">
        <f>TEXT(Sala[[#This Row],[Fecha factura]],"dddd")</f>
        <v>jueves</v>
      </c>
      <c r="W530" t="str">
        <f>IF(Sala[[#This Row],[Tiempo de degustación]]&gt;0,"Sí","No")</f>
        <v>Sí</v>
      </c>
      <c r="X530" t="str">
        <f>IF(Sala[[#This Row],[Cobrada]]="Sí",Sala[[#This Row],[Método de Pago]],"Impago")</f>
        <v>Tarjeta de crédito</v>
      </c>
      <c r="Y530">
        <f>IF(Sala[[#This Row],[Cobrada]]="Sí",Sala[[#This Row],[Propina]],0)</f>
        <v>25.91</v>
      </c>
      <c r="Z530">
        <f>(IF(Sala[[#This Row],[Cobrada]]="Sí",Sala[[#This Row],[Monto total]],0))+Sala[[#This Row],[Propina real]]</f>
        <v>233.91</v>
      </c>
    </row>
    <row r="531" spans="1:26" x14ac:dyDescent="0.25">
      <c r="A531">
        <v>7</v>
      </c>
      <c r="B531" t="s">
        <v>474</v>
      </c>
      <c r="C531">
        <v>5</v>
      </c>
      <c r="D531" s="2">
        <v>45022</v>
      </c>
      <c r="E531" s="3">
        <v>9.2361111111111116E-2</v>
      </c>
      <c r="F531" s="2">
        <v>45022</v>
      </c>
      <c r="G531" s="3">
        <v>0.25486111111111109</v>
      </c>
      <c r="H531" s="1" t="s">
        <v>20</v>
      </c>
      <c r="I531" t="s">
        <v>8</v>
      </c>
      <c r="J531" t="s">
        <v>601</v>
      </c>
      <c r="K531" s="9">
        <v>30.19</v>
      </c>
      <c r="L531" t="s">
        <v>28</v>
      </c>
      <c r="M531">
        <v>530</v>
      </c>
      <c r="N531" t="s">
        <v>21</v>
      </c>
      <c r="O531" s="3">
        <f>(Sala[[#This Row],[Hora de Salida]]-Sala[[#This Row],[Hora de llegada]])+IF(Sala[[#This Row],[Estado de la Mesa]]="Ocupada",(TEXT((15/(60*24)),"h:mm")),(TEXT(0,"h:mm")))</f>
        <v>0.17291666666666664</v>
      </c>
      <c r="P531" s="43">
        <f>(SUMIF(Cocina[Número de Orden],Sala[[#This Row],[Número de Orden]],Cocina[Tiempo de Preparación]))</f>
        <v>106</v>
      </c>
      <c r="Q531" s="5" t="str">
        <f>TEXT(((SUMIF(Cocina[Número de Orden],Sala[[#This Row],[Número de Orden]],Cocina[Tiempo de Preparación]))/(60*24)),"h:mm")</f>
        <v>1:46</v>
      </c>
      <c r="R531" s="3">
        <f>MAX((Sala[[#This Row],[Tiempo de permanencia]]-Sala[[#This Row],[Tiempo de preparación (h)]]),0)</f>
        <v>9.9305555555555522E-2</v>
      </c>
      <c r="S531" s="8">
        <f>SUMIF(Cocina[Número de Orden],Sala[[#This Row],[Número de Orden]],Cocina[Ganancia bruta])</f>
        <v>160</v>
      </c>
      <c r="T531" s="8">
        <f>SUMIF(Cocina[Número de Orden],Sala[[#This Row],[Número de Orden]],Cocina[Costo Unitario])</f>
        <v>41</v>
      </c>
      <c r="U531" s="2">
        <f>Sala[[#This Row],[Fecha de Salida]]</f>
        <v>45022</v>
      </c>
      <c r="V531" s="7" t="str">
        <f>TEXT(Sala[[#This Row],[Fecha factura]],"dddd")</f>
        <v>jueves</v>
      </c>
      <c r="W531" t="str">
        <f>IF(Sala[[#This Row],[Tiempo de degustación]]&gt;0,"Sí","No")</f>
        <v>Sí</v>
      </c>
      <c r="X531" t="str">
        <f>IF(Sala[[#This Row],[Cobrada]]="Sí",Sala[[#This Row],[Método de Pago]],"Impago")</f>
        <v>Tarjeta de crédito</v>
      </c>
      <c r="Y531">
        <f>IF(Sala[[#This Row],[Cobrada]]="Sí",Sala[[#This Row],[Propina]],0)</f>
        <v>30.19</v>
      </c>
      <c r="Z531">
        <f>(IF(Sala[[#This Row],[Cobrada]]="Sí",Sala[[#This Row],[Monto total]],0))+Sala[[#This Row],[Propina real]]</f>
        <v>190.19</v>
      </c>
    </row>
    <row r="532" spans="1:26" x14ac:dyDescent="0.25">
      <c r="A532">
        <v>9</v>
      </c>
      <c r="B532" t="s">
        <v>372</v>
      </c>
      <c r="C532">
        <v>6</v>
      </c>
      <c r="D532" s="2">
        <v>45022</v>
      </c>
      <c r="E532" s="3">
        <v>0.12708333333333333</v>
      </c>
      <c r="F532" s="2">
        <v>45022</v>
      </c>
      <c r="G532" s="3">
        <v>0.21111111111111111</v>
      </c>
      <c r="H532" s="1" t="s">
        <v>16</v>
      </c>
      <c r="I532" t="s">
        <v>25</v>
      </c>
      <c r="J532" t="s">
        <v>13</v>
      </c>
      <c r="K532" s="9">
        <v>34.39</v>
      </c>
      <c r="L532" t="s">
        <v>17</v>
      </c>
      <c r="M532">
        <v>531</v>
      </c>
      <c r="N532" t="s">
        <v>21</v>
      </c>
      <c r="O532" s="3">
        <f>(Sala[[#This Row],[Hora de Salida]]-Sala[[#This Row],[Hora de llegada]])+IF(Sala[[#This Row],[Estado de la Mesa]]="Ocupada",(TEXT((15/(60*24)),"h:mm")),(TEXT(0,"h:mm")))</f>
        <v>8.4027777777777785E-2</v>
      </c>
      <c r="P532" s="43">
        <f>(SUMIF(Cocina[Número de Orden],Sala[[#This Row],[Número de Orden]],Cocina[Tiempo de Preparación]))</f>
        <v>199</v>
      </c>
      <c r="Q532" s="5" t="str">
        <f>TEXT(((SUMIF(Cocina[Número de Orden],Sala[[#This Row],[Número de Orden]],Cocina[Tiempo de Preparación]))/(60*24)),"h:mm")</f>
        <v>3:19</v>
      </c>
      <c r="R532" s="3">
        <f>MAX((Sala[[#This Row],[Tiempo de permanencia]]-Sala[[#This Row],[Tiempo de preparación (h)]]),0)</f>
        <v>0</v>
      </c>
      <c r="S532" s="8">
        <f>SUMIF(Cocina[Número de Orden],Sala[[#This Row],[Número de Orden]],Cocina[Ganancia bruta])</f>
        <v>244</v>
      </c>
      <c r="T532" s="8">
        <f>SUMIF(Cocina[Número de Orden],Sala[[#This Row],[Número de Orden]],Cocina[Costo Unitario])</f>
        <v>65</v>
      </c>
      <c r="U532" s="2">
        <f>Sala[[#This Row],[Fecha de Salida]]</f>
        <v>45022</v>
      </c>
      <c r="V532" s="7" t="str">
        <f>TEXT(Sala[[#This Row],[Fecha factura]],"dddd")</f>
        <v>jueves</v>
      </c>
      <c r="W532" t="str">
        <f>IF(Sala[[#This Row],[Tiempo de degustación]]&gt;0,"Sí","No")</f>
        <v>No</v>
      </c>
      <c r="X532" t="str">
        <f>IF(Sala[[#This Row],[Cobrada]]="Sí",Sala[[#This Row],[Método de Pago]],"Impago")</f>
        <v>Impago</v>
      </c>
      <c r="Y532">
        <f>IF(Sala[[#This Row],[Cobrada]]="Sí",Sala[[#This Row],[Propina]],0)</f>
        <v>0</v>
      </c>
      <c r="Z532">
        <f>(IF(Sala[[#This Row],[Cobrada]]="Sí",Sala[[#This Row],[Monto total]],0))+Sala[[#This Row],[Propina real]]</f>
        <v>0</v>
      </c>
    </row>
    <row r="533" spans="1:26" x14ac:dyDescent="0.25">
      <c r="A533">
        <v>13</v>
      </c>
      <c r="B533" t="s">
        <v>87</v>
      </c>
      <c r="C533">
        <v>3</v>
      </c>
      <c r="D533" s="2">
        <v>45022</v>
      </c>
      <c r="E533" s="3">
        <v>7.4999999999999997E-2</v>
      </c>
      <c r="F533" s="2">
        <v>45022</v>
      </c>
      <c r="G533" s="3">
        <v>0.22638888888888889</v>
      </c>
      <c r="H533" s="1" t="s">
        <v>7</v>
      </c>
      <c r="I533" t="s">
        <v>12</v>
      </c>
      <c r="J533" t="s">
        <v>600</v>
      </c>
      <c r="K533" s="9">
        <v>17.95</v>
      </c>
      <c r="L533" t="s">
        <v>9</v>
      </c>
      <c r="M533">
        <v>532</v>
      </c>
      <c r="N533" t="s">
        <v>59</v>
      </c>
      <c r="O533" s="3">
        <f>(Sala[[#This Row],[Hora de Salida]]-Sala[[#This Row],[Hora de llegada]])+IF(Sala[[#This Row],[Estado de la Mesa]]="Ocupada",(TEXT((15/(60*24)),"h:mm")),(TEXT(0,"h:mm")))</f>
        <v>0.15138888888888891</v>
      </c>
      <c r="P533" s="43">
        <f>(SUMIF(Cocina[Número de Orden],Sala[[#This Row],[Número de Orden]],Cocina[Tiempo de Preparación]))</f>
        <v>59</v>
      </c>
      <c r="Q533" s="5" t="str">
        <f>TEXT(((SUMIF(Cocina[Número de Orden],Sala[[#This Row],[Número de Orden]],Cocina[Tiempo de Preparación]))/(60*24)),"h:mm")</f>
        <v>0:59</v>
      </c>
      <c r="R533" s="3">
        <f>MAX((Sala[[#This Row],[Tiempo de permanencia]]-Sala[[#This Row],[Tiempo de preparación (h)]]),0)</f>
        <v>0.11041666666666669</v>
      </c>
      <c r="S533" s="8">
        <f>SUMIF(Cocina[Número de Orden],Sala[[#This Row],[Número de Orden]],Cocina[Ganancia bruta])</f>
        <v>137</v>
      </c>
      <c r="T533" s="8">
        <f>SUMIF(Cocina[Número de Orden],Sala[[#This Row],[Número de Orden]],Cocina[Costo Unitario])</f>
        <v>47</v>
      </c>
      <c r="U533" s="2">
        <f>Sala[[#This Row],[Fecha de Salida]]</f>
        <v>45022</v>
      </c>
      <c r="V533" s="7" t="str">
        <f>TEXT(Sala[[#This Row],[Fecha factura]],"dddd")</f>
        <v>jueves</v>
      </c>
      <c r="W533" t="str">
        <f>IF(Sala[[#This Row],[Tiempo de degustación]]&gt;0,"Sí","No")</f>
        <v>Sí</v>
      </c>
      <c r="X533" t="str">
        <f>IF(Sala[[#This Row],[Cobrada]]="Sí",Sala[[#This Row],[Método de Pago]],"Impago")</f>
        <v>Tarjeta de débito</v>
      </c>
      <c r="Y533">
        <f>IF(Sala[[#This Row],[Cobrada]]="Sí",Sala[[#This Row],[Propina]],0)</f>
        <v>17.95</v>
      </c>
      <c r="Z533">
        <f>(IF(Sala[[#This Row],[Cobrada]]="Sí",Sala[[#This Row],[Monto total]],0))+Sala[[#This Row],[Propina real]]</f>
        <v>154.94999999999999</v>
      </c>
    </row>
    <row r="534" spans="1:26" x14ac:dyDescent="0.25">
      <c r="A534">
        <v>1</v>
      </c>
      <c r="B534" t="s">
        <v>228</v>
      </c>
      <c r="C534">
        <v>3</v>
      </c>
      <c r="D534" s="2">
        <v>45022</v>
      </c>
      <c r="E534" s="3">
        <v>0.13472222222222222</v>
      </c>
      <c r="F534" s="2">
        <v>45022</v>
      </c>
      <c r="G534" s="3">
        <v>0.22222222222222221</v>
      </c>
      <c r="H534" s="1" t="s">
        <v>20</v>
      </c>
      <c r="I534" t="s">
        <v>25</v>
      </c>
      <c r="J534" t="s">
        <v>600</v>
      </c>
      <c r="K534" s="9">
        <v>20.09</v>
      </c>
      <c r="L534" t="s">
        <v>17</v>
      </c>
      <c r="M534">
        <v>533</v>
      </c>
      <c r="N534" t="s">
        <v>44</v>
      </c>
      <c r="O534" s="3">
        <f>(Sala[[#This Row],[Hora de Salida]]-Sala[[#This Row],[Hora de llegada]])+IF(Sala[[#This Row],[Estado de la Mesa]]="Ocupada",(TEXT((15/(60*24)),"h:mm")),(TEXT(0,"h:mm")))</f>
        <v>8.7499999999999994E-2</v>
      </c>
      <c r="P534" s="43">
        <f>(SUMIF(Cocina[Número de Orden],Sala[[#This Row],[Número de Orden]],Cocina[Tiempo de Preparación]))</f>
        <v>48</v>
      </c>
      <c r="Q534" s="5" t="str">
        <f>TEXT(((SUMIF(Cocina[Número de Orden],Sala[[#This Row],[Número de Orden]],Cocina[Tiempo de Preparación]))/(60*24)),"h:mm")</f>
        <v>0:48</v>
      </c>
      <c r="R534" s="3">
        <f>MAX((Sala[[#This Row],[Tiempo de permanencia]]-Sala[[#This Row],[Tiempo de preparación (h)]]),0)</f>
        <v>5.4166666666666662E-2</v>
      </c>
      <c r="S534" s="8">
        <f>SUMIF(Cocina[Número de Orden],Sala[[#This Row],[Número de Orden]],Cocina[Ganancia bruta])</f>
        <v>41</v>
      </c>
      <c r="T534" s="8">
        <f>SUMIF(Cocina[Número de Orden],Sala[[#This Row],[Número de Orden]],Cocina[Costo Unitario])</f>
        <v>25</v>
      </c>
      <c r="U534" s="2">
        <f>Sala[[#This Row],[Fecha de Salida]]</f>
        <v>45022</v>
      </c>
      <c r="V534" s="7" t="str">
        <f>TEXT(Sala[[#This Row],[Fecha factura]],"dddd")</f>
        <v>jueves</v>
      </c>
      <c r="W534" t="str">
        <f>IF(Sala[[#This Row],[Tiempo de degustación]]&gt;0,"Sí","No")</f>
        <v>Sí</v>
      </c>
      <c r="X534" t="str">
        <f>IF(Sala[[#This Row],[Cobrada]]="Sí",Sala[[#This Row],[Método de Pago]],"Impago")</f>
        <v>Tarjeta de débito</v>
      </c>
      <c r="Y534">
        <f>IF(Sala[[#This Row],[Cobrada]]="Sí",Sala[[#This Row],[Propina]],0)</f>
        <v>20.09</v>
      </c>
      <c r="Z534">
        <f>(IF(Sala[[#This Row],[Cobrada]]="Sí",Sala[[#This Row],[Monto total]],0))+Sala[[#This Row],[Propina real]]</f>
        <v>61.09</v>
      </c>
    </row>
    <row r="535" spans="1:26" x14ac:dyDescent="0.25">
      <c r="A535">
        <v>1</v>
      </c>
      <c r="B535" t="s">
        <v>475</v>
      </c>
      <c r="C535">
        <v>6</v>
      </c>
      <c r="D535" s="2">
        <v>45022</v>
      </c>
      <c r="E535" s="3">
        <v>4.3055555555555555E-2</v>
      </c>
      <c r="F535" s="2">
        <v>45022</v>
      </c>
      <c r="G535" s="3">
        <v>0.18680555555555556</v>
      </c>
      <c r="H535" s="1" t="s">
        <v>23</v>
      </c>
      <c r="I535" t="s">
        <v>25</v>
      </c>
      <c r="J535" t="s">
        <v>601</v>
      </c>
      <c r="K535" s="9">
        <v>23.59</v>
      </c>
      <c r="L535" t="s">
        <v>9</v>
      </c>
      <c r="M535">
        <v>534</v>
      </c>
      <c r="N535" t="s">
        <v>18</v>
      </c>
      <c r="O535" s="3">
        <f>(Sala[[#This Row],[Hora de Salida]]-Sala[[#This Row],[Hora de llegada]])+IF(Sala[[#This Row],[Estado de la Mesa]]="Ocupada",(TEXT((15/(60*24)),"h:mm")),(TEXT(0,"h:mm")))</f>
        <v>0.14374999999999999</v>
      </c>
      <c r="P535" s="43">
        <f>(SUMIF(Cocina[Número de Orden],Sala[[#This Row],[Número de Orden]],Cocina[Tiempo de Preparación]))</f>
        <v>76</v>
      </c>
      <c r="Q535" s="5" t="str">
        <f>TEXT(((SUMIF(Cocina[Número de Orden],Sala[[#This Row],[Número de Orden]],Cocina[Tiempo de Preparación]))/(60*24)),"h:mm")</f>
        <v>1:16</v>
      </c>
      <c r="R535" s="3">
        <f>MAX((Sala[[#This Row],[Tiempo de permanencia]]-Sala[[#This Row],[Tiempo de preparación (h)]]),0)</f>
        <v>9.0972222222222204E-2</v>
      </c>
      <c r="S535" s="8">
        <f>SUMIF(Cocina[Número de Orden],Sala[[#This Row],[Número de Orden]],Cocina[Ganancia bruta])</f>
        <v>147</v>
      </c>
      <c r="T535" s="8">
        <f>SUMIF(Cocina[Número de Orden],Sala[[#This Row],[Número de Orden]],Cocina[Costo Unitario])</f>
        <v>52</v>
      </c>
      <c r="U535" s="2">
        <f>Sala[[#This Row],[Fecha de Salida]]</f>
        <v>45022</v>
      </c>
      <c r="V535" s="7" t="str">
        <f>TEXT(Sala[[#This Row],[Fecha factura]],"dddd")</f>
        <v>jueves</v>
      </c>
      <c r="W535" t="str">
        <f>IF(Sala[[#This Row],[Tiempo de degustación]]&gt;0,"Sí","No")</f>
        <v>Sí</v>
      </c>
      <c r="X535" t="str">
        <f>IF(Sala[[#This Row],[Cobrada]]="Sí",Sala[[#This Row],[Método de Pago]],"Impago")</f>
        <v>Tarjeta de crédito</v>
      </c>
      <c r="Y535">
        <f>IF(Sala[[#This Row],[Cobrada]]="Sí",Sala[[#This Row],[Propina]],0)</f>
        <v>23.59</v>
      </c>
      <c r="Z535">
        <f>(IF(Sala[[#This Row],[Cobrada]]="Sí",Sala[[#This Row],[Monto total]],0))+Sala[[#This Row],[Propina real]]</f>
        <v>170.59</v>
      </c>
    </row>
    <row r="536" spans="1:26" x14ac:dyDescent="0.25">
      <c r="A536">
        <v>15</v>
      </c>
      <c r="B536" t="s">
        <v>139</v>
      </c>
      <c r="C536">
        <v>3</v>
      </c>
      <c r="D536" s="2">
        <v>45022</v>
      </c>
      <c r="E536" s="3">
        <v>3.9583333333333331E-2</v>
      </c>
      <c r="F536" s="2">
        <v>45022</v>
      </c>
      <c r="G536" s="3">
        <v>0.14722222222222223</v>
      </c>
      <c r="H536" s="1" t="s">
        <v>11</v>
      </c>
      <c r="I536" t="s">
        <v>12</v>
      </c>
      <c r="J536" t="s">
        <v>601</v>
      </c>
      <c r="K536" s="9">
        <v>39.450000000000003</v>
      </c>
      <c r="L536" t="s">
        <v>17</v>
      </c>
      <c r="M536">
        <v>535</v>
      </c>
      <c r="N536" t="s">
        <v>47</v>
      </c>
      <c r="O536" s="3">
        <f>(Sala[[#This Row],[Hora de Salida]]-Sala[[#This Row],[Hora de llegada]])+IF(Sala[[#This Row],[Estado de la Mesa]]="Ocupada",(TEXT((15/(60*24)),"h:mm")),(TEXT(0,"h:mm")))</f>
        <v>0.1076388888888889</v>
      </c>
      <c r="P536" s="43">
        <f>(SUMIF(Cocina[Número de Orden],Sala[[#This Row],[Número de Orden]],Cocina[Tiempo de Preparación]))</f>
        <v>113</v>
      </c>
      <c r="Q536" s="5" t="str">
        <f>TEXT(((SUMIF(Cocina[Número de Orden],Sala[[#This Row],[Número de Orden]],Cocina[Tiempo de Preparación]))/(60*24)),"h:mm")</f>
        <v>1:53</v>
      </c>
      <c r="R536" s="3">
        <f>MAX((Sala[[#This Row],[Tiempo de permanencia]]-Sala[[#This Row],[Tiempo de preparación (h)]]),0)</f>
        <v>2.9166666666666674E-2</v>
      </c>
      <c r="S536" s="8">
        <f>SUMIF(Cocina[Número de Orden],Sala[[#This Row],[Número de Orden]],Cocina[Ganancia bruta])</f>
        <v>276</v>
      </c>
      <c r="T536" s="8">
        <f>SUMIF(Cocina[Número de Orden],Sala[[#This Row],[Número de Orden]],Cocina[Costo Unitario])</f>
        <v>69</v>
      </c>
      <c r="U536" s="2">
        <f>Sala[[#This Row],[Fecha de Salida]]</f>
        <v>45022</v>
      </c>
      <c r="V536" s="7" t="str">
        <f>TEXT(Sala[[#This Row],[Fecha factura]],"dddd")</f>
        <v>jueves</v>
      </c>
      <c r="W536" t="str">
        <f>IF(Sala[[#This Row],[Tiempo de degustación]]&gt;0,"Sí","No")</f>
        <v>Sí</v>
      </c>
      <c r="X536" t="str">
        <f>IF(Sala[[#This Row],[Cobrada]]="Sí",Sala[[#This Row],[Método de Pago]],"Impago")</f>
        <v>Tarjeta de crédito</v>
      </c>
      <c r="Y536">
        <f>IF(Sala[[#This Row],[Cobrada]]="Sí",Sala[[#This Row],[Propina]],0)</f>
        <v>39.450000000000003</v>
      </c>
      <c r="Z536">
        <f>(IF(Sala[[#This Row],[Cobrada]]="Sí",Sala[[#This Row],[Monto total]],0))+Sala[[#This Row],[Propina real]]</f>
        <v>315.45</v>
      </c>
    </row>
    <row r="537" spans="1:26" x14ac:dyDescent="0.25">
      <c r="A537">
        <v>9</v>
      </c>
      <c r="B537" t="s">
        <v>476</v>
      </c>
      <c r="C537">
        <v>2</v>
      </c>
      <c r="D537" s="2">
        <v>45022</v>
      </c>
      <c r="E537" s="3">
        <v>0.10486111111111111</v>
      </c>
      <c r="F537" s="2">
        <v>45022</v>
      </c>
      <c r="G537" s="3">
        <v>0.19375000000000001</v>
      </c>
      <c r="H537" s="1" t="s">
        <v>23</v>
      </c>
      <c r="I537" t="s">
        <v>8</v>
      </c>
      <c r="J537" t="s">
        <v>601</v>
      </c>
      <c r="K537" s="9">
        <v>46</v>
      </c>
      <c r="L537" t="s">
        <v>9</v>
      </c>
      <c r="M537">
        <v>536</v>
      </c>
      <c r="N537" t="s">
        <v>47</v>
      </c>
      <c r="O537" s="3">
        <f>(Sala[[#This Row],[Hora de Salida]]-Sala[[#This Row],[Hora de llegada]])+IF(Sala[[#This Row],[Estado de la Mesa]]="Ocupada",(TEXT((15/(60*24)),"h:mm")),(TEXT(0,"h:mm")))</f>
        <v>8.8888888888888892E-2</v>
      </c>
      <c r="P537" s="43">
        <f>(SUMIF(Cocina[Número de Orden],Sala[[#This Row],[Número de Orden]],Cocina[Tiempo de Preparación]))</f>
        <v>152</v>
      </c>
      <c r="Q537" s="5" t="str">
        <f>TEXT(((SUMIF(Cocina[Número de Orden],Sala[[#This Row],[Número de Orden]],Cocina[Tiempo de Preparación]))/(60*24)),"h:mm")</f>
        <v>2:32</v>
      </c>
      <c r="R537" s="3">
        <f>MAX((Sala[[#This Row],[Tiempo de permanencia]]-Sala[[#This Row],[Tiempo de preparación (h)]]),0)</f>
        <v>0</v>
      </c>
      <c r="S537" s="8">
        <f>SUMIF(Cocina[Número de Orden],Sala[[#This Row],[Número de Orden]],Cocina[Ganancia bruta])</f>
        <v>212</v>
      </c>
      <c r="T537" s="8">
        <f>SUMIF(Cocina[Número de Orden],Sala[[#This Row],[Número de Orden]],Cocina[Costo Unitario])</f>
        <v>59</v>
      </c>
      <c r="U537" s="2">
        <f>Sala[[#This Row],[Fecha de Salida]]</f>
        <v>45022</v>
      </c>
      <c r="V537" s="7" t="str">
        <f>TEXT(Sala[[#This Row],[Fecha factura]],"dddd")</f>
        <v>jueves</v>
      </c>
      <c r="W537" t="str">
        <f>IF(Sala[[#This Row],[Tiempo de degustación]]&gt;0,"Sí","No")</f>
        <v>No</v>
      </c>
      <c r="X537" t="str">
        <f>IF(Sala[[#This Row],[Cobrada]]="Sí",Sala[[#This Row],[Método de Pago]],"Impago")</f>
        <v>Impago</v>
      </c>
      <c r="Y537">
        <f>IF(Sala[[#This Row],[Cobrada]]="Sí",Sala[[#This Row],[Propina]],0)</f>
        <v>0</v>
      </c>
      <c r="Z537">
        <f>(IF(Sala[[#This Row],[Cobrada]]="Sí",Sala[[#This Row],[Monto total]],0))+Sala[[#This Row],[Propina real]]</f>
        <v>0</v>
      </c>
    </row>
    <row r="538" spans="1:26" x14ac:dyDescent="0.25">
      <c r="A538">
        <v>18</v>
      </c>
      <c r="B538" t="s">
        <v>165</v>
      </c>
      <c r="C538">
        <v>6</v>
      </c>
      <c r="D538" s="2">
        <v>45022</v>
      </c>
      <c r="E538" s="3">
        <v>1.6666666666666666E-2</v>
      </c>
      <c r="F538" s="2">
        <v>45022</v>
      </c>
      <c r="G538" s="3">
        <v>8.9583333333333334E-2</v>
      </c>
      <c r="H538" s="1" t="s">
        <v>7</v>
      </c>
      <c r="I538" t="s">
        <v>12</v>
      </c>
      <c r="J538" t="s">
        <v>600</v>
      </c>
      <c r="K538" s="9">
        <v>28.68</v>
      </c>
      <c r="L538" t="s">
        <v>28</v>
      </c>
      <c r="M538">
        <v>537</v>
      </c>
      <c r="N538" t="s">
        <v>593</v>
      </c>
      <c r="O538" s="3">
        <f>(Sala[[#This Row],[Hora de Salida]]-Sala[[#This Row],[Hora de llegada]])+IF(Sala[[#This Row],[Estado de la Mesa]]="Ocupada",(TEXT((15/(60*24)),"h:mm")),(TEXT(0,"h:mm")))</f>
        <v>8.3333333333333343E-2</v>
      </c>
      <c r="P538" s="43">
        <f>(SUMIF(Cocina[Número de Orden],Sala[[#This Row],[Número de Orden]],Cocina[Tiempo de Preparación]))</f>
        <v>21</v>
      </c>
      <c r="Q538" s="5" t="str">
        <f>TEXT(((SUMIF(Cocina[Número de Orden],Sala[[#This Row],[Número de Orden]],Cocina[Tiempo de Preparación]))/(60*24)),"h:mm")</f>
        <v>0:21</v>
      </c>
      <c r="R538" s="3">
        <f>MAX((Sala[[#This Row],[Tiempo de permanencia]]-Sala[[#This Row],[Tiempo de preparación (h)]]),0)</f>
        <v>6.8750000000000006E-2</v>
      </c>
      <c r="S538" s="8">
        <f>SUMIF(Cocina[Número de Orden],Sala[[#This Row],[Número de Orden]],Cocina[Ganancia bruta])</f>
        <v>63</v>
      </c>
      <c r="T538" s="8">
        <f>SUMIF(Cocina[Número de Orden],Sala[[#This Row],[Número de Orden]],Cocina[Costo Unitario])</f>
        <v>13</v>
      </c>
      <c r="U538" s="2">
        <f>Sala[[#This Row],[Fecha de Salida]]</f>
        <v>45022</v>
      </c>
      <c r="V538" s="7" t="str">
        <f>TEXT(Sala[[#This Row],[Fecha factura]],"dddd")</f>
        <v>jueves</v>
      </c>
      <c r="W538" t="str">
        <f>IF(Sala[[#This Row],[Tiempo de degustación]]&gt;0,"Sí","No")</f>
        <v>Sí</v>
      </c>
      <c r="X538" t="str">
        <f>IF(Sala[[#This Row],[Cobrada]]="Sí",Sala[[#This Row],[Método de Pago]],"Impago")</f>
        <v>Tarjeta de débito</v>
      </c>
      <c r="Y538">
        <f>IF(Sala[[#This Row],[Cobrada]]="Sí",Sala[[#This Row],[Propina]],0)</f>
        <v>28.68</v>
      </c>
      <c r="Z538">
        <f>(IF(Sala[[#This Row],[Cobrada]]="Sí",Sala[[#This Row],[Monto total]],0))+Sala[[#This Row],[Propina real]]</f>
        <v>91.68</v>
      </c>
    </row>
    <row r="539" spans="1:26" x14ac:dyDescent="0.25">
      <c r="A539">
        <v>14</v>
      </c>
      <c r="B539" t="s">
        <v>287</v>
      </c>
      <c r="C539">
        <v>4</v>
      </c>
      <c r="D539" s="2">
        <v>45022</v>
      </c>
      <c r="E539" s="3">
        <v>0.13819444444444445</v>
      </c>
      <c r="F539" s="2">
        <v>45022</v>
      </c>
      <c r="G539" s="3">
        <v>0.23125000000000001</v>
      </c>
      <c r="H539" s="1" t="s">
        <v>23</v>
      </c>
      <c r="I539" t="s">
        <v>25</v>
      </c>
      <c r="J539" t="s">
        <v>600</v>
      </c>
      <c r="K539" s="9">
        <v>41.35</v>
      </c>
      <c r="L539" t="s">
        <v>17</v>
      </c>
      <c r="M539">
        <v>538</v>
      </c>
      <c r="N539" t="s">
        <v>14</v>
      </c>
      <c r="O539" s="3">
        <f>(Sala[[#This Row],[Hora de Salida]]-Sala[[#This Row],[Hora de llegada]])+IF(Sala[[#This Row],[Estado de la Mesa]]="Ocupada",(TEXT((15/(60*24)),"h:mm")),(TEXT(0,"h:mm")))</f>
        <v>9.3055555555555558E-2</v>
      </c>
      <c r="P539" s="43">
        <f>(SUMIF(Cocina[Número de Orden],Sala[[#This Row],[Número de Orden]],Cocina[Tiempo de Preparación]))</f>
        <v>198</v>
      </c>
      <c r="Q539" s="5" t="str">
        <f>TEXT(((SUMIF(Cocina[Número de Orden],Sala[[#This Row],[Número de Orden]],Cocina[Tiempo de Preparación]))/(60*24)),"h:mm")</f>
        <v>3:18</v>
      </c>
      <c r="R539" s="3">
        <f>MAX((Sala[[#This Row],[Tiempo de permanencia]]-Sala[[#This Row],[Tiempo de preparación (h)]]),0)</f>
        <v>0</v>
      </c>
      <c r="S539" s="8">
        <f>SUMIF(Cocina[Número de Orden],Sala[[#This Row],[Número de Orden]],Cocina[Ganancia bruta])</f>
        <v>142</v>
      </c>
      <c r="T539" s="8">
        <f>SUMIF(Cocina[Número de Orden],Sala[[#This Row],[Número de Orden]],Cocina[Costo Unitario])</f>
        <v>68</v>
      </c>
      <c r="U539" s="2">
        <f>Sala[[#This Row],[Fecha de Salida]]</f>
        <v>45022</v>
      </c>
      <c r="V539" s="7" t="str">
        <f>TEXT(Sala[[#This Row],[Fecha factura]],"dddd")</f>
        <v>jueves</v>
      </c>
      <c r="W539" t="str">
        <f>IF(Sala[[#This Row],[Tiempo de degustación]]&gt;0,"Sí","No")</f>
        <v>No</v>
      </c>
      <c r="X539" t="str">
        <f>IF(Sala[[#This Row],[Cobrada]]="Sí",Sala[[#This Row],[Método de Pago]],"Impago")</f>
        <v>Impago</v>
      </c>
      <c r="Y539">
        <f>IF(Sala[[#This Row],[Cobrada]]="Sí",Sala[[#This Row],[Propina]],0)</f>
        <v>0</v>
      </c>
      <c r="Z539">
        <f>(IF(Sala[[#This Row],[Cobrada]]="Sí",Sala[[#This Row],[Monto total]],0))+Sala[[#This Row],[Propina real]]</f>
        <v>0</v>
      </c>
    </row>
    <row r="540" spans="1:26" x14ac:dyDescent="0.25">
      <c r="A540">
        <v>18</v>
      </c>
      <c r="B540" t="s">
        <v>477</v>
      </c>
      <c r="C540">
        <v>3</v>
      </c>
      <c r="D540" s="2">
        <v>45022</v>
      </c>
      <c r="E540" s="3">
        <v>0.16041666666666668</v>
      </c>
      <c r="F540" s="2">
        <v>45022</v>
      </c>
      <c r="G540" s="3">
        <v>0.29166666666666669</v>
      </c>
      <c r="H540" s="1" t="s">
        <v>16</v>
      </c>
      <c r="I540" t="s">
        <v>12</v>
      </c>
      <c r="J540" t="s">
        <v>13</v>
      </c>
      <c r="K540" s="9">
        <v>20.9</v>
      </c>
      <c r="L540" t="s">
        <v>17</v>
      </c>
      <c r="M540">
        <v>539</v>
      </c>
      <c r="N540" t="s">
        <v>14</v>
      </c>
      <c r="O540" s="3">
        <f>(Sala[[#This Row],[Hora de Salida]]-Sala[[#This Row],[Hora de llegada]])+IF(Sala[[#This Row],[Estado de la Mesa]]="Ocupada",(TEXT((15/(60*24)),"h:mm")),(TEXT(0,"h:mm")))</f>
        <v>0.13125000000000001</v>
      </c>
      <c r="P540" s="43">
        <f>(SUMIF(Cocina[Número de Orden],Sala[[#This Row],[Número de Orden]],Cocina[Tiempo de Preparación]))</f>
        <v>129</v>
      </c>
      <c r="Q540" s="5" t="str">
        <f>TEXT(((SUMIF(Cocina[Número de Orden],Sala[[#This Row],[Número de Orden]],Cocina[Tiempo de Preparación]))/(60*24)),"h:mm")</f>
        <v>2:09</v>
      </c>
      <c r="R540" s="3">
        <f>MAX((Sala[[#This Row],[Tiempo de permanencia]]-Sala[[#This Row],[Tiempo de preparación (h)]]),0)</f>
        <v>4.1666666666666671E-2</v>
      </c>
      <c r="S540" s="8">
        <f>SUMIF(Cocina[Número de Orden],Sala[[#This Row],[Número de Orden]],Cocina[Ganancia bruta])</f>
        <v>240</v>
      </c>
      <c r="T540" s="8">
        <f>SUMIF(Cocina[Número de Orden],Sala[[#This Row],[Número de Orden]],Cocina[Costo Unitario])</f>
        <v>61</v>
      </c>
      <c r="U540" s="2">
        <f>Sala[[#This Row],[Fecha de Salida]]</f>
        <v>45022</v>
      </c>
      <c r="V540" s="7" t="str">
        <f>TEXT(Sala[[#This Row],[Fecha factura]],"dddd")</f>
        <v>jueves</v>
      </c>
      <c r="W540" t="str">
        <f>IF(Sala[[#This Row],[Tiempo de degustación]]&gt;0,"Sí","No")</f>
        <v>Sí</v>
      </c>
      <c r="X540" t="str">
        <f>IF(Sala[[#This Row],[Cobrada]]="Sí",Sala[[#This Row],[Método de Pago]],"Impago")</f>
        <v>Efectivo</v>
      </c>
      <c r="Y540">
        <f>IF(Sala[[#This Row],[Cobrada]]="Sí",Sala[[#This Row],[Propina]],0)</f>
        <v>20.9</v>
      </c>
      <c r="Z540">
        <f>(IF(Sala[[#This Row],[Cobrada]]="Sí",Sala[[#This Row],[Monto total]],0))+Sala[[#This Row],[Propina real]]</f>
        <v>260.89999999999998</v>
      </c>
    </row>
    <row r="541" spans="1:26" x14ac:dyDescent="0.25">
      <c r="A541">
        <v>6</v>
      </c>
      <c r="B541" t="s">
        <v>478</v>
      </c>
      <c r="C541">
        <v>4</v>
      </c>
      <c r="D541" s="2">
        <v>45022</v>
      </c>
      <c r="E541" s="3">
        <v>0.15694444444444444</v>
      </c>
      <c r="F541" s="2">
        <v>45022</v>
      </c>
      <c r="G541" s="3">
        <v>0.28888888888888886</v>
      </c>
      <c r="H541" s="1" t="s">
        <v>11</v>
      </c>
      <c r="I541" t="s">
        <v>8</v>
      </c>
      <c r="J541" t="s">
        <v>601</v>
      </c>
      <c r="K541" s="9">
        <v>47.85</v>
      </c>
      <c r="L541" t="s">
        <v>9</v>
      </c>
      <c r="M541">
        <v>540</v>
      </c>
      <c r="N541" t="s">
        <v>34</v>
      </c>
      <c r="O541" s="3">
        <f>(Sala[[#This Row],[Hora de Salida]]-Sala[[#This Row],[Hora de llegada]])+IF(Sala[[#This Row],[Estado de la Mesa]]="Ocupada",(TEXT((15/(60*24)),"h:mm")),(TEXT(0,"h:mm")))</f>
        <v>0.13194444444444442</v>
      </c>
      <c r="P541" s="43">
        <f>(SUMIF(Cocina[Número de Orden],Sala[[#This Row],[Número de Orden]],Cocina[Tiempo de Preparación]))</f>
        <v>82</v>
      </c>
      <c r="Q541" s="5" t="str">
        <f>TEXT(((SUMIF(Cocina[Número de Orden],Sala[[#This Row],[Número de Orden]],Cocina[Tiempo de Preparación]))/(60*24)),"h:mm")</f>
        <v>1:22</v>
      </c>
      <c r="R541" s="3">
        <f>MAX((Sala[[#This Row],[Tiempo de permanencia]]-Sala[[#This Row],[Tiempo de preparación (h)]]),0)</f>
        <v>7.4999999999999983E-2</v>
      </c>
      <c r="S541" s="8">
        <f>SUMIF(Cocina[Número de Orden],Sala[[#This Row],[Número de Orden]],Cocina[Ganancia bruta])</f>
        <v>124</v>
      </c>
      <c r="T541" s="8">
        <f>SUMIF(Cocina[Número de Orden],Sala[[#This Row],[Número de Orden]],Cocina[Costo Unitario])</f>
        <v>31</v>
      </c>
      <c r="U541" s="2">
        <f>Sala[[#This Row],[Fecha de Salida]]</f>
        <v>45022</v>
      </c>
      <c r="V541" s="7" t="str">
        <f>TEXT(Sala[[#This Row],[Fecha factura]],"dddd")</f>
        <v>jueves</v>
      </c>
      <c r="W541" t="str">
        <f>IF(Sala[[#This Row],[Tiempo de degustación]]&gt;0,"Sí","No")</f>
        <v>Sí</v>
      </c>
      <c r="X541" t="str">
        <f>IF(Sala[[#This Row],[Cobrada]]="Sí",Sala[[#This Row],[Método de Pago]],"Impago")</f>
        <v>Tarjeta de crédito</v>
      </c>
      <c r="Y541">
        <f>IF(Sala[[#This Row],[Cobrada]]="Sí",Sala[[#This Row],[Propina]],0)</f>
        <v>47.85</v>
      </c>
      <c r="Z541">
        <f>(IF(Sala[[#This Row],[Cobrada]]="Sí",Sala[[#This Row],[Monto total]],0))+Sala[[#This Row],[Propina real]]</f>
        <v>171.85</v>
      </c>
    </row>
    <row r="542" spans="1:26" x14ac:dyDescent="0.25">
      <c r="A542">
        <v>19</v>
      </c>
      <c r="B542" t="s">
        <v>52</v>
      </c>
      <c r="C542">
        <v>2</v>
      </c>
      <c r="D542" s="2">
        <v>45022</v>
      </c>
      <c r="E542" s="3">
        <v>2.2916666666666665E-2</v>
      </c>
      <c r="F542" s="2">
        <v>45022</v>
      </c>
      <c r="G542" s="3">
        <v>0.18888888888888888</v>
      </c>
      <c r="H542" s="1" t="s">
        <v>11</v>
      </c>
      <c r="I542" t="s">
        <v>12</v>
      </c>
      <c r="J542" t="s">
        <v>600</v>
      </c>
      <c r="K542" s="9">
        <v>33.700000000000003</v>
      </c>
      <c r="L542" t="s">
        <v>9</v>
      </c>
      <c r="M542">
        <v>541</v>
      </c>
      <c r="N542" t="s">
        <v>14</v>
      </c>
      <c r="O542" s="3">
        <f>(Sala[[#This Row],[Hora de Salida]]-Sala[[#This Row],[Hora de llegada]])+IF(Sala[[#This Row],[Estado de la Mesa]]="Ocupada",(TEXT((15/(60*24)),"h:mm")),(TEXT(0,"h:mm")))</f>
        <v>0.16597222222222222</v>
      </c>
      <c r="P542" s="43">
        <f>(SUMIF(Cocina[Número de Orden],Sala[[#This Row],[Número de Orden]],Cocina[Tiempo de Preparación]))</f>
        <v>124</v>
      </c>
      <c r="Q542" s="5" t="str">
        <f>TEXT(((SUMIF(Cocina[Número de Orden],Sala[[#This Row],[Número de Orden]],Cocina[Tiempo de Preparación]))/(60*24)),"h:mm")</f>
        <v>2:04</v>
      </c>
      <c r="R542" s="3">
        <f>MAX((Sala[[#This Row],[Tiempo de permanencia]]-Sala[[#This Row],[Tiempo de preparación (h)]]),0)</f>
        <v>7.9861111111111105E-2</v>
      </c>
      <c r="S542" s="8">
        <f>SUMIF(Cocina[Número de Orden],Sala[[#This Row],[Número de Orden]],Cocina[Ganancia bruta])</f>
        <v>202</v>
      </c>
      <c r="T542" s="8">
        <f>SUMIF(Cocina[Número de Orden],Sala[[#This Row],[Número de Orden]],Cocina[Costo Unitario])</f>
        <v>62</v>
      </c>
      <c r="U542" s="2">
        <f>Sala[[#This Row],[Fecha de Salida]]</f>
        <v>45022</v>
      </c>
      <c r="V542" s="7" t="str">
        <f>TEXT(Sala[[#This Row],[Fecha factura]],"dddd")</f>
        <v>jueves</v>
      </c>
      <c r="W542" t="str">
        <f>IF(Sala[[#This Row],[Tiempo de degustación]]&gt;0,"Sí","No")</f>
        <v>Sí</v>
      </c>
      <c r="X542" t="str">
        <f>IF(Sala[[#This Row],[Cobrada]]="Sí",Sala[[#This Row],[Método de Pago]],"Impago")</f>
        <v>Tarjeta de débito</v>
      </c>
      <c r="Y542">
        <f>IF(Sala[[#This Row],[Cobrada]]="Sí",Sala[[#This Row],[Propina]],0)</f>
        <v>33.700000000000003</v>
      </c>
      <c r="Z542">
        <f>(IF(Sala[[#This Row],[Cobrada]]="Sí",Sala[[#This Row],[Monto total]],0))+Sala[[#This Row],[Propina real]]</f>
        <v>235.7</v>
      </c>
    </row>
    <row r="543" spans="1:26" x14ac:dyDescent="0.25">
      <c r="A543">
        <v>9</v>
      </c>
      <c r="B543" t="s">
        <v>159</v>
      </c>
      <c r="C543">
        <v>5</v>
      </c>
      <c r="D543" s="2">
        <v>45022</v>
      </c>
      <c r="E543" s="3">
        <v>0.11597222222222223</v>
      </c>
      <c r="F543" s="2">
        <v>45022</v>
      </c>
      <c r="G543" s="3">
        <v>0.19652777777777777</v>
      </c>
      <c r="H543" s="1" t="s">
        <v>7</v>
      </c>
      <c r="I543" t="s">
        <v>12</v>
      </c>
      <c r="J543" t="s">
        <v>601</v>
      </c>
      <c r="K543" s="9">
        <v>49.05</v>
      </c>
      <c r="L543" t="s">
        <v>9</v>
      </c>
      <c r="M543">
        <v>542</v>
      </c>
      <c r="N543" t="s">
        <v>47</v>
      </c>
      <c r="O543" s="3">
        <f>(Sala[[#This Row],[Hora de Salida]]-Sala[[#This Row],[Hora de llegada]])+IF(Sala[[#This Row],[Estado de la Mesa]]="Ocupada",(TEXT((15/(60*24)),"h:mm")),(TEXT(0,"h:mm")))</f>
        <v>8.0555555555555547E-2</v>
      </c>
      <c r="P543" s="43">
        <f>(SUMIF(Cocina[Número de Orden],Sala[[#This Row],[Número de Orden]],Cocina[Tiempo de Preparación]))</f>
        <v>115</v>
      </c>
      <c r="Q543" s="5" t="str">
        <f>TEXT(((SUMIF(Cocina[Número de Orden],Sala[[#This Row],[Número de Orden]],Cocina[Tiempo de Preparación]))/(60*24)),"h:mm")</f>
        <v>1:55</v>
      </c>
      <c r="R543" s="3">
        <f>MAX((Sala[[#This Row],[Tiempo de permanencia]]-Sala[[#This Row],[Tiempo de preparación (h)]]),0)</f>
        <v>6.9444444444444198E-4</v>
      </c>
      <c r="S543" s="8">
        <f>SUMIF(Cocina[Número de Orden],Sala[[#This Row],[Número de Orden]],Cocina[Ganancia bruta])</f>
        <v>148</v>
      </c>
      <c r="T543" s="8">
        <f>SUMIF(Cocina[Número de Orden],Sala[[#This Row],[Número de Orden]],Cocina[Costo Unitario])</f>
        <v>51</v>
      </c>
      <c r="U543" s="2">
        <f>Sala[[#This Row],[Fecha de Salida]]</f>
        <v>45022</v>
      </c>
      <c r="V543" s="7" t="str">
        <f>TEXT(Sala[[#This Row],[Fecha factura]],"dddd")</f>
        <v>jueves</v>
      </c>
      <c r="W543" t="str">
        <f>IF(Sala[[#This Row],[Tiempo de degustación]]&gt;0,"Sí","No")</f>
        <v>Sí</v>
      </c>
      <c r="X543" t="str">
        <f>IF(Sala[[#This Row],[Cobrada]]="Sí",Sala[[#This Row],[Método de Pago]],"Impago")</f>
        <v>Tarjeta de crédito</v>
      </c>
      <c r="Y543">
        <f>IF(Sala[[#This Row],[Cobrada]]="Sí",Sala[[#This Row],[Propina]],0)</f>
        <v>49.05</v>
      </c>
      <c r="Z543">
        <f>(IF(Sala[[#This Row],[Cobrada]]="Sí",Sala[[#This Row],[Monto total]],0))+Sala[[#This Row],[Propina real]]</f>
        <v>197.05</v>
      </c>
    </row>
    <row r="544" spans="1:26" x14ac:dyDescent="0.25">
      <c r="A544">
        <v>19</v>
      </c>
      <c r="B544" t="s">
        <v>479</v>
      </c>
      <c r="C544">
        <v>5</v>
      </c>
      <c r="D544" s="2">
        <v>45022</v>
      </c>
      <c r="E544" s="3">
        <v>3.2638888888888891E-2</v>
      </c>
      <c r="F544" s="2">
        <v>45022</v>
      </c>
      <c r="G544" s="3">
        <v>0.15069444444444444</v>
      </c>
      <c r="H544" s="1" t="s">
        <v>23</v>
      </c>
      <c r="I544" t="s">
        <v>25</v>
      </c>
      <c r="J544" t="s">
        <v>601</v>
      </c>
      <c r="K544" s="9">
        <v>49.37</v>
      </c>
      <c r="L544" t="s">
        <v>9</v>
      </c>
      <c r="M544">
        <v>543</v>
      </c>
      <c r="N544" t="s">
        <v>21</v>
      </c>
      <c r="O544" s="3">
        <f>(Sala[[#This Row],[Hora de Salida]]-Sala[[#This Row],[Hora de llegada]])+IF(Sala[[#This Row],[Estado de la Mesa]]="Ocupada",(TEXT((15/(60*24)),"h:mm")),(TEXT(0,"h:mm")))</f>
        <v>0.11805555555555555</v>
      </c>
      <c r="P544" s="43">
        <f>(SUMIF(Cocina[Número de Orden],Sala[[#This Row],[Número de Orden]],Cocina[Tiempo de Preparación]))</f>
        <v>74</v>
      </c>
      <c r="Q544" s="5" t="str">
        <f>TEXT(((SUMIF(Cocina[Número de Orden],Sala[[#This Row],[Número de Orden]],Cocina[Tiempo de Preparación]))/(60*24)),"h:mm")</f>
        <v>1:14</v>
      </c>
      <c r="R544" s="3">
        <f>MAX((Sala[[#This Row],[Tiempo de permanencia]]-Sala[[#This Row],[Tiempo de preparación (h)]]),0)</f>
        <v>6.6666666666666666E-2</v>
      </c>
      <c r="S544" s="8">
        <f>SUMIF(Cocina[Número de Orden],Sala[[#This Row],[Número de Orden]],Cocina[Ganancia bruta])</f>
        <v>206</v>
      </c>
      <c r="T544" s="8">
        <f>SUMIF(Cocina[Número de Orden],Sala[[#This Row],[Número de Orden]],Cocina[Costo Unitario])</f>
        <v>51</v>
      </c>
      <c r="U544" s="2">
        <f>Sala[[#This Row],[Fecha de Salida]]</f>
        <v>45022</v>
      </c>
      <c r="V544" s="7" t="str">
        <f>TEXT(Sala[[#This Row],[Fecha factura]],"dddd")</f>
        <v>jueves</v>
      </c>
      <c r="W544" t="str">
        <f>IF(Sala[[#This Row],[Tiempo de degustación]]&gt;0,"Sí","No")</f>
        <v>Sí</v>
      </c>
      <c r="X544" t="str">
        <f>IF(Sala[[#This Row],[Cobrada]]="Sí",Sala[[#This Row],[Método de Pago]],"Impago")</f>
        <v>Tarjeta de crédito</v>
      </c>
      <c r="Y544">
        <f>IF(Sala[[#This Row],[Cobrada]]="Sí",Sala[[#This Row],[Propina]],0)</f>
        <v>49.37</v>
      </c>
      <c r="Z544">
        <f>(IF(Sala[[#This Row],[Cobrada]]="Sí",Sala[[#This Row],[Monto total]],0))+Sala[[#This Row],[Propina real]]</f>
        <v>255.37</v>
      </c>
    </row>
    <row r="545" spans="1:26" x14ac:dyDescent="0.25">
      <c r="A545">
        <v>7</v>
      </c>
      <c r="B545" t="s">
        <v>480</v>
      </c>
      <c r="C545">
        <v>4</v>
      </c>
      <c r="D545" s="2">
        <v>45022</v>
      </c>
      <c r="E545" s="3">
        <v>0.13680555555555557</v>
      </c>
      <c r="F545" s="2">
        <v>45022</v>
      </c>
      <c r="G545" s="3">
        <v>0.19791666666666666</v>
      </c>
      <c r="H545" s="1" t="s">
        <v>20</v>
      </c>
      <c r="I545" t="s">
        <v>8</v>
      </c>
      <c r="J545" t="s">
        <v>601</v>
      </c>
      <c r="K545" s="9">
        <v>44.91</v>
      </c>
      <c r="L545" t="s">
        <v>28</v>
      </c>
      <c r="M545">
        <v>544</v>
      </c>
      <c r="N545" t="s">
        <v>44</v>
      </c>
      <c r="O545" s="3">
        <f>(Sala[[#This Row],[Hora de Salida]]-Sala[[#This Row],[Hora de llegada]])+IF(Sala[[#This Row],[Estado de la Mesa]]="Ocupada",(TEXT((15/(60*24)),"h:mm")),(TEXT(0,"h:mm")))</f>
        <v>7.152777777777776E-2</v>
      </c>
      <c r="P545" s="43">
        <f>(SUMIF(Cocina[Número de Orden],Sala[[#This Row],[Número de Orden]],Cocina[Tiempo de Preparación]))</f>
        <v>48</v>
      </c>
      <c r="Q545" s="5" t="str">
        <f>TEXT(((SUMIF(Cocina[Número de Orden],Sala[[#This Row],[Número de Orden]],Cocina[Tiempo de Preparación]))/(60*24)),"h:mm")</f>
        <v>0:48</v>
      </c>
      <c r="R545" s="3">
        <f>MAX((Sala[[#This Row],[Tiempo de permanencia]]-Sala[[#This Row],[Tiempo de preparación (h)]]),0)</f>
        <v>3.8194444444444427E-2</v>
      </c>
      <c r="S545" s="8">
        <f>SUMIF(Cocina[Número de Orden],Sala[[#This Row],[Número de Orden]],Cocina[Ganancia bruta])</f>
        <v>70</v>
      </c>
      <c r="T545" s="8">
        <f>SUMIF(Cocina[Número de Orden],Sala[[#This Row],[Número de Orden]],Cocina[Costo Unitario])</f>
        <v>21</v>
      </c>
      <c r="U545" s="2">
        <f>Sala[[#This Row],[Fecha de Salida]]</f>
        <v>45022</v>
      </c>
      <c r="V545" s="7" t="str">
        <f>TEXT(Sala[[#This Row],[Fecha factura]],"dddd")</f>
        <v>jueves</v>
      </c>
      <c r="W545" t="str">
        <f>IF(Sala[[#This Row],[Tiempo de degustación]]&gt;0,"Sí","No")</f>
        <v>Sí</v>
      </c>
      <c r="X545" t="str">
        <f>IF(Sala[[#This Row],[Cobrada]]="Sí",Sala[[#This Row],[Método de Pago]],"Impago")</f>
        <v>Tarjeta de crédito</v>
      </c>
      <c r="Y545">
        <f>IF(Sala[[#This Row],[Cobrada]]="Sí",Sala[[#This Row],[Propina]],0)</f>
        <v>44.91</v>
      </c>
      <c r="Z545">
        <f>(IF(Sala[[#This Row],[Cobrada]]="Sí",Sala[[#This Row],[Monto total]],0))+Sala[[#This Row],[Propina real]]</f>
        <v>114.91</v>
      </c>
    </row>
    <row r="546" spans="1:26" x14ac:dyDescent="0.25">
      <c r="A546">
        <v>20</v>
      </c>
      <c r="B546" t="s">
        <v>481</v>
      </c>
      <c r="C546">
        <v>5</v>
      </c>
      <c r="D546" s="2">
        <v>45022</v>
      </c>
      <c r="E546" s="3">
        <v>0.11041666666666666</v>
      </c>
      <c r="F546" s="2">
        <v>45022</v>
      </c>
      <c r="G546" s="3">
        <v>0.18472222222222223</v>
      </c>
      <c r="H546" s="1" t="s">
        <v>16</v>
      </c>
      <c r="I546" t="s">
        <v>8</v>
      </c>
      <c r="J546" t="s">
        <v>13</v>
      </c>
      <c r="K546" s="9">
        <v>12.18</v>
      </c>
      <c r="L546" t="s">
        <v>28</v>
      </c>
      <c r="M546">
        <v>545</v>
      </c>
      <c r="N546" t="s">
        <v>47</v>
      </c>
      <c r="O546" s="3">
        <f>(Sala[[#This Row],[Hora de Salida]]-Sala[[#This Row],[Hora de llegada]])+IF(Sala[[#This Row],[Estado de la Mesa]]="Ocupada",(TEXT((15/(60*24)),"h:mm")),(TEXT(0,"h:mm")))</f>
        <v>8.472222222222224E-2</v>
      </c>
      <c r="P546" s="43">
        <f>(SUMIF(Cocina[Número de Orden],Sala[[#This Row],[Número de Orden]],Cocina[Tiempo de Preparación]))</f>
        <v>99</v>
      </c>
      <c r="Q546" s="5" t="str">
        <f>TEXT(((SUMIF(Cocina[Número de Orden],Sala[[#This Row],[Número de Orden]],Cocina[Tiempo de Preparación]))/(60*24)),"h:mm")</f>
        <v>1:39</v>
      </c>
      <c r="R546" s="3">
        <f>MAX((Sala[[#This Row],[Tiempo de permanencia]]-Sala[[#This Row],[Tiempo de preparación (h)]]),0)</f>
        <v>1.5972222222222235E-2</v>
      </c>
      <c r="S546" s="8">
        <f>SUMIF(Cocina[Número de Orden],Sala[[#This Row],[Número de Orden]],Cocina[Ganancia bruta])</f>
        <v>130</v>
      </c>
      <c r="T546" s="8">
        <f>SUMIF(Cocina[Número de Orden],Sala[[#This Row],[Número de Orden]],Cocina[Costo Unitario])</f>
        <v>39</v>
      </c>
      <c r="U546" s="2">
        <f>Sala[[#This Row],[Fecha de Salida]]</f>
        <v>45022</v>
      </c>
      <c r="V546" s="7" t="str">
        <f>TEXT(Sala[[#This Row],[Fecha factura]],"dddd")</f>
        <v>jueves</v>
      </c>
      <c r="W546" t="str">
        <f>IF(Sala[[#This Row],[Tiempo de degustación]]&gt;0,"Sí","No")</f>
        <v>Sí</v>
      </c>
      <c r="X546" t="str">
        <f>IF(Sala[[#This Row],[Cobrada]]="Sí",Sala[[#This Row],[Método de Pago]],"Impago")</f>
        <v>Efectivo</v>
      </c>
      <c r="Y546">
        <f>IF(Sala[[#This Row],[Cobrada]]="Sí",Sala[[#This Row],[Propina]],0)</f>
        <v>12.18</v>
      </c>
      <c r="Z546">
        <f>(IF(Sala[[#This Row],[Cobrada]]="Sí",Sala[[#This Row],[Monto total]],0))+Sala[[#This Row],[Propina real]]</f>
        <v>142.18</v>
      </c>
    </row>
    <row r="547" spans="1:26" x14ac:dyDescent="0.25">
      <c r="A547">
        <v>5</v>
      </c>
      <c r="B547" t="s">
        <v>482</v>
      </c>
      <c r="C547">
        <v>2</v>
      </c>
      <c r="D547" s="2">
        <v>45022</v>
      </c>
      <c r="E547" s="3">
        <v>0.13472222222222222</v>
      </c>
      <c r="F547" s="2">
        <v>45022</v>
      </c>
      <c r="G547" s="3">
        <v>0.22847222222222222</v>
      </c>
      <c r="H547" s="1" t="s">
        <v>23</v>
      </c>
      <c r="I547" t="s">
        <v>8</v>
      </c>
      <c r="J547" t="s">
        <v>600</v>
      </c>
      <c r="K547" s="9">
        <v>47.81</v>
      </c>
      <c r="L547" t="s">
        <v>9</v>
      </c>
      <c r="M547">
        <v>546</v>
      </c>
      <c r="N547" t="s">
        <v>32</v>
      </c>
      <c r="O547" s="3">
        <f>(Sala[[#This Row],[Hora de Salida]]-Sala[[#This Row],[Hora de llegada]])+IF(Sala[[#This Row],[Estado de la Mesa]]="Ocupada",(TEXT((15/(60*24)),"h:mm")),(TEXT(0,"h:mm")))</f>
        <v>9.375E-2</v>
      </c>
      <c r="P547" s="43">
        <f>(SUMIF(Cocina[Número de Orden],Sala[[#This Row],[Número de Orden]],Cocina[Tiempo de Preparación]))</f>
        <v>91</v>
      </c>
      <c r="Q547" s="5" t="str">
        <f>TEXT(((SUMIF(Cocina[Número de Orden],Sala[[#This Row],[Número de Orden]],Cocina[Tiempo de Preparación]))/(60*24)),"h:mm")</f>
        <v>1:31</v>
      </c>
      <c r="R547" s="3">
        <f>MAX((Sala[[#This Row],[Tiempo de permanencia]]-Sala[[#This Row],[Tiempo de preparación (h)]]),0)</f>
        <v>3.0555555555555558E-2</v>
      </c>
      <c r="S547" s="8">
        <f>SUMIF(Cocina[Número de Orden],Sala[[#This Row],[Número de Orden]],Cocina[Ganancia bruta])</f>
        <v>92</v>
      </c>
      <c r="T547" s="8">
        <f>SUMIF(Cocina[Número de Orden],Sala[[#This Row],[Número de Orden]],Cocina[Costo Unitario])</f>
        <v>35</v>
      </c>
      <c r="U547" s="2">
        <f>Sala[[#This Row],[Fecha de Salida]]</f>
        <v>45022</v>
      </c>
      <c r="V547" s="7" t="str">
        <f>TEXT(Sala[[#This Row],[Fecha factura]],"dddd")</f>
        <v>jueves</v>
      </c>
      <c r="W547" t="str">
        <f>IF(Sala[[#This Row],[Tiempo de degustación]]&gt;0,"Sí","No")</f>
        <v>Sí</v>
      </c>
      <c r="X547" t="str">
        <f>IF(Sala[[#This Row],[Cobrada]]="Sí",Sala[[#This Row],[Método de Pago]],"Impago")</f>
        <v>Tarjeta de débito</v>
      </c>
      <c r="Y547">
        <f>IF(Sala[[#This Row],[Cobrada]]="Sí",Sala[[#This Row],[Propina]],0)</f>
        <v>47.81</v>
      </c>
      <c r="Z547">
        <f>(IF(Sala[[#This Row],[Cobrada]]="Sí",Sala[[#This Row],[Monto total]],0))+Sala[[#This Row],[Propina real]]</f>
        <v>139.81</v>
      </c>
    </row>
    <row r="548" spans="1:26" x14ac:dyDescent="0.25">
      <c r="A548">
        <v>9</v>
      </c>
      <c r="B548" t="s">
        <v>483</v>
      </c>
      <c r="C548">
        <v>3</v>
      </c>
      <c r="D548" s="2">
        <v>45022</v>
      </c>
      <c r="E548" s="3">
        <v>0.11319444444444444</v>
      </c>
      <c r="F548" s="2">
        <v>45022</v>
      </c>
      <c r="G548" s="3">
        <v>0.19166666666666668</v>
      </c>
      <c r="H548" s="1" t="s">
        <v>20</v>
      </c>
      <c r="I548" t="s">
        <v>25</v>
      </c>
      <c r="J548" t="s">
        <v>601</v>
      </c>
      <c r="K548" s="9">
        <v>20.04</v>
      </c>
      <c r="L548" t="s">
        <v>28</v>
      </c>
      <c r="M548">
        <v>547</v>
      </c>
      <c r="N548" t="s">
        <v>14</v>
      </c>
      <c r="O548" s="3">
        <f>(Sala[[#This Row],[Hora de Salida]]-Sala[[#This Row],[Hora de llegada]])+IF(Sala[[#This Row],[Estado de la Mesa]]="Ocupada",(TEXT((15/(60*24)),"h:mm")),(TEXT(0,"h:mm")))</f>
        <v>8.8888888888888906E-2</v>
      </c>
      <c r="P548" s="43">
        <f>(SUMIF(Cocina[Número de Orden],Sala[[#This Row],[Número de Orden]],Cocina[Tiempo de Preparación]))</f>
        <v>97</v>
      </c>
      <c r="Q548" s="5" t="str">
        <f>TEXT(((SUMIF(Cocina[Número de Orden],Sala[[#This Row],[Número de Orden]],Cocina[Tiempo de Preparación]))/(60*24)),"h:mm")</f>
        <v>1:37</v>
      </c>
      <c r="R548" s="3">
        <f>MAX((Sala[[#This Row],[Tiempo de permanencia]]-Sala[[#This Row],[Tiempo de preparación (h)]]),0)</f>
        <v>2.1527777777777798E-2</v>
      </c>
      <c r="S548" s="8">
        <f>SUMIF(Cocina[Número de Orden],Sala[[#This Row],[Número de Orden]],Cocina[Ganancia bruta])</f>
        <v>227</v>
      </c>
      <c r="T548" s="8">
        <f>SUMIF(Cocina[Número de Orden],Sala[[#This Row],[Número de Orden]],Cocina[Costo Unitario])</f>
        <v>60</v>
      </c>
      <c r="U548" s="2">
        <f>Sala[[#This Row],[Fecha de Salida]]</f>
        <v>45022</v>
      </c>
      <c r="V548" s="7" t="str">
        <f>TEXT(Sala[[#This Row],[Fecha factura]],"dddd")</f>
        <v>jueves</v>
      </c>
      <c r="W548" t="str">
        <f>IF(Sala[[#This Row],[Tiempo de degustación]]&gt;0,"Sí","No")</f>
        <v>Sí</v>
      </c>
      <c r="X548" t="str">
        <f>IF(Sala[[#This Row],[Cobrada]]="Sí",Sala[[#This Row],[Método de Pago]],"Impago")</f>
        <v>Tarjeta de crédito</v>
      </c>
      <c r="Y548">
        <f>IF(Sala[[#This Row],[Cobrada]]="Sí",Sala[[#This Row],[Propina]],0)</f>
        <v>20.04</v>
      </c>
      <c r="Z548">
        <f>(IF(Sala[[#This Row],[Cobrada]]="Sí",Sala[[#This Row],[Monto total]],0))+Sala[[#This Row],[Propina real]]</f>
        <v>247.04</v>
      </c>
    </row>
    <row r="549" spans="1:26" x14ac:dyDescent="0.25">
      <c r="A549">
        <v>4</v>
      </c>
      <c r="B549" t="s">
        <v>484</v>
      </c>
      <c r="C549">
        <v>2</v>
      </c>
      <c r="D549" s="2">
        <v>45022</v>
      </c>
      <c r="E549" s="3">
        <v>3.8194444444444448E-2</v>
      </c>
      <c r="F549" s="2">
        <v>45022</v>
      </c>
      <c r="G549" s="3">
        <v>0.16875000000000001</v>
      </c>
      <c r="H549" s="1" t="s">
        <v>16</v>
      </c>
      <c r="I549" t="s">
        <v>8</v>
      </c>
      <c r="J549" t="s">
        <v>601</v>
      </c>
      <c r="K549" s="9">
        <v>28.88</v>
      </c>
      <c r="L549" t="s">
        <v>17</v>
      </c>
      <c r="M549">
        <v>548</v>
      </c>
      <c r="N549" t="s">
        <v>47</v>
      </c>
      <c r="O549" s="3">
        <f>(Sala[[#This Row],[Hora de Salida]]-Sala[[#This Row],[Hora de llegada]])+IF(Sala[[#This Row],[Estado de la Mesa]]="Ocupada",(TEXT((15/(60*24)),"h:mm")),(TEXT(0,"h:mm")))</f>
        <v>0.13055555555555556</v>
      </c>
      <c r="P549" s="43">
        <f>(SUMIF(Cocina[Número de Orden],Sala[[#This Row],[Número de Orden]],Cocina[Tiempo de Preparación]))</f>
        <v>106</v>
      </c>
      <c r="Q549" s="5" t="str">
        <f>TEXT(((SUMIF(Cocina[Número de Orden],Sala[[#This Row],[Número de Orden]],Cocina[Tiempo de Preparación]))/(60*24)),"h:mm")</f>
        <v>1:46</v>
      </c>
      <c r="R549" s="3">
        <f>MAX((Sala[[#This Row],[Tiempo de permanencia]]-Sala[[#This Row],[Tiempo de preparación (h)]]),0)</f>
        <v>5.694444444444445E-2</v>
      </c>
      <c r="S549" s="8">
        <f>SUMIF(Cocina[Número de Orden],Sala[[#This Row],[Número de Orden]],Cocina[Ganancia bruta])</f>
        <v>96</v>
      </c>
      <c r="T549" s="8">
        <f>SUMIF(Cocina[Número de Orden],Sala[[#This Row],[Número de Orden]],Cocina[Costo Unitario])</f>
        <v>39</v>
      </c>
      <c r="U549" s="2">
        <f>Sala[[#This Row],[Fecha de Salida]]</f>
        <v>45022</v>
      </c>
      <c r="V549" s="7" t="str">
        <f>TEXT(Sala[[#This Row],[Fecha factura]],"dddd")</f>
        <v>jueves</v>
      </c>
      <c r="W549" t="str">
        <f>IF(Sala[[#This Row],[Tiempo de degustación]]&gt;0,"Sí","No")</f>
        <v>Sí</v>
      </c>
      <c r="X549" t="str">
        <f>IF(Sala[[#This Row],[Cobrada]]="Sí",Sala[[#This Row],[Método de Pago]],"Impago")</f>
        <v>Tarjeta de crédito</v>
      </c>
      <c r="Y549">
        <f>IF(Sala[[#This Row],[Cobrada]]="Sí",Sala[[#This Row],[Propina]],0)</f>
        <v>28.88</v>
      </c>
      <c r="Z549">
        <f>(IF(Sala[[#This Row],[Cobrada]]="Sí",Sala[[#This Row],[Monto total]],0))+Sala[[#This Row],[Propina real]]</f>
        <v>124.88</v>
      </c>
    </row>
    <row r="550" spans="1:26" x14ac:dyDescent="0.25">
      <c r="A550">
        <v>12</v>
      </c>
      <c r="B550" t="s">
        <v>308</v>
      </c>
      <c r="C550">
        <v>2</v>
      </c>
      <c r="D550" s="2">
        <v>45022</v>
      </c>
      <c r="E550" s="3">
        <v>6.458333333333334E-2</v>
      </c>
      <c r="F550" s="2">
        <v>45022</v>
      </c>
      <c r="G550" s="3">
        <v>0.22638888888888889</v>
      </c>
      <c r="H550" s="1" t="s">
        <v>11</v>
      </c>
      <c r="I550" t="s">
        <v>8</v>
      </c>
      <c r="J550" t="s">
        <v>601</v>
      </c>
      <c r="K550" s="9">
        <v>35.340000000000003</v>
      </c>
      <c r="L550" t="s">
        <v>17</v>
      </c>
      <c r="M550">
        <v>549</v>
      </c>
      <c r="N550" t="s">
        <v>14</v>
      </c>
      <c r="O550" s="3">
        <f>(Sala[[#This Row],[Hora de Salida]]-Sala[[#This Row],[Hora de llegada]])+IF(Sala[[#This Row],[Estado de la Mesa]]="Ocupada",(TEXT((15/(60*24)),"h:mm")),(TEXT(0,"h:mm")))</f>
        <v>0.16180555555555554</v>
      </c>
      <c r="P550" s="43">
        <f>(SUMIF(Cocina[Número de Orden],Sala[[#This Row],[Número de Orden]],Cocina[Tiempo de Preparación]))</f>
        <v>98</v>
      </c>
      <c r="Q550" s="5" t="str">
        <f>TEXT(((SUMIF(Cocina[Número de Orden],Sala[[#This Row],[Número de Orden]],Cocina[Tiempo de Preparación]))/(60*24)),"h:mm")</f>
        <v>1:38</v>
      </c>
      <c r="R550" s="3">
        <f>MAX((Sala[[#This Row],[Tiempo de permanencia]]-Sala[[#This Row],[Tiempo de preparación (h)]]),0)</f>
        <v>9.3749999999999986E-2</v>
      </c>
      <c r="S550" s="8">
        <f>SUMIF(Cocina[Número de Orden],Sala[[#This Row],[Número de Orden]],Cocina[Ganancia bruta])</f>
        <v>162</v>
      </c>
      <c r="T550" s="8">
        <f>SUMIF(Cocina[Número de Orden],Sala[[#This Row],[Número de Orden]],Cocina[Costo Unitario])</f>
        <v>56</v>
      </c>
      <c r="U550" s="2">
        <f>Sala[[#This Row],[Fecha de Salida]]</f>
        <v>45022</v>
      </c>
      <c r="V550" s="7" t="str">
        <f>TEXT(Sala[[#This Row],[Fecha factura]],"dddd")</f>
        <v>jueves</v>
      </c>
      <c r="W550" t="str">
        <f>IF(Sala[[#This Row],[Tiempo de degustación]]&gt;0,"Sí","No")</f>
        <v>Sí</v>
      </c>
      <c r="X550" t="str">
        <f>IF(Sala[[#This Row],[Cobrada]]="Sí",Sala[[#This Row],[Método de Pago]],"Impago")</f>
        <v>Tarjeta de crédito</v>
      </c>
      <c r="Y550">
        <f>IF(Sala[[#This Row],[Cobrada]]="Sí",Sala[[#This Row],[Propina]],0)</f>
        <v>35.340000000000003</v>
      </c>
      <c r="Z550">
        <f>(IF(Sala[[#This Row],[Cobrada]]="Sí",Sala[[#This Row],[Monto total]],0))+Sala[[#This Row],[Propina real]]</f>
        <v>197.34</v>
      </c>
    </row>
    <row r="551" spans="1:26" x14ac:dyDescent="0.25">
      <c r="A551">
        <v>1</v>
      </c>
      <c r="B551" t="s">
        <v>419</v>
      </c>
      <c r="C551">
        <v>6</v>
      </c>
      <c r="D551" s="2">
        <v>45022</v>
      </c>
      <c r="E551" s="3">
        <v>4.7222222222222221E-2</v>
      </c>
      <c r="F551" s="2">
        <v>45022</v>
      </c>
      <c r="G551" s="3">
        <v>0.11041666666666666</v>
      </c>
      <c r="H551" s="1" t="s">
        <v>7</v>
      </c>
      <c r="I551" t="s">
        <v>8</v>
      </c>
      <c r="J551" t="s">
        <v>601</v>
      </c>
      <c r="K551" s="9">
        <v>28.33</v>
      </c>
      <c r="L551" t="s">
        <v>28</v>
      </c>
      <c r="M551">
        <v>550</v>
      </c>
      <c r="N551" t="s">
        <v>18</v>
      </c>
      <c r="O551" s="3">
        <f>(Sala[[#This Row],[Hora de Salida]]-Sala[[#This Row],[Hora de llegada]])+IF(Sala[[#This Row],[Estado de la Mesa]]="Ocupada",(TEXT((15/(60*24)),"h:mm")),(TEXT(0,"h:mm")))</f>
        <v>7.3611111111111113E-2</v>
      </c>
      <c r="P551" s="43">
        <f>(SUMIF(Cocina[Número de Orden],Sala[[#This Row],[Número de Orden]],Cocina[Tiempo de Preparación]))</f>
        <v>57</v>
      </c>
      <c r="Q551" s="5" t="str">
        <f>TEXT(((SUMIF(Cocina[Número de Orden],Sala[[#This Row],[Número de Orden]],Cocina[Tiempo de Preparación]))/(60*24)),"h:mm")</f>
        <v>0:57</v>
      </c>
      <c r="R551" s="3">
        <f>MAX((Sala[[#This Row],[Tiempo de permanencia]]-Sala[[#This Row],[Tiempo de preparación (h)]]),0)</f>
        <v>3.4027777777777782E-2</v>
      </c>
      <c r="S551" s="8">
        <f>SUMIF(Cocina[Número de Orden],Sala[[#This Row],[Número de Orden]],Cocina[Ganancia bruta])</f>
        <v>124</v>
      </c>
      <c r="T551" s="8">
        <f>SUMIF(Cocina[Número de Orden],Sala[[#This Row],[Número de Orden]],Cocina[Costo Unitario])</f>
        <v>44</v>
      </c>
      <c r="U551" s="2">
        <f>Sala[[#This Row],[Fecha de Salida]]</f>
        <v>45022</v>
      </c>
      <c r="V551" s="7" t="str">
        <f>TEXT(Sala[[#This Row],[Fecha factura]],"dddd")</f>
        <v>jueves</v>
      </c>
      <c r="W551" t="str">
        <f>IF(Sala[[#This Row],[Tiempo de degustación]]&gt;0,"Sí","No")</f>
        <v>Sí</v>
      </c>
      <c r="X551" t="str">
        <f>IF(Sala[[#This Row],[Cobrada]]="Sí",Sala[[#This Row],[Método de Pago]],"Impago")</f>
        <v>Tarjeta de crédito</v>
      </c>
      <c r="Y551">
        <f>IF(Sala[[#This Row],[Cobrada]]="Sí",Sala[[#This Row],[Propina]],0)</f>
        <v>28.33</v>
      </c>
      <c r="Z551">
        <f>(IF(Sala[[#This Row],[Cobrada]]="Sí",Sala[[#This Row],[Monto total]],0))+Sala[[#This Row],[Propina real]]</f>
        <v>152.32999999999998</v>
      </c>
    </row>
    <row r="552" spans="1:26" x14ac:dyDescent="0.25">
      <c r="A552">
        <v>4</v>
      </c>
      <c r="B552" t="s">
        <v>485</v>
      </c>
      <c r="C552">
        <v>2</v>
      </c>
      <c r="D552" s="2">
        <v>45022</v>
      </c>
      <c r="E552" s="3">
        <v>0.12361111111111112</v>
      </c>
      <c r="F552" s="2">
        <v>45022</v>
      </c>
      <c r="G552" s="3">
        <v>0.1736111111111111</v>
      </c>
      <c r="H552" s="1" t="s">
        <v>7</v>
      </c>
      <c r="I552" t="s">
        <v>12</v>
      </c>
      <c r="J552" t="s">
        <v>601</v>
      </c>
      <c r="K552" s="9">
        <v>17.54</v>
      </c>
      <c r="L552" t="s">
        <v>9</v>
      </c>
      <c r="M552">
        <v>551</v>
      </c>
      <c r="N552" t="s">
        <v>21</v>
      </c>
      <c r="O552" s="3">
        <f>(Sala[[#This Row],[Hora de Salida]]-Sala[[#This Row],[Hora de llegada]])+IF(Sala[[#This Row],[Estado de la Mesa]]="Ocupada",(TEXT((15/(60*24)),"h:mm")),(TEXT(0,"h:mm")))</f>
        <v>4.9999999999999989E-2</v>
      </c>
      <c r="P552" s="43">
        <f>(SUMIF(Cocina[Número de Orden],Sala[[#This Row],[Número de Orden]],Cocina[Tiempo de Preparación]))</f>
        <v>123</v>
      </c>
      <c r="Q552" s="5" t="str">
        <f>TEXT(((SUMIF(Cocina[Número de Orden],Sala[[#This Row],[Número de Orden]],Cocina[Tiempo de Preparación]))/(60*24)),"h:mm")</f>
        <v>2:03</v>
      </c>
      <c r="R552" s="3">
        <f>MAX((Sala[[#This Row],[Tiempo de permanencia]]-Sala[[#This Row],[Tiempo de preparación (h)]]),0)</f>
        <v>0</v>
      </c>
      <c r="S552" s="8">
        <f>SUMIF(Cocina[Número de Orden],Sala[[#This Row],[Número de Orden]],Cocina[Ganancia bruta])</f>
        <v>171</v>
      </c>
      <c r="T552" s="8">
        <f>SUMIF(Cocina[Número de Orden],Sala[[#This Row],[Número de Orden]],Cocina[Costo Unitario])</f>
        <v>53</v>
      </c>
      <c r="U552" s="2">
        <f>Sala[[#This Row],[Fecha de Salida]]</f>
        <v>45022</v>
      </c>
      <c r="V552" s="7" t="str">
        <f>TEXT(Sala[[#This Row],[Fecha factura]],"dddd")</f>
        <v>jueves</v>
      </c>
      <c r="W552" t="str">
        <f>IF(Sala[[#This Row],[Tiempo de degustación]]&gt;0,"Sí","No")</f>
        <v>No</v>
      </c>
      <c r="X552" t="str">
        <f>IF(Sala[[#This Row],[Cobrada]]="Sí",Sala[[#This Row],[Método de Pago]],"Impago")</f>
        <v>Impago</v>
      </c>
      <c r="Y552">
        <f>IF(Sala[[#This Row],[Cobrada]]="Sí",Sala[[#This Row],[Propina]],0)</f>
        <v>0</v>
      </c>
      <c r="Z552">
        <f>(IF(Sala[[#This Row],[Cobrada]]="Sí",Sala[[#This Row],[Monto total]],0))+Sala[[#This Row],[Propina real]]</f>
        <v>0</v>
      </c>
    </row>
    <row r="553" spans="1:26" x14ac:dyDescent="0.25">
      <c r="A553">
        <v>11</v>
      </c>
      <c r="B553" t="s">
        <v>486</v>
      </c>
      <c r="C553">
        <v>6</v>
      </c>
      <c r="D553" s="2">
        <v>45022</v>
      </c>
      <c r="E553" s="3">
        <v>1.8055555555555554E-2</v>
      </c>
      <c r="F553" s="2">
        <v>45022</v>
      </c>
      <c r="G553" s="3">
        <v>0.16250000000000001</v>
      </c>
      <c r="H553" s="1" t="s">
        <v>7</v>
      </c>
      <c r="I553" t="s">
        <v>25</v>
      </c>
      <c r="J553" t="s">
        <v>600</v>
      </c>
      <c r="K553" s="9">
        <v>10.28</v>
      </c>
      <c r="L553" t="s">
        <v>17</v>
      </c>
      <c r="M553">
        <v>552</v>
      </c>
      <c r="N553" t="s">
        <v>594</v>
      </c>
      <c r="O553" s="3">
        <f>(Sala[[#This Row],[Hora de Salida]]-Sala[[#This Row],[Hora de llegada]])+IF(Sala[[#This Row],[Estado de la Mesa]]="Ocupada",(TEXT((15/(60*24)),"h:mm")),(TEXT(0,"h:mm")))</f>
        <v>0.14444444444444446</v>
      </c>
      <c r="P553" s="43">
        <f>(SUMIF(Cocina[Número de Orden],Sala[[#This Row],[Número de Orden]],Cocina[Tiempo de Preparación]))</f>
        <v>115</v>
      </c>
      <c r="Q553" s="5" t="str">
        <f>TEXT(((SUMIF(Cocina[Número de Orden],Sala[[#This Row],[Número de Orden]],Cocina[Tiempo de Preparación]))/(60*24)),"h:mm")</f>
        <v>1:55</v>
      </c>
      <c r="R553" s="3">
        <f>MAX((Sala[[#This Row],[Tiempo de permanencia]]-Sala[[#This Row],[Tiempo de preparación (h)]]),0)</f>
        <v>6.4583333333333354E-2</v>
      </c>
      <c r="S553" s="8">
        <f>SUMIF(Cocina[Número de Orden],Sala[[#This Row],[Número de Orden]],Cocina[Ganancia bruta])</f>
        <v>243</v>
      </c>
      <c r="T553" s="8">
        <f>SUMIF(Cocina[Número de Orden],Sala[[#This Row],[Número de Orden]],Cocina[Costo Unitario])</f>
        <v>50</v>
      </c>
      <c r="U553" s="2">
        <f>Sala[[#This Row],[Fecha de Salida]]</f>
        <v>45022</v>
      </c>
      <c r="V553" s="7" t="str">
        <f>TEXT(Sala[[#This Row],[Fecha factura]],"dddd")</f>
        <v>jueves</v>
      </c>
      <c r="W553" t="str">
        <f>IF(Sala[[#This Row],[Tiempo de degustación]]&gt;0,"Sí","No")</f>
        <v>Sí</v>
      </c>
      <c r="X553" t="str">
        <f>IF(Sala[[#This Row],[Cobrada]]="Sí",Sala[[#This Row],[Método de Pago]],"Impago")</f>
        <v>Tarjeta de débito</v>
      </c>
      <c r="Y553">
        <f>IF(Sala[[#This Row],[Cobrada]]="Sí",Sala[[#This Row],[Propina]],0)</f>
        <v>10.28</v>
      </c>
      <c r="Z553">
        <f>(IF(Sala[[#This Row],[Cobrada]]="Sí",Sala[[#This Row],[Monto total]],0))+Sala[[#This Row],[Propina real]]</f>
        <v>253.28</v>
      </c>
    </row>
    <row r="554" spans="1:26" x14ac:dyDescent="0.25">
      <c r="A554">
        <v>14</v>
      </c>
      <c r="B554" t="s">
        <v>487</v>
      </c>
      <c r="C554">
        <v>2</v>
      </c>
      <c r="D554" s="2">
        <v>45022</v>
      </c>
      <c r="E554" s="3">
        <v>0.11458333333333333</v>
      </c>
      <c r="F554" s="2">
        <v>45022</v>
      </c>
      <c r="G554" s="3">
        <v>0.22500000000000001</v>
      </c>
      <c r="H554" s="1" t="s">
        <v>7</v>
      </c>
      <c r="I554" t="s">
        <v>8</v>
      </c>
      <c r="J554" t="s">
        <v>601</v>
      </c>
      <c r="K554" s="9">
        <v>44.38</v>
      </c>
      <c r="L554" t="s">
        <v>17</v>
      </c>
      <c r="M554">
        <v>553</v>
      </c>
      <c r="N554" t="s">
        <v>18</v>
      </c>
      <c r="O554" s="3">
        <f>(Sala[[#This Row],[Hora de Salida]]-Sala[[#This Row],[Hora de llegada]])+IF(Sala[[#This Row],[Estado de la Mesa]]="Ocupada",(TEXT((15/(60*24)),"h:mm")),(TEXT(0,"h:mm")))</f>
        <v>0.11041666666666668</v>
      </c>
      <c r="P554" s="43">
        <f>(SUMIF(Cocina[Número de Orden],Sala[[#This Row],[Número de Orden]],Cocina[Tiempo de Preparación]))</f>
        <v>178</v>
      </c>
      <c r="Q554" s="5" t="str">
        <f>TEXT(((SUMIF(Cocina[Número de Orden],Sala[[#This Row],[Número de Orden]],Cocina[Tiempo de Preparación]))/(60*24)),"h:mm")</f>
        <v>2:58</v>
      </c>
      <c r="R554" s="3">
        <f>MAX((Sala[[#This Row],[Tiempo de permanencia]]-Sala[[#This Row],[Tiempo de preparación (h)]]),0)</f>
        <v>0</v>
      </c>
      <c r="S554" s="8">
        <f>SUMIF(Cocina[Número de Orden],Sala[[#This Row],[Número de Orden]],Cocina[Ganancia bruta])</f>
        <v>203</v>
      </c>
      <c r="T554" s="8">
        <f>SUMIF(Cocina[Número de Orden],Sala[[#This Row],[Número de Orden]],Cocina[Costo Unitario])</f>
        <v>57</v>
      </c>
      <c r="U554" s="2">
        <f>Sala[[#This Row],[Fecha de Salida]]</f>
        <v>45022</v>
      </c>
      <c r="V554" s="7" t="str">
        <f>TEXT(Sala[[#This Row],[Fecha factura]],"dddd")</f>
        <v>jueves</v>
      </c>
      <c r="W554" t="str">
        <f>IF(Sala[[#This Row],[Tiempo de degustación]]&gt;0,"Sí","No")</f>
        <v>No</v>
      </c>
      <c r="X554" t="str">
        <f>IF(Sala[[#This Row],[Cobrada]]="Sí",Sala[[#This Row],[Método de Pago]],"Impago")</f>
        <v>Impago</v>
      </c>
      <c r="Y554">
        <f>IF(Sala[[#This Row],[Cobrada]]="Sí",Sala[[#This Row],[Propina]],0)</f>
        <v>0</v>
      </c>
      <c r="Z554">
        <f>(IF(Sala[[#This Row],[Cobrada]]="Sí",Sala[[#This Row],[Monto total]],0))+Sala[[#This Row],[Propina real]]</f>
        <v>0</v>
      </c>
    </row>
    <row r="555" spans="1:26" x14ac:dyDescent="0.25">
      <c r="A555">
        <v>10</v>
      </c>
      <c r="B555" t="s">
        <v>488</v>
      </c>
      <c r="C555">
        <v>6</v>
      </c>
      <c r="D555" s="2">
        <v>45022</v>
      </c>
      <c r="E555" s="3">
        <v>6.25E-2</v>
      </c>
      <c r="F555" s="2">
        <v>45022</v>
      </c>
      <c r="G555" s="3">
        <v>0.12152777777777778</v>
      </c>
      <c r="H555" s="1" t="s">
        <v>7</v>
      </c>
      <c r="I555" t="s">
        <v>8</v>
      </c>
      <c r="J555" t="s">
        <v>600</v>
      </c>
      <c r="K555" s="9">
        <v>19.600000000000001</v>
      </c>
      <c r="L555" t="s">
        <v>28</v>
      </c>
      <c r="M555">
        <v>554</v>
      </c>
      <c r="N555" t="s">
        <v>594</v>
      </c>
      <c r="O555" s="3">
        <f>(Sala[[#This Row],[Hora de Salida]]-Sala[[#This Row],[Hora de llegada]])+IF(Sala[[#This Row],[Estado de la Mesa]]="Ocupada",(TEXT((15/(60*24)),"h:mm")),(TEXT(0,"h:mm")))</f>
        <v>6.9444444444444448E-2</v>
      </c>
      <c r="P555" s="43">
        <f>(SUMIF(Cocina[Número de Orden],Sala[[#This Row],[Número de Orden]],Cocina[Tiempo de Preparación]))</f>
        <v>71</v>
      </c>
      <c r="Q555" s="5" t="str">
        <f>TEXT(((SUMIF(Cocina[Número de Orden],Sala[[#This Row],[Número de Orden]],Cocina[Tiempo de Preparación]))/(60*24)),"h:mm")</f>
        <v>1:11</v>
      </c>
      <c r="R555" s="3">
        <f>MAX((Sala[[#This Row],[Tiempo de permanencia]]-Sala[[#This Row],[Tiempo de preparación (h)]]),0)</f>
        <v>2.0138888888888894E-2</v>
      </c>
      <c r="S555" s="8">
        <f>SUMIF(Cocina[Número de Orden],Sala[[#This Row],[Número de Orden]],Cocina[Ganancia bruta])</f>
        <v>166</v>
      </c>
      <c r="T555" s="8">
        <f>SUMIF(Cocina[Número de Orden],Sala[[#This Row],[Número de Orden]],Cocina[Costo Unitario])</f>
        <v>39</v>
      </c>
      <c r="U555" s="2">
        <f>Sala[[#This Row],[Fecha de Salida]]</f>
        <v>45022</v>
      </c>
      <c r="V555" s="7" t="str">
        <f>TEXT(Sala[[#This Row],[Fecha factura]],"dddd")</f>
        <v>jueves</v>
      </c>
      <c r="W555" t="str">
        <f>IF(Sala[[#This Row],[Tiempo de degustación]]&gt;0,"Sí","No")</f>
        <v>Sí</v>
      </c>
      <c r="X555" t="str">
        <f>IF(Sala[[#This Row],[Cobrada]]="Sí",Sala[[#This Row],[Método de Pago]],"Impago")</f>
        <v>Tarjeta de débito</v>
      </c>
      <c r="Y555">
        <f>IF(Sala[[#This Row],[Cobrada]]="Sí",Sala[[#This Row],[Propina]],0)</f>
        <v>19.600000000000001</v>
      </c>
      <c r="Z555">
        <f>(IF(Sala[[#This Row],[Cobrada]]="Sí",Sala[[#This Row],[Monto total]],0))+Sala[[#This Row],[Propina real]]</f>
        <v>185.6</v>
      </c>
    </row>
    <row r="556" spans="1:26" x14ac:dyDescent="0.25">
      <c r="A556">
        <v>20</v>
      </c>
      <c r="B556" t="s">
        <v>489</v>
      </c>
      <c r="C556">
        <v>1</v>
      </c>
      <c r="D556" s="2">
        <v>45022</v>
      </c>
      <c r="E556" s="3">
        <v>8.2638888888888887E-2</v>
      </c>
      <c r="F556" s="2">
        <v>45022</v>
      </c>
      <c r="G556" s="3">
        <v>0.20972222222222223</v>
      </c>
      <c r="H556" s="1" t="s">
        <v>16</v>
      </c>
      <c r="I556" t="s">
        <v>12</v>
      </c>
      <c r="J556" t="s">
        <v>13</v>
      </c>
      <c r="K556" s="9">
        <v>41.08</v>
      </c>
      <c r="L556" t="s">
        <v>17</v>
      </c>
      <c r="M556">
        <v>555</v>
      </c>
      <c r="N556" t="s">
        <v>18</v>
      </c>
      <c r="O556" s="3">
        <f>(Sala[[#This Row],[Hora de Salida]]-Sala[[#This Row],[Hora de llegada]])+IF(Sala[[#This Row],[Estado de la Mesa]]="Ocupada",(TEXT((15/(60*24)),"h:mm")),(TEXT(0,"h:mm")))</f>
        <v>0.12708333333333333</v>
      </c>
      <c r="P556" s="43">
        <f>(SUMIF(Cocina[Número de Orden],Sala[[#This Row],[Número de Orden]],Cocina[Tiempo de Preparación]))</f>
        <v>46</v>
      </c>
      <c r="Q556" s="5" t="str">
        <f>TEXT(((SUMIF(Cocina[Número de Orden],Sala[[#This Row],[Número de Orden]],Cocina[Tiempo de Preparación]))/(60*24)),"h:mm")</f>
        <v>0:46</v>
      </c>
      <c r="R556" s="3">
        <f>MAX((Sala[[#This Row],[Tiempo de permanencia]]-Sala[[#This Row],[Tiempo de preparación (h)]]),0)</f>
        <v>9.5138888888888884E-2</v>
      </c>
      <c r="S556" s="8">
        <f>SUMIF(Cocina[Número de Orden],Sala[[#This Row],[Número de Orden]],Cocina[Ganancia bruta])</f>
        <v>30</v>
      </c>
      <c r="T556" s="8">
        <f>SUMIF(Cocina[Número de Orden],Sala[[#This Row],[Número de Orden]],Cocina[Costo Unitario])</f>
        <v>18</v>
      </c>
      <c r="U556" s="2">
        <f>Sala[[#This Row],[Fecha de Salida]]</f>
        <v>45022</v>
      </c>
      <c r="V556" s="7" t="str">
        <f>TEXT(Sala[[#This Row],[Fecha factura]],"dddd")</f>
        <v>jueves</v>
      </c>
      <c r="W556" t="str">
        <f>IF(Sala[[#This Row],[Tiempo de degustación]]&gt;0,"Sí","No")</f>
        <v>Sí</v>
      </c>
      <c r="X556" t="str">
        <f>IF(Sala[[#This Row],[Cobrada]]="Sí",Sala[[#This Row],[Método de Pago]],"Impago")</f>
        <v>Efectivo</v>
      </c>
      <c r="Y556">
        <f>IF(Sala[[#This Row],[Cobrada]]="Sí",Sala[[#This Row],[Propina]],0)</f>
        <v>41.08</v>
      </c>
      <c r="Z556">
        <f>(IF(Sala[[#This Row],[Cobrada]]="Sí",Sala[[#This Row],[Monto total]],0))+Sala[[#This Row],[Propina real]]</f>
        <v>71.08</v>
      </c>
    </row>
    <row r="557" spans="1:26" x14ac:dyDescent="0.25">
      <c r="A557">
        <v>9</v>
      </c>
      <c r="B557" t="s">
        <v>77</v>
      </c>
      <c r="C557">
        <v>6</v>
      </c>
      <c r="D557" s="2">
        <v>45022</v>
      </c>
      <c r="E557" s="3">
        <v>0.16458333333333333</v>
      </c>
      <c r="F557" s="2">
        <v>45022</v>
      </c>
      <c r="G557" s="3">
        <v>0.32013888888888886</v>
      </c>
      <c r="H557" s="1" t="s">
        <v>16</v>
      </c>
      <c r="I557" t="s">
        <v>8</v>
      </c>
      <c r="J557" t="s">
        <v>600</v>
      </c>
      <c r="K557" s="9">
        <v>14.09</v>
      </c>
      <c r="L557" t="s">
        <v>17</v>
      </c>
      <c r="M557">
        <v>556</v>
      </c>
      <c r="N557" t="s">
        <v>21</v>
      </c>
      <c r="O557" s="3">
        <f>(Sala[[#This Row],[Hora de Salida]]-Sala[[#This Row],[Hora de llegada]])+IF(Sala[[#This Row],[Estado de la Mesa]]="Ocupada",(TEXT((15/(60*24)),"h:mm")),(TEXT(0,"h:mm")))</f>
        <v>0.15555555555555553</v>
      </c>
      <c r="P557" s="43">
        <f>(SUMIF(Cocina[Número de Orden],Sala[[#This Row],[Número de Orden]],Cocina[Tiempo de Preparación]))</f>
        <v>66</v>
      </c>
      <c r="Q557" s="5" t="str">
        <f>TEXT(((SUMIF(Cocina[Número de Orden],Sala[[#This Row],[Número de Orden]],Cocina[Tiempo de Preparación]))/(60*24)),"h:mm")</f>
        <v>1:06</v>
      </c>
      <c r="R557" s="3">
        <f>MAX((Sala[[#This Row],[Tiempo de permanencia]]-Sala[[#This Row],[Tiempo de preparación (h)]]),0)</f>
        <v>0.10972222222222219</v>
      </c>
      <c r="S557" s="8">
        <f>SUMIF(Cocina[Número de Orden],Sala[[#This Row],[Número de Orden]],Cocina[Ganancia bruta])</f>
        <v>76</v>
      </c>
      <c r="T557" s="8">
        <f>SUMIF(Cocina[Número de Orden],Sala[[#This Row],[Número de Orden]],Cocina[Costo Unitario])</f>
        <v>23</v>
      </c>
      <c r="U557" s="2">
        <f>Sala[[#This Row],[Fecha de Salida]]</f>
        <v>45022</v>
      </c>
      <c r="V557" s="7" t="str">
        <f>TEXT(Sala[[#This Row],[Fecha factura]],"dddd")</f>
        <v>jueves</v>
      </c>
      <c r="W557" t="str">
        <f>IF(Sala[[#This Row],[Tiempo de degustación]]&gt;0,"Sí","No")</f>
        <v>Sí</v>
      </c>
      <c r="X557" t="str">
        <f>IF(Sala[[#This Row],[Cobrada]]="Sí",Sala[[#This Row],[Método de Pago]],"Impago")</f>
        <v>Tarjeta de débito</v>
      </c>
      <c r="Y557">
        <f>IF(Sala[[#This Row],[Cobrada]]="Sí",Sala[[#This Row],[Propina]],0)</f>
        <v>14.09</v>
      </c>
      <c r="Z557">
        <f>(IF(Sala[[#This Row],[Cobrada]]="Sí",Sala[[#This Row],[Monto total]],0))+Sala[[#This Row],[Propina real]]</f>
        <v>90.09</v>
      </c>
    </row>
    <row r="558" spans="1:26" x14ac:dyDescent="0.25">
      <c r="A558">
        <v>7</v>
      </c>
      <c r="B558" t="s">
        <v>157</v>
      </c>
      <c r="C558">
        <v>5</v>
      </c>
      <c r="D558" s="2">
        <v>45022</v>
      </c>
      <c r="E558" s="3">
        <v>0.16111111111111112</v>
      </c>
      <c r="F558" s="2">
        <v>45022</v>
      </c>
      <c r="G558" s="3">
        <v>0.31874999999999998</v>
      </c>
      <c r="H558" s="1" t="s">
        <v>16</v>
      </c>
      <c r="I558" t="s">
        <v>8</v>
      </c>
      <c r="J558" t="s">
        <v>13</v>
      </c>
      <c r="K558" s="9">
        <v>35.880000000000003</v>
      </c>
      <c r="L558" t="s">
        <v>28</v>
      </c>
      <c r="M558">
        <v>557</v>
      </c>
      <c r="N558" t="s">
        <v>44</v>
      </c>
      <c r="O558" s="3">
        <f>(Sala[[#This Row],[Hora de Salida]]-Sala[[#This Row],[Hora de llegada]])+IF(Sala[[#This Row],[Estado de la Mesa]]="Ocupada",(TEXT((15/(60*24)),"h:mm")),(TEXT(0,"h:mm")))</f>
        <v>0.16805555555555551</v>
      </c>
      <c r="P558" s="43">
        <f>(SUMIF(Cocina[Número de Orden],Sala[[#This Row],[Número de Orden]],Cocina[Tiempo de Preparación]))</f>
        <v>107</v>
      </c>
      <c r="Q558" s="5" t="str">
        <f>TEXT(((SUMIF(Cocina[Número de Orden],Sala[[#This Row],[Número de Orden]],Cocina[Tiempo de Preparación]))/(60*24)),"h:mm")</f>
        <v>1:47</v>
      </c>
      <c r="R558" s="3">
        <f>MAX((Sala[[#This Row],[Tiempo de permanencia]]-Sala[[#This Row],[Tiempo de preparación (h)]]),0)</f>
        <v>9.3749999999999958E-2</v>
      </c>
      <c r="S558" s="8">
        <f>SUMIF(Cocina[Número de Orden],Sala[[#This Row],[Número de Orden]],Cocina[Ganancia bruta])</f>
        <v>177</v>
      </c>
      <c r="T558" s="8">
        <f>SUMIF(Cocina[Número de Orden],Sala[[#This Row],[Número de Orden]],Cocina[Costo Unitario])</f>
        <v>47</v>
      </c>
      <c r="U558" s="2">
        <f>Sala[[#This Row],[Fecha de Salida]]</f>
        <v>45022</v>
      </c>
      <c r="V558" s="7" t="str">
        <f>TEXT(Sala[[#This Row],[Fecha factura]],"dddd")</f>
        <v>jueves</v>
      </c>
      <c r="W558" t="str">
        <f>IF(Sala[[#This Row],[Tiempo de degustación]]&gt;0,"Sí","No")</f>
        <v>Sí</v>
      </c>
      <c r="X558" t="str">
        <f>IF(Sala[[#This Row],[Cobrada]]="Sí",Sala[[#This Row],[Método de Pago]],"Impago")</f>
        <v>Efectivo</v>
      </c>
      <c r="Y558">
        <f>IF(Sala[[#This Row],[Cobrada]]="Sí",Sala[[#This Row],[Propina]],0)</f>
        <v>35.880000000000003</v>
      </c>
      <c r="Z558">
        <f>(IF(Sala[[#This Row],[Cobrada]]="Sí",Sala[[#This Row],[Monto total]],0))+Sala[[#This Row],[Propina real]]</f>
        <v>212.88</v>
      </c>
    </row>
    <row r="559" spans="1:26" x14ac:dyDescent="0.25">
      <c r="A559">
        <v>6</v>
      </c>
      <c r="B559" t="s">
        <v>427</v>
      </c>
      <c r="C559">
        <v>4</v>
      </c>
      <c r="D559" s="2">
        <v>45022</v>
      </c>
      <c r="E559" s="3">
        <v>1.2500000000000001E-2</v>
      </c>
      <c r="F559" s="2">
        <v>45022</v>
      </c>
      <c r="G559" s="3">
        <v>0.12916666666666668</v>
      </c>
      <c r="H559" s="1" t="s">
        <v>11</v>
      </c>
      <c r="I559" t="s">
        <v>8</v>
      </c>
      <c r="J559" t="s">
        <v>601</v>
      </c>
      <c r="K559" s="9">
        <v>45.26</v>
      </c>
      <c r="L559" t="s">
        <v>9</v>
      </c>
      <c r="M559">
        <v>558</v>
      </c>
      <c r="N559" t="s">
        <v>21</v>
      </c>
      <c r="O559" s="3">
        <f>(Sala[[#This Row],[Hora de Salida]]-Sala[[#This Row],[Hora de llegada]])+IF(Sala[[#This Row],[Estado de la Mesa]]="Ocupada",(TEXT((15/(60*24)),"h:mm")),(TEXT(0,"h:mm")))</f>
        <v>0.11666666666666668</v>
      </c>
      <c r="P559" s="43">
        <f>(SUMIF(Cocina[Número de Orden],Sala[[#This Row],[Número de Orden]],Cocina[Tiempo de Preparación]))</f>
        <v>167</v>
      </c>
      <c r="Q559" s="5" t="str">
        <f>TEXT(((SUMIF(Cocina[Número de Orden],Sala[[#This Row],[Número de Orden]],Cocina[Tiempo de Preparación]))/(60*24)),"h:mm")</f>
        <v>2:47</v>
      </c>
      <c r="R559" s="3">
        <f>MAX((Sala[[#This Row],[Tiempo de permanencia]]-Sala[[#This Row],[Tiempo de preparación (h)]]),0)</f>
        <v>6.9444444444445586E-4</v>
      </c>
      <c r="S559" s="8">
        <f>SUMIF(Cocina[Número de Orden],Sala[[#This Row],[Número de Orden]],Cocina[Ganancia bruta])</f>
        <v>179</v>
      </c>
      <c r="T559" s="8">
        <f>SUMIF(Cocina[Número de Orden],Sala[[#This Row],[Número de Orden]],Cocina[Costo Unitario])</f>
        <v>54</v>
      </c>
      <c r="U559" s="2">
        <f>Sala[[#This Row],[Fecha de Salida]]</f>
        <v>45022</v>
      </c>
      <c r="V559" s="7" t="str">
        <f>TEXT(Sala[[#This Row],[Fecha factura]],"dddd")</f>
        <v>jueves</v>
      </c>
      <c r="W559" t="str">
        <f>IF(Sala[[#This Row],[Tiempo de degustación]]&gt;0,"Sí","No")</f>
        <v>Sí</v>
      </c>
      <c r="X559" t="str">
        <f>IF(Sala[[#This Row],[Cobrada]]="Sí",Sala[[#This Row],[Método de Pago]],"Impago")</f>
        <v>Tarjeta de crédito</v>
      </c>
      <c r="Y559">
        <f>IF(Sala[[#This Row],[Cobrada]]="Sí",Sala[[#This Row],[Propina]],0)</f>
        <v>45.26</v>
      </c>
      <c r="Z559">
        <f>(IF(Sala[[#This Row],[Cobrada]]="Sí",Sala[[#This Row],[Monto total]],0))+Sala[[#This Row],[Propina real]]</f>
        <v>224.26</v>
      </c>
    </row>
    <row r="560" spans="1:26" x14ac:dyDescent="0.25">
      <c r="A560">
        <v>11</v>
      </c>
      <c r="B560" t="s">
        <v>40</v>
      </c>
      <c r="C560">
        <v>1</v>
      </c>
      <c r="D560" s="2">
        <v>45022</v>
      </c>
      <c r="E560" s="3">
        <v>9.7222222222222224E-3</v>
      </c>
      <c r="F560" s="2">
        <v>45022</v>
      </c>
      <c r="G560" s="3">
        <v>0.16597222222222222</v>
      </c>
      <c r="H560" s="1" t="s">
        <v>16</v>
      </c>
      <c r="I560" t="s">
        <v>8</v>
      </c>
      <c r="J560" t="s">
        <v>601</v>
      </c>
      <c r="K560" s="9">
        <v>24.36</v>
      </c>
      <c r="L560" t="s">
        <v>9</v>
      </c>
      <c r="M560">
        <v>559</v>
      </c>
      <c r="N560" t="s">
        <v>34</v>
      </c>
      <c r="O560" s="3">
        <f>(Sala[[#This Row],[Hora de Salida]]-Sala[[#This Row],[Hora de llegada]])+IF(Sala[[#This Row],[Estado de la Mesa]]="Ocupada",(TEXT((15/(60*24)),"h:mm")),(TEXT(0,"h:mm")))</f>
        <v>0.15625</v>
      </c>
      <c r="P560" s="43">
        <f>(SUMIF(Cocina[Número de Orden],Sala[[#This Row],[Número de Orden]],Cocina[Tiempo de Preparación]))</f>
        <v>41</v>
      </c>
      <c r="Q560" s="5" t="str">
        <f>TEXT(((SUMIF(Cocina[Número de Orden],Sala[[#This Row],[Número de Orden]],Cocina[Tiempo de Preparación]))/(60*24)),"h:mm")</f>
        <v>0:41</v>
      </c>
      <c r="R560" s="3">
        <f>MAX((Sala[[#This Row],[Tiempo de permanencia]]-Sala[[#This Row],[Tiempo de preparación (h)]]),0)</f>
        <v>0.12777777777777777</v>
      </c>
      <c r="S560" s="8">
        <f>SUMIF(Cocina[Número de Orden],Sala[[#This Row],[Número de Orden]],Cocina[Ganancia bruta])</f>
        <v>99</v>
      </c>
      <c r="T560" s="8">
        <f>SUMIF(Cocina[Número de Orden],Sala[[#This Row],[Número de Orden]],Cocina[Costo Unitario])</f>
        <v>20</v>
      </c>
      <c r="U560" s="2">
        <f>Sala[[#This Row],[Fecha de Salida]]</f>
        <v>45022</v>
      </c>
      <c r="V560" s="7" t="str">
        <f>TEXT(Sala[[#This Row],[Fecha factura]],"dddd")</f>
        <v>jueves</v>
      </c>
      <c r="W560" t="str">
        <f>IF(Sala[[#This Row],[Tiempo de degustación]]&gt;0,"Sí","No")</f>
        <v>Sí</v>
      </c>
      <c r="X560" t="str">
        <f>IF(Sala[[#This Row],[Cobrada]]="Sí",Sala[[#This Row],[Método de Pago]],"Impago")</f>
        <v>Tarjeta de crédito</v>
      </c>
      <c r="Y560">
        <f>IF(Sala[[#This Row],[Cobrada]]="Sí",Sala[[#This Row],[Propina]],0)</f>
        <v>24.36</v>
      </c>
      <c r="Z560">
        <f>(IF(Sala[[#This Row],[Cobrada]]="Sí",Sala[[#This Row],[Monto total]],0))+Sala[[#This Row],[Propina real]]</f>
        <v>123.36</v>
      </c>
    </row>
    <row r="561" spans="1:26" x14ac:dyDescent="0.25">
      <c r="A561">
        <v>6</v>
      </c>
      <c r="B561" t="s">
        <v>211</v>
      </c>
      <c r="C561">
        <v>6</v>
      </c>
      <c r="D561" s="2">
        <v>45022</v>
      </c>
      <c r="E561" s="3">
        <v>1.0416666666666666E-2</v>
      </c>
      <c r="F561" s="2">
        <v>45022</v>
      </c>
      <c r="G561" s="3">
        <v>0.13680555555555557</v>
      </c>
      <c r="H561" s="1" t="s">
        <v>20</v>
      </c>
      <c r="I561" t="s">
        <v>25</v>
      </c>
      <c r="J561" t="s">
        <v>600</v>
      </c>
      <c r="K561" s="9">
        <v>31.53</v>
      </c>
      <c r="L561" t="s">
        <v>9</v>
      </c>
      <c r="M561">
        <v>560</v>
      </c>
      <c r="N561" t="s">
        <v>59</v>
      </c>
      <c r="O561" s="3">
        <f>(Sala[[#This Row],[Hora de Salida]]-Sala[[#This Row],[Hora de llegada]])+IF(Sala[[#This Row],[Estado de la Mesa]]="Ocupada",(TEXT((15/(60*24)),"h:mm")),(TEXT(0,"h:mm")))</f>
        <v>0.12638888888888891</v>
      </c>
      <c r="P561" s="43">
        <f>(SUMIF(Cocina[Número de Orden],Sala[[#This Row],[Número de Orden]],Cocina[Tiempo de Preparación]))</f>
        <v>48</v>
      </c>
      <c r="Q561" s="5" t="str">
        <f>TEXT(((SUMIF(Cocina[Número de Orden],Sala[[#This Row],[Número de Orden]],Cocina[Tiempo de Preparación]))/(60*24)),"h:mm")</f>
        <v>0:48</v>
      </c>
      <c r="R561" s="3">
        <f>MAX((Sala[[#This Row],[Tiempo de permanencia]]-Sala[[#This Row],[Tiempo de preparación (h)]]),0)</f>
        <v>9.3055555555555586E-2</v>
      </c>
      <c r="S561" s="8">
        <f>SUMIF(Cocina[Número de Orden],Sala[[#This Row],[Número de Orden]],Cocina[Ganancia bruta])</f>
        <v>111</v>
      </c>
      <c r="T561" s="8">
        <f>SUMIF(Cocina[Número de Orden],Sala[[#This Row],[Número de Orden]],Cocina[Costo Unitario])</f>
        <v>25</v>
      </c>
      <c r="U561" s="2">
        <f>Sala[[#This Row],[Fecha de Salida]]</f>
        <v>45022</v>
      </c>
      <c r="V561" s="7" t="str">
        <f>TEXT(Sala[[#This Row],[Fecha factura]],"dddd")</f>
        <v>jueves</v>
      </c>
      <c r="W561" t="str">
        <f>IF(Sala[[#This Row],[Tiempo de degustación]]&gt;0,"Sí","No")</f>
        <v>Sí</v>
      </c>
      <c r="X561" t="str">
        <f>IF(Sala[[#This Row],[Cobrada]]="Sí",Sala[[#This Row],[Método de Pago]],"Impago")</f>
        <v>Tarjeta de débito</v>
      </c>
      <c r="Y561">
        <f>IF(Sala[[#This Row],[Cobrada]]="Sí",Sala[[#This Row],[Propina]],0)</f>
        <v>31.53</v>
      </c>
      <c r="Z561">
        <f>(IF(Sala[[#This Row],[Cobrada]]="Sí",Sala[[#This Row],[Monto total]],0))+Sala[[#This Row],[Propina real]]</f>
        <v>142.53</v>
      </c>
    </row>
    <row r="562" spans="1:26" x14ac:dyDescent="0.25">
      <c r="A562">
        <v>4</v>
      </c>
      <c r="B562" t="s">
        <v>45</v>
      </c>
      <c r="C562">
        <v>2</v>
      </c>
      <c r="D562" s="2">
        <v>45022</v>
      </c>
      <c r="E562" s="3">
        <v>5.0694444444444445E-2</v>
      </c>
      <c r="F562" s="2">
        <v>45022</v>
      </c>
      <c r="G562" s="3">
        <v>0.15208333333333332</v>
      </c>
      <c r="H562" s="1" t="s">
        <v>11</v>
      </c>
      <c r="I562" t="s">
        <v>8</v>
      </c>
      <c r="J562" t="s">
        <v>601</v>
      </c>
      <c r="K562" s="9">
        <v>44.24</v>
      </c>
      <c r="L562" t="s">
        <v>9</v>
      </c>
      <c r="M562">
        <v>561</v>
      </c>
      <c r="N562" t="s">
        <v>47</v>
      </c>
      <c r="O562" s="3">
        <f>(Sala[[#This Row],[Hora de Salida]]-Sala[[#This Row],[Hora de llegada]])+IF(Sala[[#This Row],[Estado de la Mesa]]="Ocupada",(TEXT((15/(60*24)),"h:mm")),(TEXT(0,"h:mm")))</f>
        <v>0.10138888888888888</v>
      </c>
      <c r="P562" s="43">
        <f>(SUMIF(Cocina[Número de Orden],Sala[[#This Row],[Número de Orden]],Cocina[Tiempo de Preparación]))</f>
        <v>64</v>
      </c>
      <c r="Q562" s="5" t="str">
        <f>TEXT(((SUMIF(Cocina[Número de Orden],Sala[[#This Row],[Número de Orden]],Cocina[Tiempo de Preparación]))/(60*24)),"h:mm")</f>
        <v>1:04</v>
      </c>
      <c r="R562" s="3">
        <f>MAX((Sala[[#This Row],[Tiempo de permanencia]]-Sala[[#This Row],[Tiempo de preparación (h)]]),0)</f>
        <v>5.6944444444444429E-2</v>
      </c>
      <c r="S562" s="8">
        <f>SUMIF(Cocina[Número de Orden],Sala[[#This Row],[Número de Orden]],Cocina[Ganancia bruta])</f>
        <v>64</v>
      </c>
      <c r="T562" s="8">
        <f>SUMIF(Cocina[Número de Orden],Sala[[#This Row],[Número de Orden]],Cocina[Costo Unitario])</f>
        <v>24</v>
      </c>
      <c r="U562" s="2">
        <f>Sala[[#This Row],[Fecha de Salida]]</f>
        <v>45022</v>
      </c>
      <c r="V562" s="7" t="str">
        <f>TEXT(Sala[[#This Row],[Fecha factura]],"dddd")</f>
        <v>jueves</v>
      </c>
      <c r="W562" t="str">
        <f>IF(Sala[[#This Row],[Tiempo de degustación]]&gt;0,"Sí","No")</f>
        <v>Sí</v>
      </c>
      <c r="X562" t="str">
        <f>IF(Sala[[#This Row],[Cobrada]]="Sí",Sala[[#This Row],[Método de Pago]],"Impago")</f>
        <v>Tarjeta de crédito</v>
      </c>
      <c r="Y562">
        <f>IF(Sala[[#This Row],[Cobrada]]="Sí",Sala[[#This Row],[Propina]],0)</f>
        <v>44.24</v>
      </c>
      <c r="Z562">
        <f>(IF(Sala[[#This Row],[Cobrada]]="Sí",Sala[[#This Row],[Monto total]],0))+Sala[[#This Row],[Propina real]]</f>
        <v>108.24000000000001</v>
      </c>
    </row>
    <row r="563" spans="1:26" x14ac:dyDescent="0.25">
      <c r="A563">
        <v>20</v>
      </c>
      <c r="B563" t="s">
        <v>490</v>
      </c>
      <c r="C563">
        <v>3</v>
      </c>
      <c r="D563" s="2">
        <v>45022</v>
      </c>
      <c r="E563" s="3">
        <v>0.10833333333333334</v>
      </c>
      <c r="F563" s="2">
        <v>45022</v>
      </c>
      <c r="G563" s="3">
        <v>0.2638888888888889</v>
      </c>
      <c r="H563" s="1" t="s">
        <v>11</v>
      </c>
      <c r="I563" t="s">
        <v>25</v>
      </c>
      <c r="J563" t="s">
        <v>601</v>
      </c>
      <c r="K563" s="9">
        <v>21.49</v>
      </c>
      <c r="L563" t="s">
        <v>17</v>
      </c>
      <c r="M563">
        <v>562</v>
      </c>
      <c r="N563" t="s">
        <v>29</v>
      </c>
      <c r="O563" s="3">
        <f>(Sala[[#This Row],[Hora de Salida]]-Sala[[#This Row],[Hora de llegada]])+IF(Sala[[#This Row],[Estado de la Mesa]]="Ocupada",(TEXT((15/(60*24)),"h:mm")),(TEXT(0,"h:mm")))</f>
        <v>0.15555555555555556</v>
      </c>
      <c r="P563" s="43">
        <f>(SUMIF(Cocina[Número de Orden],Sala[[#This Row],[Número de Orden]],Cocina[Tiempo de Preparación]))</f>
        <v>112</v>
      </c>
      <c r="Q563" s="5" t="str">
        <f>TEXT(((SUMIF(Cocina[Número de Orden],Sala[[#This Row],[Número de Orden]],Cocina[Tiempo de Preparación]))/(60*24)),"h:mm")</f>
        <v>1:52</v>
      </c>
      <c r="R563" s="3">
        <f>MAX((Sala[[#This Row],[Tiempo de permanencia]]-Sala[[#This Row],[Tiempo de preparación (h)]]),0)</f>
        <v>7.7777777777777779E-2</v>
      </c>
      <c r="S563" s="8">
        <f>SUMIF(Cocina[Número de Orden],Sala[[#This Row],[Número de Orden]],Cocina[Ganancia bruta])</f>
        <v>288</v>
      </c>
      <c r="T563" s="8">
        <f>SUMIF(Cocina[Número de Orden],Sala[[#This Row],[Número de Orden]],Cocina[Costo Unitario])</f>
        <v>75</v>
      </c>
      <c r="U563" s="2">
        <f>Sala[[#This Row],[Fecha de Salida]]</f>
        <v>45022</v>
      </c>
      <c r="V563" s="7" t="str">
        <f>TEXT(Sala[[#This Row],[Fecha factura]],"dddd")</f>
        <v>jueves</v>
      </c>
      <c r="W563" t="str">
        <f>IF(Sala[[#This Row],[Tiempo de degustación]]&gt;0,"Sí","No")</f>
        <v>Sí</v>
      </c>
      <c r="X563" t="str">
        <f>IF(Sala[[#This Row],[Cobrada]]="Sí",Sala[[#This Row],[Método de Pago]],"Impago")</f>
        <v>Tarjeta de crédito</v>
      </c>
      <c r="Y563">
        <f>IF(Sala[[#This Row],[Cobrada]]="Sí",Sala[[#This Row],[Propina]],0)</f>
        <v>21.49</v>
      </c>
      <c r="Z563">
        <f>(IF(Sala[[#This Row],[Cobrada]]="Sí",Sala[[#This Row],[Monto total]],0))+Sala[[#This Row],[Propina real]]</f>
        <v>309.49</v>
      </c>
    </row>
    <row r="564" spans="1:26" x14ac:dyDescent="0.25">
      <c r="A564">
        <v>12</v>
      </c>
      <c r="B564" t="s">
        <v>107</v>
      </c>
      <c r="C564">
        <v>3</v>
      </c>
      <c r="D564" s="2">
        <v>45022</v>
      </c>
      <c r="E564" s="3">
        <v>0.12777777777777777</v>
      </c>
      <c r="F564" s="2">
        <v>45022</v>
      </c>
      <c r="G564" s="3">
        <v>0.19652777777777777</v>
      </c>
      <c r="H564" s="1" t="s">
        <v>20</v>
      </c>
      <c r="I564" t="s">
        <v>12</v>
      </c>
      <c r="J564" t="s">
        <v>13</v>
      </c>
      <c r="K564" s="9">
        <v>20.07</v>
      </c>
      <c r="L564" t="s">
        <v>28</v>
      </c>
      <c r="M564">
        <v>563</v>
      </c>
      <c r="N564" t="s">
        <v>59</v>
      </c>
      <c r="O564" s="3">
        <f>(Sala[[#This Row],[Hora de Salida]]-Sala[[#This Row],[Hora de llegada]])+IF(Sala[[#This Row],[Estado de la Mesa]]="Ocupada",(TEXT((15/(60*24)),"h:mm")),(TEXT(0,"h:mm")))</f>
        <v>7.9166666666666677E-2</v>
      </c>
      <c r="P564" s="43">
        <f>(SUMIF(Cocina[Número de Orden],Sala[[#This Row],[Número de Orden]],Cocina[Tiempo de Preparación]))</f>
        <v>37</v>
      </c>
      <c r="Q564" s="5" t="str">
        <f>TEXT(((SUMIF(Cocina[Número de Orden],Sala[[#This Row],[Número de Orden]],Cocina[Tiempo de Preparación]))/(60*24)),"h:mm")</f>
        <v>0:37</v>
      </c>
      <c r="R564" s="3">
        <f>MAX((Sala[[#This Row],[Tiempo de permanencia]]-Sala[[#This Row],[Tiempo de preparación (h)]]),0)</f>
        <v>5.3472222222222233E-2</v>
      </c>
      <c r="S564" s="8">
        <f>SUMIF(Cocina[Número de Orden],Sala[[#This Row],[Número de Orden]],Cocina[Ganancia bruta])</f>
        <v>54</v>
      </c>
      <c r="T564" s="8">
        <f>SUMIF(Cocina[Número de Orden],Sala[[#This Row],[Número de Orden]],Cocina[Costo Unitario])</f>
        <v>16</v>
      </c>
      <c r="U564" s="2">
        <f>Sala[[#This Row],[Fecha de Salida]]</f>
        <v>45022</v>
      </c>
      <c r="V564" s="7" t="str">
        <f>TEXT(Sala[[#This Row],[Fecha factura]],"dddd")</f>
        <v>jueves</v>
      </c>
      <c r="W564" t="str">
        <f>IF(Sala[[#This Row],[Tiempo de degustación]]&gt;0,"Sí","No")</f>
        <v>Sí</v>
      </c>
      <c r="X564" t="str">
        <f>IF(Sala[[#This Row],[Cobrada]]="Sí",Sala[[#This Row],[Método de Pago]],"Impago")</f>
        <v>Efectivo</v>
      </c>
      <c r="Y564">
        <f>IF(Sala[[#This Row],[Cobrada]]="Sí",Sala[[#This Row],[Propina]],0)</f>
        <v>20.07</v>
      </c>
      <c r="Z564">
        <f>(IF(Sala[[#This Row],[Cobrada]]="Sí",Sala[[#This Row],[Monto total]],0))+Sala[[#This Row],[Propina real]]</f>
        <v>74.069999999999993</v>
      </c>
    </row>
    <row r="565" spans="1:26" x14ac:dyDescent="0.25">
      <c r="A565">
        <v>9</v>
      </c>
      <c r="B565" t="s">
        <v>491</v>
      </c>
      <c r="C565">
        <v>3</v>
      </c>
      <c r="D565" s="2">
        <v>45022</v>
      </c>
      <c r="E565" s="3">
        <v>2.1527777777777778E-2</v>
      </c>
      <c r="F565" s="2">
        <v>45022</v>
      </c>
      <c r="G565" s="3">
        <v>9.930555555555555E-2</v>
      </c>
      <c r="H565" s="1" t="s">
        <v>20</v>
      </c>
      <c r="I565" t="s">
        <v>25</v>
      </c>
      <c r="J565" t="s">
        <v>13</v>
      </c>
      <c r="K565" s="9">
        <v>33.08</v>
      </c>
      <c r="L565" t="s">
        <v>9</v>
      </c>
      <c r="M565">
        <v>564</v>
      </c>
      <c r="N565" t="s">
        <v>29</v>
      </c>
      <c r="O565" s="3">
        <f>(Sala[[#This Row],[Hora de Salida]]-Sala[[#This Row],[Hora de llegada]])+IF(Sala[[#This Row],[Estado de la Mesa]]="Ocupada",(TEXT((15/(60*24)),"h:mm")),(TEXT(0,"h:mm")))</f>
        <v>7.7777777777777779E-2</v>
      </c>
      <c r="P565" s="43">
        <f>(SUMIF(Cocina[Número de Orden],Sala[[#This Row],[Número de Orden]],Cocina[Tiempo de Preparación]))</f>
        <v>54</v>
      </c>
      <c r="Q565" s="5" t="str">
        <f>TEXT(((SUMIF(Cocina[Número de Orden],Sala[[#This Row],[Número de Orden]],Cocina[Tiempo de Preparación]))/(60*24)),"h:mm")</f>
        <v>0:54</v>
      </c>
      <c r="R565" s="3">
        <f>MAX((Sala[[#This Row],[Tiempo de permanencia]]-Sala[[#This Row],[Tiempo de preparación (h)]]),0)</f>
        <v>4.027777777777778E-2</v>
      </c>
      <c r="S565" s="8">
        <f>SUMIF(Cocina[Número de Orden],Sala[[#This Row],[Número de Orden]],Cocina[Ganancia bruta])</f>
        <v>156</v>
      </c>
      <c r="T565" s="8">
        <f>SUMIF(Cocina[Número de Orden],Sala[[#This Row],[Número de Orden]],Cocina[Costo Unitario])</f>
        <v>59</v>
      </c>
      <c r="U565" s="2">
        <f>Sala[[#This Row],[Fecha de Salida]]</f>
        <v>45022</v>
      </c>
      <c r="V565" s="7" t="str">
        <f>TEXT(Sala[[#This Row],[Fecha factura]],"dddd")</f>
        <v>jueves</v>
      </c>
      <c r="W565" t="str">
        <f>IF(Sala[[#This Row],[Tiempo de degustación]]&gt;0,"Sí","No")</f>
        <v>Sí</v>
      </c>
      <c r="X565" t="str">
        <f>IF(Sala[[#This Row],[Cobrada]]="Sí",Sala[[#This Row],[Método de Pago]],"Impago")</f>
        <v>Efectivo</v>
      </c>
      <c r="Y565">
        <f>IF(Sala[[#This Row],[Cobrada]]="Sí",Sala[[#This Row],[Propina]],0)</f>
        <v>33.08</v>
      </c>
      <c r="Z565">
        <f>(IF(Sala[[#This Row],[Cobrada]]="Sí",Sala[[#This Row],[Monto total]],0))+Sala[[#This Row],[Propina real]]</f>
        <v>189.07999999999998</v>
      </c>
    </row>
    <row r="566" spans="1:26" x14ac:dyDescent="0.25">
      <c r="A566">
        <v>3</v>
      </c>
      <c r="B566" t="s">
        <v>492</v>
      </c>
      <c r="C566">
        <v>6</v>
      </c>
      <c r="D566" s="2">
        <v>45022</v>
      </c>
      <c r="E566" s="3">
        <v>0.11041666666666666</v>
      </c>
      <c r="F566" s="2">
        <v>45022</v>
      </c>
      <c r="G566" s="3">
        <v>0.22847222222222222</v>
      </c>
      <c r="H566" s="1" t="s">
        <v>11</v>
      </c>
      <c r="I566" t="s">
        <v>8</v>
      </c>
      <c r="J566" t="s">
        <v>601</v>
      </c>
      <c r="K566" s="9">
        <v>15.11</v>
      </c>
      <c r="L566" t="s">
        <v>17</v>
      </c>
      <c r="M566">
        <v>565</v>
      </c>
      <c r="N566" t="s">
        <v>29</v>
      </c>
      <c r="O566" s="3">
        <f>(Sala[[#This Row],[Hora de Salida]]-Sala[[#This Row],[Hora de llegada]])+IF(Sala[[#This Row],[Estado de la Mesa]]="Ocupada",(TEXT((15/(60*24)),"h:mm")),(TEXT(0,"h:mm")))</f>
        <v>0.11805555555555555</v>
      </c>
      <c r="P566" s="43">
        <f>(SUMIF(Cocina[Número de Orden],Sala[[#This Row],[Número de Orden]],Cocina[Tiempo de Preparación]))</f>
        <v>98</v>
      </c>
      <c r="Q566" s="5" t="str">
        <f>TEXT(((SUMIF(Cocina[Número de Orden],Sala[[#This Row],[Número de Orden]],Cocina[Tiempo de Preparación]))/(60*24)),"h:mm")</f>
        <v>1:38</v>
      </c>
      <c r="R566" s="3">
        <f>MAX((Sala[[#This Row],[Tiempo de permanencia]]-Sala[[#This Row],[Tiempo de preparación (h)]]),0)</f>
        <v>0.05</v>
      </c>
      <c r="S566" s="8">
        <f>SUMIF(Cocina[Número de Orden],Sala[[#This Row],[Número de Orden]],Cocina[Ganancia bruta])</f>
        <v>251</v>
      </c>
      <c r="T566" s="8">
        <f>SUMIF(Cocina[Número de Orden],Sala[[#This Row],[Número de Orden]],Cocina[Costo Unitario])</f>
        <v>70</v>
      </c>
      <c r="U566" s="2">
        <f>Sala[[#This Row],[Fecha de Salida]]</f>
        <v>45022</v>
      </c>
      <c r="V566" s="7" t="str">
        <f>TEXT(Sala[[#This Row],[Fecha factura]],"dddd")</f>
        <v>jueves</v>
      </c>
      <c r="W566" t="str">
        <f>IF(Sala[[#This Row],[Tiempo de degustación]]&gt;0,"Sí","No")</f>
        <v>Sí</v>
      </c>
      <c r="X566" t="str">
        <f>IF(Sala[[#This Row],[Cobrada]]="Sí",Sala[[#This Row],[Método de Pago]],"Impago")</f>
        <v>Tarjeta de crédito</v>
      </c>
      <c r="Y566">
        <f>IF(Sala[[#This Row],[Cobrada]]="Sí",Sala[[#This Row],[Propina]],0)</f>
        <v>15.11</v>
      </c>
      <c r="Z566">
        <f>(IF(Sala[[#This Row],[Cobrada]]="Sí",Sala[[#This Row],[Monto total]],0))+Sala[[#This Row],[Propina real]]</f>
        <v>266.11</v>
      </c>
    </row>
    <row r="567" spans="1:26" x14ac:dyDescent="0.25">
      <c r="A567">
        <v>4</v>
      </c>
      <c r="B567" t="s">
        <v>51</v>
      </c>
      <c r="C567">
        <v>3</v>
      </c>
      <c r="D567" s="2">
        <v>45022</v>
      </c>
      <c r="E567" s="3">
        <v>7.2916666666666671E-2</v>
      </c>
      <c r="F567" s="2">
        <v>45022</v>
      </c>
      <c r="G567" s="3">
        <v>0.20624999999999999</v>
      </c>
      <c r="H567" s="1" t="s">
        <v>7</v>
      </c>
      <c r="I567" t="s">
        <v>8</v>
      </c>
      <c r="J567" t="s">
        <v>601</v>
      </c>
      <c r="K567" s="9">
        <v>42.62</v>
      </c>
      <c r="L567" t="s">
        <v>17</v>
      </c>
      <c r="M567">
        <v>566</v>
      </c>
      <c r="N567" t="s">
        <v>34</v>
      </c>
      <c r="O567" s="3">
        <f>(Sala[[#This Row],[Hora de Salida]]-Sala[[#This Row],[Hora de llegada]])+IF(Sala[[#This Row],[Estado de la Mesa]]="Ocupada",(TEXT((15/(60*24)),"h:mm")),(TEXT(0,"h:mm")))</f>
        <v>0.1333333333333333</v>
      </c>
      <c r="P567" s="43">
        <f>(SUMIF(Cocina[Número de Orden],Sala[[#This Row],[Número de Orden]],Cocina[Tiempo de Preparación]))</f>
        <v>56</v>
      </c>
      <c r="Q567" s="5" t="str">
        <f>TEXT(((SUMIF(Cocina[Número de Orden],Sala[[#This Row],[Número de Orden]],Cocina[Tiempo de Preparación]))/(60*24)),"h:mm")</f>
        <v>0:56</v>
      </c>
      <c r="R567" s="3">
        <f>MAX((Sala[[#This Row],[Tiempo de permanencia]]-Sala[[#This Row],[Tiempo de preparación (h)]]),0)</f>
        <v>9.4444444444444414E-2</v>
      </c>
      <c r="S567" s="8">
        <f>SUMIF(Cocina[Número de Orden],Sala[[#This Row],[Número de Orden]],Cocina[Ganancia bruta])</f>
        <v>78</v>
      </c>
      <c r="T567" s="8">
        <f>SUMIF(Cocina[Número de Orden],Sala[[#This Row],[Número de Orden]],Cocina[Costo Unitario])</f>
        <v>15</v>
      </c>
      <c r="U567" s="2">
        <f>Sala[[#This Row],[Fecha de Salida]]</f>
        <v>45022</v>
      </c>
      <c r="V567" s="7" t="str">
        <f>TEXT(Sala[[#This Row],[Fecha factura]],"dddd")</f>
        <v>jueves</v>
      </c>
      <c r="W567" t="str">
        <f>IF(Sala[[#This Row],[Tiempo de degustación]]&gt;0,"Sí","No")</f>
        <v>Sí</v>
      </c>
      <c r="X567" t="str">
        <f>IF(Sala[[#This Row],[Cobrada]]="Sí",Sala[[#This Row],[Método de Pago]],"Impago")</f>
        <v>Tarjeta de crédito</v>
      </c>
      <c r="Y567">
        <f>IF(Sala[[#This Row],[Cobrada]]="Sí",Sala[[#This Row],[Propina]],0)</f>
        <v>42.62</v>
      </c>
      <c r="Z567">
        <f>(IF(Sala[[#This Row],[Cobrada]]="Sí",Sala[[#This Row],[Monto total]],0))+Sala[[#This Row],[Propina real]]</f>
        <v>120.62</v>
      </c>
    </row>
    <row r="568" spans="1:26" x14ac:dyDescent="0.25">
      <c r="A568">
        <v>15</v>
      </c>
      <c r="B568" t="s">
        <v>376</v>
      </c>
      <c r="C568">
        <v>4</v>
      </c>
      <c r="D568" s="2">
        <v>45022</v>
      </c>
      <c r="E568" s="3">
        <v>8.2638888888888887E-2</v>
      </c>
      <c r="F568" s="2">
        <v>45022</v>
      </c>
      <c r="G568" s="3">
        <v>0.21944444444444444</v>
      </c>
      <c r="H568" s="1" t="s">
        <v>23</v>
      </c>
      <c r="I568" t="s">
        <v>8</v>
      </c>
      <c r="J568" t="s">
        <v>600</v>
      </c>
      <c r="K568" s="9">
        <v>42.83</v>
      </c>
      <c r="L568" t="s">
        <v>28</v>
      </c>
      <c r="M568">
        <v>567</v>
      </c>
      <c r="N568" t="s">
        <v>47</v>
      </c>
      <c r="O568" s="3">
        <f>(Sala[[#This Row],[Hora de Salida]]-Sala[[#This Row],[Hora de llegada]])+IF(Sala[[#This Row],[Estado de la Mesa]]="Ocupada",(TEXT((15/(60*24)),"h:mm")),(TEXT(0,"h:mm")))</f>
        <v>0.14722222222222223</v>
      </c>
      <c r="P568" s="43">
        <f>(SUMIF(Cocina[Número de Orden],Sala[[#This Row],[Número de Orden]],Cocina[Tiempo de Preparación]))</f>
        <v>102</v>
      </c>
      <c r="Q568" s="5" t="str">
        <f>TEXT(((SUMIF(Cocina[Número de Orden],Sala[[#This Row],[Número de Orden]],Cocina[Tiempo de Preparación]))/(60*24)),"h:mm")</f>
        <v>1:42</v>
      </c>
      <c r="R568" s="3">
        <f>MAX((Sala[[#This Row],[Tiempo de permanencia]]-Sala[[#This Row],[Tiempo de preparación (h)]]),0)</f>
        <v>7.6388888888888895E-2</v>
      </c>
      <c r="S568" s="8">
        <f>SUMIF(Cocina[Número de Orden],Sala[[#This Row],[Número de Orden]],Cocina[Ganancia bruta])</f>
        <v>253</v>
      </c>
      <c r="T568" s="8">
        <f>SUMIF(Cocina[Número de Orden],Sala[[#This Row],[Número de Orden]],Cocina[Costo Unitario])</f>
        <v>69</v>
      </c>
      <c r="U568" s="2">
        <f>Sala[[#This Row],[Fecha de Salida]]</f>
        <v>45022</v>
      </c>
      <c r="V568" s="7" t="str">
        <f>TEXT(Sala[[#This Row],[Fecha factura]],"dddd")</f>
        <v>jueves</v>
      </c>
      <c r="W568" t="str">
        <f>IF(Sala[[#This Row],[Tiempo de degustación]]&gt;0,"Sí","No")</f>
        <v>Sí</v>
      </c>
      <c r="X568" t="str">
        <f>IF(Sala[[#This Row],[Cobrada]]="Sí",Sala[[#This Row],[Método de Pago]],"Impago")</f>
        <v>Tarjeta de débito</v>
      </c>
      <c r="Y568">
        <f>IF(Sala[[#This Row],[Cobrada]]="Sí",Sala[[#This Row],[Propina]],0)</f>
        <v>42.83</v>
      </c>
      <c r="Z568">
        <f>(IF(Sala[[#This Row],[Cobrada]]="Sí",Sala[[#This Row],[Monto total]],0))+Sala[[#This Row],[Propina real]]</f>
        <v>295.83</v>
      </c>
    </row>
    <row r="569" spans="1:26" x14ac:dyDescent="0.25">
      <c r="A569">
        <v>5</v>
      </c>
      <c r="B569" t="s">
        <v>87</v>
      </c>
      <c r="C569">
        <v>1</v>
      </c>
      <c r="D569" s="2">
        <v>45022</v>
      </c>
      <c r="E569" s="3">
        <v>6.8750000000000006E-2</v>
      </c>
      <c r="F569" s="2">
        <v>45022</v>
      </c>
      <c r="G569" s="3">
        <v>0.14444444444444443</v>
      </c>
      <c r="H569" s="1" t="s">
        <v>23</v>
      </c>
      <c r="I569" t="s">
        <v>8</v>
      </c>
      <c r="J569" t="s">
        <v>600</v>
      </c>
      <c r="K569" s="9">
        <v>21.13</v>
      </c>
      <c r="L569" t="s">
        <v>28</v>
      </c>
      <c r="M569">
        <v>568</v>
      </c>
      <c r="N569" t="s">
        <v>14</v>
      </c>
      <c r="O569" s="3">
        <f>(Sala[[#This Row],[Hora de Salida]]-Sala[[#This Row],[Hora de llegada]])+IF(Sala[[#This Row],[Estado de la Mesa]]="Ocupada",(TEXT((15/(60*24)),"h:mm")),(TEXT(0,"h:mm")))</f>
        <v>8.6111111111111097E-2</v>
      </c>
      <c r="P569" s="43">
        <f>(SUMIF(Cocina[Número de Orden],Sala[[#This Row],[Número de Orden]],Cocina[Tiempo de Preparación]))</f>
        <v>84</v>
      </c>
      <c r="Q569" s="5" t="str">
        <f>TEXT(((SUMIF(Cocina[Número de Orden],Sala[[#This Row],[Número de Orden]],Cocina[Tiempo de Preparación]))/(60*24)),"h:mm")</f>
        <v>1:24</v>
      </c>
      <c r="R569" s="3">
        <f>MAX((Sala[[#This Row],[Tiempo de permanencia]]-Sala[[#This Row],[Tiempo de preparación (h)]]),0)</f>
        <v>2.7777777777777762E-2</v>
      </c>
      <c r="S569" s="8">
        <f>SUMIF(Cocina[Número de Orden],Sala[[#This Row],[Número de Orden]],Cocina[Ganancia bruta])</f>
        <v>182</v>
      </c>
      <c r="T569" s="8">
        <f>SUMIF(Cocina[Número de Orden],Sala[[#This Row],[Número de Orden]],Cocina[Costo Unitario])</f>
        <v>45</v>
      </c>
      <c r="U569" s="2">
        <f>Sala[[#This Row],[Fecha de Salida]]</f>
        <v>45022</v>
      </c>
      <c r="V569" s="7" t="str">
        <f>TEXT(Sala[[#This Row],[Fecha factura]],"dddd")</f>
        <v>jueves</v>
      </c>
      <c r="W569" t="str">
        <f>IF(Sala[[#This Row],[Tiempo de degustación]]&gt;0,"Sí","No")</f>
        <v>Sí</v>
      </c>
      <c r="X569" t="str">
        <f>IF(Sala[[#This Row],[Cobrada]]="Sí",Sala[[#This Row],[Método de Pago]],"Impago")</f>
        <v>Tarjeta de débito</v>
      </c>
      <c r="Y569">
        <f>IF(Sala[[#This Row],[Cobrada]]="Sí",Sala[[#This Row],[Propina]],0)</f>
        <v>21.13</v>
      </c>
      <c r="Z569">
        <f>(IF(Sala[[#This Row],[Cobrada]]="Sí",Sala[[#This Row],[Monto total]],0))+Sala[[#This Row],[Propina real]]</f>
        <v>203.13</v>
      </c>
    </row>
    <row r="570" spans="1:26" x14ac:dyDescent="0.25">
      <c r="A570">
        <v>12</v>
      </c>
      <c r="B570" t="s">
        <v>493</v>
      </c>
      <c r="C570">
        <v>5</v>
      </c>
      <c r="D570" s="2">
        <v>45022</v>
      </c>
      <c r="E570" s="3">
        <v>6.1111111111111109E-2</v>
      </c>
      <c r="F570" s="2">
        <v>45022</v>
      </c>
      <c r="G570" s="3">
        <v>0.12847222222222221</v>
      </c>
      <c r="H570" s="1" t="s">
        <v>11</v>
      </c>
      <c r="I570" t="s">
        <v>8</v>
      </c>
      <c r="J570" t="s">
        <v>601</v>
      </c>
      <c r="K570" s="9">
        <v>28.52</v>
      </c>
      <c r="L570" t="s">
        <v>9</v>
      </c>
      <c r="M570">
        <v>569</v>
      </c>
      <c r="N570" t="s">
        <v>32</v>
      </c>
      <c r="O570" s="3">
        <f>(Sala[[#This Row],[Hora de Salida]]-Sala[[#This Row],[Hora de llegada]])+IF(Sala[[#This Row],[Estado de la Mesa]]="Ocupada",(TEXT((15/(60*24)),"h:mm")),(TEXT(0,"h:mm")))</f>
        <v>6.7361111111111094E-2</v>
      </c>
      <c r="P570" s="43">
        <f>(SUMIF(Cocina[Número de Orden],Sala[[#This Row],[Número de Orden]],Cocina[Tiempo de Preparación]))</f>
        <v>58</v>
      </c>
      <c r="Q570" s="5" t="str">
        <f>TEXT(((SUMIF(Cocina[Número de Orden],Sala[[#This Row],[Número de Orden]],Cocina[Tiempo de Preparación]))/(60*24)),"h:mm")</f>
        <v>0:58</v>
      </c>
      <c r="R570" s="3">
        <f>MAX((Sala[[#This Row],[Tiempo de permanencia]]-Sala[[#This Row],[Tiempo de preparación (h)]]),0)</f>
        <v>2.7083333333333313E-2</v>
      </c>
      <c r="S570" s="8">
        <f>SUMIF(Cocina[Número de Orden],Sala[[#This Row],[Número de Orden]],Cocina[Ganancia bruta])</f>
        <v>131</v>
      </c>
      <c r="T570" s="8">
        <f>SUMIF(Cocina[Número de Orden],Sala[[#This Row],[Número de Orden]],Cocina[Costo Unitario])</f>
        <v>33</v>
      </c>
      <c r="U570" s="2">
        <f>Sala[[#This Row],[Fecha de Salida]]</f>
        <v>45022</v>
      </c>
      <c r="V570" s="7" t="str">
        <f>TEXT(Sala[[#This Row],[Fecha factura]],"dddd")</f>
        <v>jueves</v>
      </c>
      <c r="W570" t="str">
        <f>IF(Sala[[#This Row],[Tiempo de degustación]]&gt;0,"Sí","No")</f>
        <v>Sí</v>
      </c>
      <c r="X570" t="str">
        <f>IF(Sala[[#This Row],[Cobrada]]="Sí",Sala[[#This Row],[Método de Pago]],"Impago")</f>
        <v>Tarjeta de crédito</v>
      </c>
      <c r="Y570">
        <f>IF(Sala[[#This Row],[Cobrada]]="Sí",Sala[[#This Row],[Propina]],0)</f>
        <v>28.52</v>
      </c>
      <c r="Z570">
        <f>(IF(Sala[[#This Row],[Cobrada]]="Sí",Sala[[#This Row],[Monto total]],0))+Sala[[#This Row],[Propina real]]</f>
        <v>159.52000000000001</v>
      </c>
    </row>
    <row r="571" spans="1:26" x14ac:dyDescent="0.25">
      <c r="A571">
        <v>1</v>
      </c>
      <c r="B571" t="s">
        <v>494</v>
      </c>
      <c r="C571">
        <v>6</v>
      </c>
      <c r="D571" s="2">
        <v>45022</v>
      </c>
      <c r="E571" s="3">
        <v>0.1111111111111111</v>
      </c>
      <c r="F571" s="2">
        <v>45022</v>
      </c>
      <c r="G571" s="3">
        <v>0.18541666666666667</v>
      </c>
      <c r="H571" s="1" t="s">
        <v>20</v>
      </c>
      <c r="I571" t="s">
        <v>8</v>
      </c>
      <c r="J571" t="s">
        <v>601</v>
      </c>
      <c r="K571" s="9">
        <v>38.4</v>
      </c>
      <c r="L571" t="s">
        <v>17</v>
      </c>
      <c r="M571">
        <v>570</v>
      </c>
      <c r="N571" t="s">
        <v>14</v>
      </c>
      <c r="O571" s="3">
        <f>(Sala[[#This Row],[Hora de Salida]]-Sala[[#This Row],[Hora de llegada]])+IF(Sala[[#This Row],[Estado de la Mesa]]="Ocupada",(TEXT((15/(60*24)),"h:mm")),(TEXT(0,"h:mm")))</f>
        <v>7.4305555555555569E-2</v>
      </c>
      <c r="P571" s="43">
        <f>(SUMIF(Cocina[Número de Orden],Sala[[#This Row],[Número de Orden]],Cocina[Tiempo de Preparación]))</f>
        <v>46</v>
      </c>
      <c r="Q571" s="5" t="str">
        <f>TEXT(((SUMIF(Cocina[Número de Orden],Sala[[#This Row],[Número de Orden]],Cocina[Tiempo de Preparación]))/(60*24)),"h:mm")</f>
        <v>0:46</v>
      </c>
      <c r="R571" s="3">
        <f>MAX((Sala[[#This Row],[Tiempo de permanencia]]-Sala[[#This Row],[Tiempo de preparación (h)]]),0)</f>
        <v>4.2361111111111127E-2</v>
      </c>
      <c r="S571" s="8">
        <f>SUMIF(Cocina[Número de Orden],Sala[[#This Row],[Número de Orden]],Cocina[Ganancia bruta])</f>
        <v>85</v>
      </c>
      <c r="T571" s="8">
        <f>SUMIF(Cocina[Número de Orden],Sala[[#This Row],[Número de Orden]],Cocina[Costo Unitario])</f>
        <v>35</v>
      </c>
      <c r="U571" s="2">
        <f>Sala[[#This Row],[Fecha de Salida]]</f>
        <v>45022</v>
      </c>
      <c r="V571" s="7" t="str">
        <f>TEXT(Sala[[#This Row],[Fecha factura]],"dddd")</f>
        <v>jueves</v>
      </c>
      <c r="W571" t="str">
        <f>IF(Sala[[#This Row],[Tiempo de degustación]]&gt;0,"Sí","No")</f>
        <v>Sí</v>
      </c>
      <c r="X571" t="str">
        <f>IF(Sala[[#This Row],[Cobrada]]="Sí",Sala[[#This Row],[Método de Pago]],"Impago")</f>
        <v>Tarjeta de crédito</v>
      </c>
      <c r="Y571">
        <f>IF(Sala[[#This Row],[Cobrada]]="Sí",Sala[[#This Row],[Propina]],0)</f>
        <v>38.4</v>
      </c>
      <c r="Z571">
        <f>(IF(Sala[[#This Row],[Cobrada]]="Sí",Sala[[#This Row],[Monto total]],0))+Sala[[#This Row],[Propina real]]</f>
        <v>123.4</v>
      </c>
    </row>
    <row r="572" spans="1:26" x14ac:dyDescent="0.25">
      <c r="A572">
        <v>15</v>
      </c>
      <c r="B572" t="s">
        <v>74</v>
      </c>
      <c r="C572">
        <v>2</v>
      </c>
      <c r="D572" s="2">
        <v>45022</v>
      </c>
      <c r="E572" s="3">
        <v>5.6250000000000001E-2</v>
      </c>
      <c r="F572" s="2">
        <v>45022</v>
      </c>
      <c r="G572" s="3">
        <v>0.12083333333333333</v>
      </c>
      <c r="H572" s="1" t="s">
        <v>20</v>
      </c>
      <c r="I572" t="s">
        <v>8</v>
      </c>
      <c r="J572" t="s">
        <v>601</v>
      </c>
      <c r="K572" s="9">
        <v>49.54</v>
      </c>
      <c r="L572" t="s">
        <v>17</v>
      </c>
      <c r="M572">
        <v>571</v>
      </c>
      <c r="N572" t="s">
        <v>593</v>
      </c>
      <c r="O572" s="3">
        <f>(Sala[[#This Row],[Hora de Salida]]-Sala[[#This Row],[Hora de llegada]])+IF(Sala[[#This Row],[Estado de la Mesa]]="Ocupada",(TEXT((15/(60*24)),"h:mm")),(TEXT(0,"h:mm")))</f>
        <v>6.4583333333333326E-2</v>
      </c>
      <c r="P572" s="43">
        <f>(SUMIF(Cocina[Número de Orden],Sala[[#This Row],[Número de Orden]],Cocina[Tiempo de Preparación]))</f>
        <v>26</v>
      </c>
      <c r="Q572" s="5" t="str">
        <f>TEXT(((SUMIF(Cocina[Número de Orden],Sala[[#This Row],[Número de Orden]],Cocina[Tiempo de Preparación]))/(60*24)),"h:mm")</f>
        <v>0:26</v>
      </c>
      <c r="R572" s="3">
        <f>MAX((Sala[[#This Row],[Tiempo de permanencia]]-Sala[[#This Row],[Tiempo de preparación (h)]]),0)</f>
        <v>4.6527777777777772E-2</v>
      </c>
      <c r="S572" s="8">
        <f>SUMIF(Cocina[Número de Orden],Sala[[#This Row],[Número de Orden]],Cocina[Ganancia bruta])</f>
        <v>54</v>
      </c>
      <c r="T572" s="8">
        <f>SUMIF(Cocina[Número de Orden],Sala[[#This Row],[Número de Orden]],Cocina[Costo Unitario])</f>
        <v>16</v>
      </c>
      <c r="U572" s="2">
        <f>Sala[[#This Row],[Fecha de Salida]]</f>
        <v>45022</v>
      </c>
      <c r="V572" s="7" t="str">
        <f>TEXT(Sala[[#This Row],[Fecha factura]],"dddd")</f>
        <v>jueves</v>
      </c>
      <c r="W572" t="str">
        <f>IF(Sala[[#This Row],[Tiempo de degustación]]&gt;0,"Sí","No")</f>
        <v>Sí</v>
      </c>
      <c r="X572" t="str">
        <f>IF(Sala[[#This Row],[Cobrada]]="Sí",Sala[[#This Row],[Método de Pago]],"Impago")</f>
        <v>Tarjeta de crédito</v>
      </c>
      <c r="Y572">
        <f>IF(Sala[[#This Row],[Cobrada]]="Sí",Sala[[#This Row],[Propina]],0)</f>
        <v>49.54</v>
      </c>
      <c r="Z572">
        <f>(IF(Sala[[#This Row],[Cobrada]]="Sí",Sala[[#This Row],[Monto total]],0))+Sala[[#This Row],[Propina real]]</f>
        <v>103.53999999999999</v>
      </c>
    </row>
    <row r="573" spans="1:26" x14ac:dyDescent="0.25">
      <c r="A573">
        <v>19</v>
      </c>
      <c r="B573" t="s">
        <v>495</v>
      </c>
      <c r="C573">
        <v>3</v>
      </c>
      <c r="D573" s="2">
        <v>45022</v>
      </c>
      <c r="E573" s="3">
        <v>0.12013888888888889</v>
      </c>
      <c r="F573" s="2">
        <v>45022</v>
      </c>
      <c r="G573" s="3">
        <v>0.26874999999999999</v>
      </c>
      <c r="H573" s="1" t="s">
        <v>23</v>
      </c>
      <c r="I573" t="s">
        <v>8</v>
      </c>
      <c r="J573" t="s">
        <v>13</v>
      </c>
      <c r="K573" s="9">
        <v>46.21</v>
      </c>
      <c r="L573" t="s">
        <v>28</v>
      </c>
      <c r="M573">
        <v>572</v>
      </c>
      <c r="N573" t="s">
        <v>18</v>
      </c>
      <c r="O573" s="3">
        <f>(Sala[[#This Row],[Hora de Salida]]-Sala[[#This Row],[Hora de llegada]])+IF(Sala[[#This Row],[Estado de la Mesa]]="Ocupada",(TEXT((15/(60*24)),"h:mm")),(TEXT(0,"h:mm")))</f>
        <v>0.15902777777777774</v>
      </c>
      <c r="P573" s="43">
        <f>(SUMIF(Cocina[Número de Orden],Sala[[#This Row],[Número de Orden]],Cocina[Tiempo de Preparación]))</f>
        <v>44</v>
      </c>
      <c r="Q573" s="5" t="str">
        <f>TEXT(((SUMIF(Cocina[Número de Orden],Sala[[#This Row],[Número de Orden]],Cocina[Tiempo de Preparación]))/(60*24)),"h:mm")</f>
        <v>0:44</v>
      </c>
      <c r="R573" s="3">
        <f>MAX((Sala[[#This Row],[Tiempo de permanencia]]-Sala[[#This Row],[Tiempo de preparación (h)]]),0)</f>
        <v>0.12847222222222218</v>
      </c>
      <c r="S573" s="8">
        <f>SUMIF(Cocina[Número de Orden],Sala[[#This Row],[Número de Orden]],Cocina[Ganancia bruta])</f>
        <v>74</v>
      </c>
      <c r="T573" s="8">
        <f>SUMIF(Cocina[Número de Orden],Sala[[#This Row],[Número de Orden]],Cocina[Costo Unitario])</f>
        <v>31</v>
      </c>
      <c r="U573" s="2">
        <f>Sala[[#This Row],[Fecha de Salida]]</f>
        <v>45022</v>
      </c>
      <c r="V573" s="7" t="str">
        <f>TEXT(Sala[[#This Row],[Fecha factura]],"dddd")</f>
        <v>jueves</v>
      </c>
      <c r="W573" t="str">
        <f>IF(Sala[[#This Row],[Tiempo de degustación]]&gt;0,"Sí","No")</f>
        <v>Sí</v>
      </c>
      <c r="X573" t="str">
        <f>IF(Sala[[#This Row],[Cobrada]]="Sí",Sala[[#This Row],[Método de Pago]],"Impago")</f>
        <v>Efectivo</v>
      </c>
      <c r="Y573">
        <f>IF(Sala[[#This Row],[Cobrada]]="Sí",Sala[[#This Row],[Propina]],0)</f>
        <v>46.21</v>
      </c>
      <c r="Z573">
        <f>(IF(Sala[[#This Row],[Cobrada]]="Sí",Sala[[#This Row],[Monto total]],0))+Sala[[#This Row],[Propina real]]</f>
        <v>120.21000000000001</v>
      </c>
    </row>
    <row r="574" spans="1:26" x14ac:dyDescent="0.25">
      <c r="A574">
        <v>7</v>
      </c>
      <c r="B574" t="s">
        <v>496</v>
      </c>
      <c r="C574">
        <v>3</v>
      </c>
      <c r="D574" s="2">
        <v>45022</v>
      </c>
      <c r="E574" s="3">
        <v>0.13333333333333333</v>
      </c>
      <c r="F574" s="2">
        <v>45022</v>
      </c>
      <c r="G574" s="3">
        <v>0.29791666666666666</v>
      </c>
      <c r="H574" s="1" t="s">
        <v>7</v>
      </c>
      <c r="I574" t="s">
        <v>8</v>
      </c>
      <c r="J574" t="s">
        <v>601</v>
      </c>
      <c r="K574" s="9">
        <v>47.08</v>
      </c>
      <c r="L574" t="s">
        <v>28</v>
      </c>
      <c r="M574">
        <v>573</v>
      </c>
      <c r="N574" t="s">
        <v>47</v>
      </c>
      <c r="O574" s="3">
        <f>(Sala[[#This Row],[Hora de Salida]]-Sala[[#This Row],[Hora de llegada]])+IF(Sala[[#This Row],[Estado de la Mesa]]="Ocupada",(TEXT((15/(60*24)),"h:mm")),(TEXT(0,"h:mm")))</f>
        <v>0.17499999999999999</v>
      </c>
      <c r="P574" s="43">
        <f>(SUMIF(Cocina[Número de Orden],Sala[[#This Row],[Número de Orden]],Cocina[Tiempo de Preparación]))</f>
        <v>69</v>
      </c>
      <c r="Q574" s="5" t="str">
        <f>TEXT(((SUMIF(Cocina[Número de Orden],Sala[[#This Row],[Número de Orden]],Cocina[Tiempo de Preparación]))/(60*24)),"h:mm")</f>
        <v>1:09</v>
      </c>
      <c r="R574" s="3">
        <f>MAX((Sala[[#This Row],[Tiempo de permanencia]]-Sala[[#This Row],[Tiempo de preparación (h)]]),0)</f>
        <v>0.12708333333333333</v>
      </c>
      <c r="S574" s="8">
        <f>SUMIF(Cocina[Número de Orden],Sala[[#This Row],[Número de Orden]],Cocina[Ganancia bruta])</f>
        <v>165</v>
      </c>
      <c r="T574" s="8">
        <f>SUMIF(Cocina[Número de Orden],Sala[[#This Row],[Número de Orden]],Cocina[Costo Unitario])</f>
        <v>33</v>
      </c>
      <c r="U574" s="2">
        <f>Sala[[#This Row],[Fecha de Salida]]</f>
        <v>45022</v>
      </c>
      <c r="V574" s="7" t="str">
        <f>TEXT(Sala[[#This Row],[Fecha factura]],"dddd")</f>
        <v>jueves</v>
      </c>
      <c r="W574" t="str">
        <f>IF(Sala[[#This Row],[Tiempo de degustación]]&gt;0,"Sí","No")</f>
        <v>Sí</v>
      </c>
      <c r="X574" t="str">
        <f>IF(Sala[[#This Row],[Cobrada]]="Sí",Sala[[#This Row],[Método de Pago]],"Impago")</f>
        <v>Tarjeta de crédito</v>
      </c>
      <c r="Y574">
        <f>IF(Sala[[#This Row],[Cobrada]]="Sí",Sala[[#This Row],[Propina]],0)</f>
        <v>47.08</v>
      </c>
      <c r="Z574">
        <f>(IF(Sala[[#This Row],[Cobrada]]="Sí",Sala[[#This Row],[Monto total]],0))+Sala[[#This Row],[Propina real]]</f>
        <v>212.07999999999998</v>
      </c>
    </row>
    <row r="575" spans="1:26" x14ac:dyDescent="0.25">
      <c r="A575">
        <v>20</v>
      </c>
      <c r="B575" t="s">
        <v>497</v>
      </c>
      <c r="C575">
        <v>3</v>
      </c>
      <c r="D575" s="2">
        <v>45022</v>
      </c>
      <c r="E575" s="3">
        <v>2.1527777777777778E-2</v>
      </c>
      <c r="F575" s="2">
        <v>45022</v>
      </c>
      <c r="G575" s="3">
        <v>0.13055555555555556</v>
      </c>
      <c r="H575" s="1" t="s">
        <v>20</v>
      </c>
      <c r="I575" t="s">
        <v>8</v>
      </c>
      <c r="J575" t="s">
        <v>601</v>
      </c>
      <c r="K575" s="9">
        <v>42.57</v>
      </c>
      <c r="L575" t="s">
        <v>17</v>
      </c>
      <c r="M575">
        <v>574</v>
      </c>
      <c r="N575" t="s">
        <v>18</v>
      </c>
      <c r="O575" s="3">
        <f>(Sala[[#This Row],[Hora de Salida]]-Sala[[#This Row],[Hora de llegada]])+IF(Sala[[#This Row],[Estado de la Mesa]]="Ocupada",(TEXT((15/(60*24)),"h:mm")),(TEXT(0,"h:mm")))</f>
        <v>0.10902777777777778</v>
      </c>
      <c r="P575" s="43">
        <f>(SUMIF(Cocina[Número de Orden],Sala[[#This Row],[Número de Orden]],Cocina[Tiempo de Preparación]))</f>
        <v>168</v>
      </c>
      <c r="Q575" s="5" t="str">
        <f>TEXT(((SUMIF(Cocina[Número de Orden],Sala[[#This Row],[Número de Orden]],Cocina[Tiempo de Preparación]))/(60*24)),"h:mm")</f>
        <v>2:48</v>
      </c>
      <c r="R575" s="3">
        <f>MAX((Sala[[#This Row],[Tiempo de permanencia]]-Sala[[#This Row],[Tiempo de preparación (h)]]),0)</f>
        <v>0</v>
      </c>
      <c r="S575" s="8">
        <f>SUMIF(Cocina[Número de Orden],Sala[[#This Row],[Número de Orden]],Cocina[Ganancia bruta])</f>
        <v>207</v>
      </c>
      <c r="T575" s="8">
        <f>SUMIF(Cocina[Número de Orden],Sala[[#This Row],[Número de Orden]],Cocina[Costo Unitario])</f>
        <v>60</v>
      </c>
      <c r="U575" s="2">
        <f>Sala[[#This Row],[Fecha de Salida]]</f>
        <v>45022</v>
      </c>
      <c r="V575" s="7" t="str">
        <f>TEXT(Sala[[#This Row],[Fecha factura]],"dddd")</f>
        <v>jueves</v>
      </c>
      <c r="W575" t="str">
        <f>IF(Sala[[#This Row],[Tiempo de degustación]]&gt;0,"Sí","No")</f>
        <v>No</v>
      </c>
      <c r="X575" t="str">
        <f>IF(Sala[[#This Row],[Cobrada]]="Sí",Sala[[#This Row],[Método de Pago]],"Impago")</f>
        <v>Impago</v>
      </c>
      <c r="Y575">
        <f>IF(Sala[[#This Row],[Cobrada]]="Sí",Sala[[#This Row],[Propina]],0)</f>
        <v>0</v>
      </c>
      <c r="Z575">
        <f>(IF(Sala[[#This Row],[Cobrada]]="Sí",Sala[[#This Row],[Monto total]],0))+Sala[[#This Row],[Propina real]]</f>
        <v>0</v>
      </c>
    </row>
    <row r="576" spans="1:26" x14ac:dyDescent="0.25">
      <c r="A576">
        <v>15</v>
      </c>
      <c r="B576" t="s">
        <v>319</v>
      </c>
      <c r="C576">
        <v>4</v>
      </c>
      <c r="D576" s="2">
        <v>45022</v>
      </c>
      <c r="E576" s="3">
        <v>6.6666666666666666E-2</v>
      </c>
      <c r="F576" s="2">
        <v>45022</v>
      </c>
      <c r="G576" s="3">
        <v>0.19722222222222222</v>
      </c>
      <c r="H576" s="1" t="s">
        <v>23</v>
      </c>
      <c r="I576" t="s">
        <v>8</v>
      </c>
      <c r="J576" t="s">
        <v>601</v>
      </c>
      <c r="K576" s="9">
        <v>33.520000000000003</v>
      </c>
      <c r="L576" t="s">
        <v>17</v>
      </c>
      <c r="M576">
        <v>575</v>
      </c>
      <c r="N576" t="s">
        <v>21</v>
      </c>
      <c r="O576" s="3">
        <f>(Sala[[#This Row],[Hora de Salida]]-Sala[[#This Row],[Hora de llegada]])+IF(Sala[[#This Row],[Estado de la Mesa]]="Ocupada",(TEXT((15/(60*24)),"h:mm")),(TEXT(0,"h:mm")))</f>
        <v>0.13055555555555554</v>
      </c>
      <c r="P576" s="43">
        <f>(SUMIF(Cocina[Número de Orden],Sala[[#This Row],[Número de Orden]],Cocina[Tiempo de Preparación]))</f>
        <v>44</v>
      </c>
      <c r="Q576" s="5" t="str">
        <f>TEXT(((SUMIF(Cocina[Número de Orden],Sala[[#This Row],[Número de Orden]],Cocina[Tiempo de Preparación]))/(60*24)),"h:mm")</f>
        <v>0:44</v>
      </c>
      <c r="R576" s="3">
        <f>MAX((Sala[[#This Row],[Tiempo de permanencia]]-Sala[[#This Row],[Tiempo de preparación (h)]]),0)</f>
        <v>9.9999999999999978E-2</v>
      </c>
      <c r="S576" s="8">
        <f>SUMIF(Cocina[Número de Orden],Sala[[#This Row],[Número de Orden]],Cocina[Ganancia bruta])</f>
        <v>18</v>
      </c>
      <c r="T576" s="8">
        <f>SUMIF(Cocina[Número de Orden],Sala[[#This Row],[Número de Orden]],Cocina[Costo Unitario])</f>
        <v>10</v>
      </c>
      <c r="U576" s="2">
        <f>Sala[[#This Row],[Fecha de Salida]]</f>
        <v>45022</v>
      </c>
      <c r="V576" s="7" t="str">
        <f>TEXT(Sala[[#This Row],[Fecha factura]],"dddd")</f>
        <v>jueves</v>
      </c>
      <c r="W576" t="str">
        <f>IF(Sala[[#This Row],[Tiempo de degustación]]&gt;0,"Sí","No")</f>
        <v>Sí</v>
      </c>
      <c r="X576" t="str">
        <f>IF(Sala[[#This Row],[Cobrada]]="Sí",Sala[[#This Row],[Método de Pago]],"Impago")</f>
        <v>Tarjeta de crédito</v>
      </c>
      <c r="Y576">
        <f>IF(Sala[[#This Row],[Cobrada]]="Sí",Sala[[#This Row],[Propina]],0)</f>
        <v>33.520000000000003</v>
      </c>
      <c r="Z576">
        <f>(IF(Sala[[#This Row],[Cobrada]]="Sí",Sala[[#This Row],[Monto total]],0))+Sala[[#This Row],[Propina real]]</f>
        <v>51.52</v>
      </c>
    </row>
    <row r="577" spans="1:26" x14ac:dyDescent="0.25">
      <c r="A577">
        <v>9</v>
      </c>
      <c r="B577" t="s">
        <v>498</v>
      </c>
      <c r="C577">
        <v>1</v>
      </c>
      <c r="D577" s="2">
        <v>45022</v>
      </c>
      <c r="E577" s="3">
        <v>0.16458333333333333</v>
      </c>
      <c r="F577" s="2">
        <v>45022</v>
      </c>
      <c r="G577" s="3">
        <v>0.29583333333333334</v>
      </c>
      <c r="H577" s="1" t="s">
        <v>23</v>
      </c>
      <c r="I577" t="s">
        <v>25</v>
      </c>
      <c r="J577" t="s">
        <v>13</v>
      </c>
      <c r="K577" s="9">
        <v>21.71</v>
      </c>
      <c r="L577" t="s">
        <v>9</v>
      </c>
      <c r="M577">
        <v>576</v>
      </c>
      <c r="N577" t="s">
        <v>34</v>
      </c>
      <c r="O577" s="3">
        <f>(Sala[[#This Row],[Hora de Salida]]-Sala[[#This Row],[Hora de llegada]])+IF(Sala[[#This Row],[Estado de la Mesa]]="Ocupada",(TEXT((15/(60*24)),"h:mm")),(TEXT(0,"h:mm")))</f>
        <v>0.13125000000000001</v>
      </c>
      <c r="P577" s="43">
        <f>(SUMIF(Cocina[Número de Orden],Sala[[#This Row],[Número de Orden]],Cocina[Tiempo de Preparación]))</f>
        <v>115</v>
      </c>
      <c r="Q577" s="5" t="str">
        <f>TEXT(((SUMIF(Cocina[Número de Orden],Sala[[#This Row],[Número de Orden]],Cocina[Tiempo de Preparación]))/(60*24)),"h:mm")</f>
        <v>1:55</v>
      </c>
      <c r="R577" s="3">
        <f>MAX((Sala[[#This Row],[Tiempo de permanencia]]-Sala[[#This Row],[Tiempo de preparación (h)]]),0)</f>
        <v>5.1388888888888901E-2</v>
      </c>
      <c r="S577" s="8">
        <f>SUMIF(Cocina[Número de Orden],Sala[[#This Row],[Número de Orden]],Cocina[Ganancia bruta])</f>
        <v>234</v>
      </c>
      <c r="T577" s="8">
        <f>SUMIF(Cocina[Número de Orden],Sala[[#This Row],[Número de Orden]],Cocina[Costo Unitario])</f>
        <v>61</v>
      </c>
      <c r="U577" s="2">
        <f>Sala[[#This Row],[Fecha de Salida]]</f>
        <v>45022</v>
      </c>
      <c r="V577" s="7" t="str">
        <f>TEXT(Sala[[#This Row],[Fecha factura]],"dddd")</f>
        <v>jueves</v>
      </c>
      <c r="W577" t="str">
        <f>IF(Sala[[#This Row],[Tiempo de degustación]]&gt;0,"Sí","No")</f>
        <v>Sí</v>
      </c>
      <c r="X577" t="str">
        <f>IF(Sala[[#This Row],[Cobrada]]="Sí",Sala[[#This Row],[Método de Pago]],"Impago")</f>
        <v>Efectivo</v>
      </c>
      <c r="Y577">
        <f>IF(Sala[[#This Row],[Cobrada]]="Sí",Sala[[#This Row],[Propina]],0)</f>
        <v>21.71</v>
      </c>
      <c r="Z577">
        <f>(IF(Sala[[#This Row],[Cobrada]]="Sí",Sala[[#This Row],[Monto total]],0))+Sala[[#This Row],[Propina real]]</f>
        <v>255.71</v>
      </c>
    </row>
    <row r="578" spans="1:26" x14ac:dyDescent="0.25">
      <c r="A578">
        <v>5</v>
      </c>
      <c r="B578" t="s">
        <v>499</v>
      </c>
      <c r="C578">
        <v>4</v>
      </c>
      <c r="D578" s="2">
        <v>45022</v>
      </c>
      <c r="E578" s="3">
        <v>0.13402777777777777</v>
      </c>
      <c r="F578" s="2">
        <v>45022</v>
      </c>
      <c r="G578" s="3">
        <v>0.27777777777777779</v>
      </c>
      <c r="H578" s="1" t="s">
        <v>23</v>
      </c>
      <c r="I578" t="s">
        <v>8</v>
      </c>
      <c r="J578" t="s">
        <v>601</v>
      </c>
      <c r="K578" s="9">
        <v>34.119999999999997</v>
      </c>
      <c r="L578" t="s">
        <v>17</v>
      </c>
      <c r="M578">
        <v>577</v>
      </c>
      <c r="N578" t="s">
        <v>593</v>
      </c>
      <c r="O578" s="3">
        <f>(Sala[[#This Row],[Hora de Salida]]-Sala[[#This Row],[Hora de llegada]])+IF(Sala[[#This Row],[Estado de la Mesa]]="Ocupada",(TEXT((15/(60*24)),"h:mm")),(TEXT(0,"h:mm")))</f>
        <v>0.14375000000000002</v>
      </c>
      <c r="P578" s="43">
        <f>(SUMIF(Cocina[Número de Orden],Sala[[#This Row],[Número de Orden]],Cocina[Tiempo de Preparación]))</f>
        <v>25</v>
      </c>
      <c r="Q578" s="5" t="str">
        <f>TEXT(((SUMIF(Cocina[Número de Orden],Sala[[#This Row],[Número de Orden]],Cocina[Tiempo de Preparación]))/(60*24)),"h:mm")</f>
        <v>0:25</v>
      </c>
      <c r="R578" s="3">
        <f>MAX((Sala[[#This Row],[Tiempo de permanencia]]-Sala[[#This Row],[Tiempo de preparación (h)]]),0)</f>
        <v>0.12638888888888891</v>
      </c>
      <c r="S578" s="8">
        <f>SUMIF(Cocina[Número de Orden],Sala[[#This Row],[Número de Orden]],Cocina[Ganancia bruta])</f>
        <v>40</v>
      </c>
      <c r="T578" s="8">
        <f>SUMIF(Cocina[Número de Orden],Sala[[#This Row],[Número de Orden]],Cocina[Costo Unitario])</f>
        <v>23</v>
      </c>
      <c r="U578" s="2">
        <f>Sala[[#This Row],[Fecha de Salida]]</f>
        <v>45022</v>
      </c>
      <c r="V578" s="7" t="str">
        <f>TEXT(Sala[[#This Row],[Fecha factura]],"dddd")</f>
        <v>jueves</v>
      </c>
      <c r="W578" t="str">
        <f>IF(Sala[[#This Row],[Tiempo de degustación]]&gt;0,"Sí","No")</f>
        <v>Sí</v>
      </c>
      <c r="X578" t="str">
        <f>IF(Sala[[#This Row],[Cobrada]]="Sí",Sala[[#This Row],[Método de Pago]],"Impago")</f>
        <v>Tarjeta de crédito</v>
      </c>
      <c r="Y578">
        <f>IF(Sala[[#This Row],[Cobrada]]="Sí",Sala[[#This Row],[Propina]],0)</f>
        <v>34.119999999999997</v>
      </c>
      <c r="Z578">
        <f>(IF(Sala[[#This Row],[Cobrada]]="Sí",Sala[[#This Row],[Monto total]],0))+Sala[[#This Row],[Propina real]]</f>
        <v>74.12</v>
      </c>
    </row>
    <row r="579" spans="1:26" x14ac:dyDescent="0.25">
      <c r="A579">
        <v>11</v>
      </c>
      <c r="B579" t="s">
        <v>236</v>
      </c>
      <c r="C579">
        <v>6</v>
      </c>
      <c r="D579" s="2">
        <v>45022</v>
      </c>
      <c r="E579" s="3">
        <v>9.0972222222222218E-2</v>
      </c>
      <c r="F579" s="2">
        <v>45022</v>
      </c>
      <c r="G579" s="3">
        <v>0.18333333333333332</v>
      </c>
      <c r="H579" s="1" t="s">
        <v>7</v>
      </c>
      <c r="I579" t="s">
        <v>8</v>
      </c>
      <c r="J579" t="s">
        <v>601</v>
      </c>
      <c r="K579" s="9">
        <v>32.799999999999997</v>
      </c>
      <c r="L579" t="s">
        <v>28</v>
      </c>
      <c r="M579">
        <v>578</v>
      </c>
      <c r="N579" t="s">
        <v>594</v>
      </c>
      <c r="O579" s="3">
        <f>(Sala[[#This Row],[Hora de Salida]]-Sala[[#This Row],[Hora de llegada]])+IF(Sala[[#This Row],[Estado de la Mesa]]="Ocupada",(TEXT((15/(60*24)),"h:mm")),(TEXT(0,"h:mm")))</f>
        <v>0.10277777777777777</v>
      </c>
      <c r="P579" s="43">
        <f>(SUMIF(Cocina[Número de Orden],Sala[[#This Row],[Número de Orden]],Cocina[Tiempo de Preparación]))</f>
        <v>44</v>
      </c>
      <c r="Q579" s="5" t="str">
        <f>TEXT(((SUMIF(Cocina[Número de Orden],Sala[[#This Row],[Número de Orden]],Cocina[Tiempo de Preparación]))/(60*24)),"h:mm")</f>
        <v>0:44</v>
      </c>
      <c r="R579" s="3">
        <f>MAX((Sala[[#This Row],[Tiempo de permanencia]]-Sala[[#This Row],[Tiempo de preparación (h)]]),0)</f>
        <v>7.2222222222222215E-2</v>
      </c>
      <c r="S579" s="8">
        <f>SUMIF(Cocina[Número de Orden],Sala[[#This Row],[Número de Orden]],Cocina[Ganancia bruta])</f>
        <v>90</v>
      </c>
      <c r="T579" s="8">
        <f>SUMIF(Cocina[Número de Orden],Sala[[#This Row],[Número de Orden]],Cocina[Costo Unitario])</f>
        <v>18</v>
      </c>
      <c r="U579" s="2">
        <f>Sala[[#This Row],[Fecha de Salida]]</f>
        <v>45022</v>
      </c>
      <c r="V579" s="7" t="str">
        <f>TEXT(Sala[[#This Row],[Fecha factura]],"dddd")</f>
        <v>jueves</v>
      </c>
      <c r="W579" t="str">
        <f>IF(Sala[[#This Row],[Tiempo de degustación]]&gt;0,"Sí","No")</f>
        <v>Sí</v>
      </c>
      <c r="X579" t="str">
        <f>IF(Sala[[#This Row],[Cobrada]]="Sí",Sala[[#This Row],[Método de Pago]],"Impago")</f>
        <v>Tarjeta de crédito</v>
      </c>
      <c r="Y579">
        <f>IF(Sala[[#This Row],[Cobrada]]="Sí",Sala[[#This Row],[Propina]],0)</f>
        <v>32.799999999999997</v>
      </c>
      <c r="Z579">
        <f>(IF(Sala[[#This Row],[Cobrada]]="Sí",Sala[[#This Row],[Monto total]],0))+Sala[[#This Row],[Propina real]]</f>
        <v>122.8</v>
      </c>
    </row>
    <row r="580" spans="1:26" x14ac:dyDescent="0.25">
      <c r="A580">
        <v>9</v>
      </c>
      <c r="B580" t="s">
        <v>500</v>
      </c>
      <c r="C580">
        <v>2</v>
      </c>
      <c r="D580" s="2">
        <v>45022</v>
      </c>
      <c r="E580" s="3">
        <v>6.9444444444444441E-3</v>
      </c>
      <c r="F580" s="2">
        <v>45022</v>
      </c>
      <c r="G580" s="3">
        <v>9.5138888888888884E-2</v>
      </c>
      <c r="H580" s="1" t="s">
        <v>7</v>
      </c>
      <c r="I580" t="s">
        <v>8</v>
      </c>
      <c r="J580" t="s">
        <v>601</v>
      </c>
      <c r="K580" s="9">
        <v>35.96</v>
      </c>
      <c r="L580" t="s">
        <v>17</v>
      </c>
      <c r="M580">
        <v>579</v>
      </c>
      <c r="N580" t="s">
        <v>21</v>
      </c>
      <c r="O580" s="3">
        <f>(Sala[[#This Row],[Hora de Salida]]-Sala[[#This Row],[Hora de llegada]])+IF(Sala[[#This Row],[Estado de la Mesa]]="Ocupada",(TEXT((15/(60*24)),"h:mm")),(TEXT(0,"h:mm")))</f>
        <v>8.8194444444444436E-2</v>
      </c>
      <c r="P580" s="43">
        <f>(SUMIF(Cocina[Número de Orden],Sala[[#This Row],[Número de Orden]],Cocina[Tiempo de Preparación]))</f>
        <v>48</v>
      </c>
      <c r="Q580" s="5" t="str">
        <f>TEXT(((SUMIF(Cocina[Número de Orden],Sala[[#This Row],[Número de Orden]],Cocina[Tiempo de Preparación]))/(60*24)),"h:mm")</f>
        <v>0:48</v>
      </c>
      <c r="R580" s="3">
        <f>MAX((Sala[[#This Row],[Tiempo de permanencia]]-Sala[[#This Row],[Tiempo de preparación (h)]]),0)</f>
        <v>5.4861111111111104E-2</v>
      </c>
      <c r="S580" s="8">
        <f>SUMIF(Cocina[Número de Orden],Sala[[#This Row],[Número de Orden]],Cocina[Ganancia bruta])</f>
        <v>50</v>
      </c>
      <c r="T580" s="8">
        <f>SUMIF(Cocina[Número de Orden],Sala[[#This Row],[Número de Orden]],Cocina[Costo Unitario])</f>
        <v>15</v>
      </c>
      <c r="U580" s="2">
        <f>Sala[[#This Row],[Fecha de Salida]]</f>
        <v>45022</v>
      </c>
      <c r="V580" s="7" t="str">
        <f>TEXT(Sala[[#This Row],[Fecha factura]],"dddd")</f>
        <v>jueves</v>
      </c>
      <c r="W580" t="str">
        <f>IF(Sala[[#This Row],[Tiempo de degustación]]&gt;0,"Sí","No")</f>
        <v>Sí</v>
      </c>
      <c r="X580" t="str">
        <f>IF(Sala[[#This Row],[Cobrada]]="Sí",Sala[[#This Row],[Método de Pago]],"Impago")</f>
        <v>Tarjeta de crédito</v>
      </c>
      <c r="Y580">
        <f>IF(Sala[[#This Row],[Cobrada]]="Sí",Sala[[#This Row],[Propina]],0)</f>
        <v>35.96</v>
      </c>
      <c r="Z580">
        <f>(IF(Sala[[#This Row],[Cobrada]]="Sí",Sala[[#This Row],[Monto total]],0))+Sala[[#This Row],[Propina real]]</f>
        <v>85.960000000000008</v>
      </c>
    </row>
    <row r="581" spans="1:26" x14ac:dyDescent="0.25">
      <c r="A581">
        <v>10</v>
      </c>
      <c r="B581" t="s">
        <v>72</v>
      </c>
      <c r="C581">
        <v>5</v>
      </c>
      <c r="D581" s="2">
        <v>45022</v>
      </c>
      <c r="E581" s="3">
        <v>4.1666666666666666E-3</v>
      </c>
      <c r="F581" s="2">
        <v>45022</v>
      </c>
      <c r="G581" s="3">
        <v>5.4166666666666669E-2</v>
      </c>
      <c r="H581" s="1" t="s">
        <v>23</v>
      </c>
      <c r="I581" t="s">
        <v>8</v>
      </c>
      <c r="J581" t="s">
        <v>600</v>
      </c>
      <c r="K581" s="9">
        <v>44.54</v>
      </c>
      <c r="L581" t="s">
        <v>17</v>
      </c>
      <c r="M581">
        <v>580</v>
      </c>
      <c r="N581" t="s">
        <v>34</v>
      </c>
      <c r="O581" s="3">
        <f>(Sala[[#This Row],[Hora de Salida]]-Sala[[#This Row],[Hora de llegada]])+IF(Sala[[#This Row],[Estado de la Mesa]]="Ocupada",(TEXT((15/(60*24)),"h:mm")),(TEXT(0,"h:mm")))</f>
        <v>0.05</v>
      </c>
      <c r="P581" s="43">
        <f>(SUMIF(Cocina[Número de Orden],Sala[[#This Row],[Número de Orden]],Cocina[Tiempo de Preparación]))</f>
        <v>30</v>
      </c>
      <c r="Q581" s="5" t="str">
        <f>TEXT(((SUMIF(Cocina[Número de Orden],Sala[[#This Row],[Número de Orden]],Cocina[Tiempo de Preparación]))/(60*24)),"h:mm")</f>
        <v>0:30</v>
      </c>
      <c r="R581" s="3">
        <f>MAX((Sala[[#This Row],[Tiempo de permanencia]]-Sala[[#This Row],[Tiempo de preparación (h)]]),0)</f>
        <v>2.9166666666666671E-2</v>
      </c>
      <c r="S581" s="8">
        <f>SUMIF(Cocina[Número de Orden],Sala[[#This Row],[Número de Orden]],Cocina[Ganancia bruta])</f>
        <v>33</v>
      </c>
      <c r="T581" s="8">
        <f>SUMIF(Cocina[Número de Orden],Sala[[#This Row],[Número de Orden]],Cocina[Costo Unitario])</f>
        <v>20</v>
      </c>
      <c r="U581" s="2">
        <f>Sala[[#This Row],[Fecha de Salida]]</f>
        <v>45022</v>
      </c>
      <c r="V581" s="7" t="str">
        <f>TEXT(Sala[[#This Row],[Fecha factura]],"dddd")</f>
        <v>jueves</v>
      </c>
      <c r="W581" t="str">
        <f>IF(Sala[[#This Row],[Tiempo de degustación]]&gt;0,"Sí","No")</f>
        <v>Sí</v>
      </c>
      <c r="X581" t="str">
        <f>IF(Sala[[#This Row],[Cobrada]]="Sí",Sala[[#This Row],[Método de Pago]],"Impago")</f>
        <v>Tarjeta de débito</v>
      </c>
      <c r="Y581">
        <f>IF(Sala[[#This Row],[Cobrada]]="Sí",Sala[[#This Row],[Propina]],0)</f>
        <v>44.54</v>
      </c>
      <c r="Z581">
        <f>(IF(Sala[[#This Row],[Cobrada]]="Sí",Sala[[#This Row],[Monto total]],0))+Sala[[#This Row],[Propina real]]</f>
        <v>77.539999999999992</v>
      </c>
    </row>
    <row r="582" spans="1:26" x14ac:dyDescent="0.25">
      <c r="A582">
        <v>18</v>
      </c>
      <c r="B582" t="s">
        <v>137</v>
      </c>
      <c r="C582">
        <v>5</v>
      </c>
      <c r="D582" s="2">
        <v>45022</v>
      </c>
      <c r="E582" s="3">
        <v>0.14791666666666667</v>
      </c>
      <c r="F582" s="2">
        <v>45022</v>
      </c>
      <c r="G582" s="3">
        <v>0.21388888888888888</v>
      </c>
      <c r="H582" s="1" t="s">
        <v>23</v>
      </c>
      <c r="I582" t="s">
        <v>8</v>
      </c>
      <c r="J582" t="s">
        <v>601</v>
      </c>
      <c r="K582" s="9">
        <v>13.27</v>
      </c>
      <c r="L582" t="s">
        <v>28</v>
      </c>
      <c r="M582">
        <v>581</v>
      </c>
      <c r="N582" t="s">
        <v>593</v>
      </c>
      <c r="O582" s="3">
        <f>(Sala[[#This Row],[Hora de Salida]]-Sala[[#This Row],[Hora de llegada]])+IF(Sala[[#This Row],[Estado de la Mesa]]="Ocupada",(TEXT((15/(60*24)),"h:mm")),(TEXT(0,"h:mm")))</f>
        <v>7.6388888888888881E-2</v>
      </c>
      <c r="P582" s="43">
        <f>(SUMIF(Cocina[Número de Orden],Sala[[#This Row],[Número de Orden]],Cocina[Tiempo de Preparación]))</f>
        <v>55</v>
      </c>
      <c r="Q582" s="5" t="str">
        <f>TEXT(((SUMIF(Cocina[Número de Orden],Sala[[#This Row],[Número de Orden]],Cocina[Tiempo de Preparación]))/(60*24)),"h:mm")</f>
        <v>0:55</v>
      </c>
      <c r="R582" s="3">
        <f>MAX((Sala[[#This Row],[Tiempo de permanencia]]-Sala[[#This Row],[Tiempo de preparación (h)]]),0)</f>
        <v>3.8194444444444434E-2</v>
      </c>
      <c r="S582" s="8">
        <f>SUMIF(Cocina[Número de Orden],Sala[[#This Row],[Número de Orden]],Cocina[Ganancia bruta])</f>
        <v>123</v>
      </c>
      <c r="T582" s="8">
        <f>SUMIF(Cocina[Número de Orden],Sala[[#This Row],[Número de Orden]],Cocina[Costo Unitario])</f>
        <v>38</v>
      </c>
      <c r="U582" s="2">
        <f>Sala[[#This Row],[Fecha de Salida]]</f>
        <v>45022</v>
      </c>
      <c r="V582" s="7" t="str">
        <f>TEXT(Sala[[#This Row],[Fecha factura]],"dddd")</f>
        <v>jueves</v>
      </c>
      <c r="W582" t="str">
        <f>IF(Sala[[#This Row],[Tiempo de degustación]]&gt;0,"Sí","No")</f>
        <v>Sí</v>
      </c>
      <c r="X582" t="str">
        <f>IF(Sala[[#This Row],[Cobrada]]="Sí",Sala[[#This Row],[Método de Pago]],"Impago")</f>
        <v>Tarjeta de crédito</v>
      </c>
      <c r="Y582">
        <f>IF(Sala[[#This Row],[Cobrada]]="Sí",Sala[[#This Row],[Propina]],0)</f>
        <v>13.27</v>
      </c>
      <c r="Z582">
        <f>(IF(Sala[[#This Row],[Cobrada]]="Sí",Sala[[#This Row],[Monto total]],0))+Sala[[#This Row],[Propina real]]</f>
        <v>136.27000000000001</v>
      </c>
    </row>
    <row r="583" spans="1:26" x14ac:dyDescent="0.25">
      <c r="A583">
        <v>3</v>
      </c>
      <c r="B583" t="s">
        <v>501</v>
      </c>
      <c r="C583">
        <v>1</v>
      </c>
      <c r="D583" s="2">
        <v>45022</v>
      </c>
      <c r="E583" s="3">
        <v>0.15833333333333333</v>
      </c>
      <c r="F583" s="2">
        <v>45022</v>
      </c>
      <c r="G583" s="3">
        <v>0.21458333333333332</v>
      </c>
      <c r="H583" s="1" t="s">
        <v>16</v>
      </c>
      <c r="I583" t="s">
        <v>8</v>
      </c>
      <c r="J583" t="s">
        <v>601</v>
      </c>
      <c r="K583" s="9">
        <v>20.23</v>
      </c>
      <c r="L583" t="s">
        <v>9</v>
      </c>
      <c r="M583">
        <v>582</v>
      </c>
      <c r="N583" t="s">
        <v>34</v>
      </c>
      <c r="O583" s="3">
        <f>(Sala[[#This Row],[Hora de Salida]]-Sala[[#This Row],[Hora de llegada]])+IF(Sala[[#This Row],[Estado de la Mesa]]="Ocupada",(TEXT((15/(60*24)),"h:mm")),(TEXT(0,"h:mm")))</f>
        <v>5.6249999999999994E-2</v>
      </c>
      <c r="P583" s="43">
        <f>(SUMIF(Cocina[Número de Orden],Sala[[#This Row],[Número de Orden]],Cocina[Tiempo de Preparación]))</f>
        <v>42</v>
      </c>
      <c r="Q583" s="5" t="str">
        <f>TEXT(((SUMIF(Cocina[Número de Orden],Sala[[#This Row],[Número de Orden]],Cocina[Tiempo de Preparación]))/(60*24)),"h:mm")</f>
        <v>0:42</v>
      </c>
      <c r="R583" s="3">
        <f>MAX((Sala[[#This Row],[Tiempo de permanencia]]-Sala[[#This Row],[Tiempo de preparación (h)]]),0)</f>
        <v>2.7083333333333327E-2</v>
      </c>
      <c r="S583" s="8">
        <f>SUMIF(Cocina[Número de Orden],Sala[[#This Row],[Número de Orden]],Cocina[Ganancia bruta])</f>
        <v>54</v>
      </c>
      <c r="T583" s="8">
        <f>SUMIF(Cocina[Número de Orden],Sala[[#This Row],[Número de Orden]],Cocina[Costo Unitario])</f>
        <v>16</v>
      </c>
      <c r="U583" s="2">
        <f>Sala[[#This Row],[Fecha de Salida]]</f>
        <v>45022</v>
      </c>
      <c r="V583" s="7" t="str">
        <f>TEXT(Sala[[#This Row],[Fecha factura]],"dddd")</f>
        <v>jueves</v>
      </c>
      <c r="W583" t="str">
        <f>IF(Sala[[#This Row],[Tiempo de degustación]]&gt;0,"Sí","No")</f>
        <v>Sí</v>
      </c>
      <c r="X583" t="str">
        <f>IF(Sala[[#This Row],[Cobrada]]="Sí",Sala[[#This Row],[Método de Pago]],"Impago")</f>
        <v>Tarjeta de crédito</v>
      </c>
      <c r="Y583">
        <f>IF(Sala[[#This Row],[Cobrada]]="Sí",Sala[[#This Row],[Propina]],0)</f>
        <v>20.23</v>
      </c>
      <c r="Z583">
        <f>(IF(Sala[[#This Row],[Cobrada]]="Sí",Sala[[#This Row],[Monto total]],0))+Sala[[#This Row],[Propina real]]</f>
        <v>74.23</v>
      </c>
    </row>
    <row r="584" spans="1:26" x14ac:dyDescent="0.25">
      <c r="A584">
        <v>9</v>
      </c>
      <c r="B584" t="s">
        <v>279</v>
      </c>
      <c r="C584">
        <v>2</v>
      </c>
      <c r="D584" s="2">
        <v>45022</v>
      </c>
      <c r="E584" s="3">
        <v>7.013888888888889E-2</v>
      </c>
      <c r="F584" s="2">
        <v>45022</v>
      </c>
      <c r="G584" s="3">
        <v>0.14861111111111111</v>
      </c>
      <c r="H584" s="1" t="s">
        <v>16</v>
      </c>
      <c r="I584" t="s">
        <v>25</v>
      </c>
      <c r="J584" t="s">
        <v>600</v>
      </c>
      <c r="K584" s="9">
        <v>35.99</v>
      </c>
      <c r="L584" t="s">
        <v>17</v>
      </c>
      <c r="M584">
        <v>583</v>
      </c>
      <c r="N584" t="s">
        <v>18</v>
      </c>
      <c r="O584" s="3">
        <f>(Sala[[#This Row],[Hora de Salida]]-Sala[[#This Row],[Hora de llegada]])+IF(Sala[[#This Row],[Estado de la Mesa]]="Ocupada",(TEXT((15/(60*24)),"h:mm")),(TEXT(0,"h:mm")))</f>
        <v>7.8472222222222221E-2</v>
      </c>
      <c r="P584" s="43">
        <f>(SUMIF(Cocina[Número de Orden],Sala[[#This Row],[Número de Orden]],Cocina[Tiempo de Preparación]))</f>
        <v>105</v>
      </c>
      <c r="Q584" s="5" t="str">
        <f>TEXT(((SUMIF(Cocina[Número de Orden],Sala[[#This Row],[Número de Orden]],Cocina[Tiempo de Preparación]))/(60*24)),"h:mm")</f>
        <v>1:45</v>
      </c>
      <c r="R584" s="3">
        <f>MAX((Sala[[#This Row],[Tiempo de permanencia]]-Sala[[#This Row],[Tiempo de preparación (h)]]),0)</f>
        <v>5.5555555555555497E-3</v>
      </c>
      <c r="S584" s="8">
        <f>SUMIF(Cocina[Número de Orden],Sala[[#This Row],[Número de Orden]],Cocina[Ganancia bruta])</f>
        <v>243</v>
      </c>
      <c r="T584" s="8">
        <f>SUMIF(Cocina[Número de Orden],Sala[[#This Row],[Número de Orden]],Cocina[Costo Unitario])</f>
        <v>60</v>
      </c>
      <c r="U584" s="2">
        <f>Sala[[#This Row],[Fecha de Salida]]</f>
        <v>45022</v>
      </c>
      <c r="V584" s="7" t="str">
        <f>TEXT(Sala[[#This Row],[Fecha factura]],"dddd")</f>
        <v>jueves</v>
      </c>
      <c r="W584" t="str">
        <f>IF(Sala[[#This Row],[Tiempo de degustación]]&gt;0,"Sí","No")</f>
        <v>Sí</v>
      </c>
      <c r="X584" t="str">
        <f>IF(Sala[[#This Row],[Cobrada]]="Sí",Sala[[#This Row],[Método de Pago]],"Impago")</f>
        <v>Tarjeta de débito</v>
      </c>
      <c r="Y584">
        <f>IF(Sala[[#This Row],[Cobrada]]="Sí",Sala[[#This Row],[Propina]],0)</f>
        <v>35.99</v>
      </c>
      <c r="Z584">
        <f>(IF(Sala[[#This Row],[Cobrada]]="Sí",Sala[[#This Row],[Monto total]],0))+Sala[[#This Row],[Propina real]]</f>
        <v>278.99</v>
      </c>
    </row>
    <row r="585" spans="1:26" x14ac:dyDescent="0.25">
      <c r="A585">
        <v>9</v>
      </c>
      <c r="B585" t="s">
        <v>502</v>
      </c>
      <c r="C585">
        <v>4</v>
      </c>
      <c r="D585" s="2">
        <v>45022</v>
      </c>
      <c r="E585" s="3">
        <v>0.14930555555555555</v>
      </c>
      <c r="F585" s="2">
        <v>45022</v>
      </c>
      <c r="G585" s="3">
        <v>0.29097222222222224</v>
      </c>
      <c r="H585" s="1" t="s">
        <v>7</v>
      </c>
      <c r="I585" t="s">
        <v>8</v>
      </c>
      <c r="J585" t="s">
        <v>600</v>
      </c>
      <c r="K585" s="9">
        <v>36.979999999999997</v>
      </c>
      <c r="L585" t="s">
        <v>9</v>
      </c>
      <c r="M585">
        <v>584</v>
      </c>
      <c r="N585" t="s">
        <v>47</v>
      </c>
      <c r="O585" s="3">
        <f>(Sala[[#This Row],[Hora de Salida]]-Sala[[#This Row],[Hora de llegada]])+IF(Sala[[#This Row],[Estado de la Mesa]]="Ocupada",(TEXT((15/(60*24)),"h:mm")),(TEXT(0,"h:mm")))</f>
        <v>0.14166666666666669</v>
      </c>
      <c r="P585" s="43">
        <f>(SUMIF(Cocina[Número de Orden],Sala[[#This Row],[Número de Orden]],Cocina[Tiempo de Preparación]))</f>
        <v>114</v>
      </c>
      <c r="Q585" s="5" t="str">
        <f>TEXT(((SUMIF(Cocina[Número de Orden],Sala[[#This Row],[Número de Orden]],Cocina[Tiempo de Preparación]))/(60*24)),"h:mm")</f>
        <v>1:54</v>
      </c>
      <c r="R585" s="3">
        <f>MAX((Sala[[#This Row],[Tiempo de permanencia]]-Sala[[#This Row],[Tiempo de preparación (h)]]),0)</f>
        <v>6.2500000000000028E-2</v>
      </c>
      <c r="S585" s="8">
        <f>SUMIF(Cocina[Número de Orden],Sala[[#This Row],[Número de Orden]],Cocina[Ganancia bruta])</f>
        <v>139</v>
      </c>
      <c r="T585" s="8">
        <f>SUMIF(Cocina[Número de Orden],Sala[[#This Row],[Número de Orden]],Cocina[Costo Unitario])</f>
        <v>48</v>
      </c>
      <c r="U585" s="2">
        <f>Sala[[#This Row],[Fecha de Salida]]</f>
        <v>45022</v>
      </c>
      <c r="V585" s="7" t="str">
        <f>TEXT(Sala[[#This Row],[Fecha factura]],"dddd")</f>
        <v>jueves</v>
      </c>
      <c r="W585" t="str">
        <f>IF(Sala[[#This Row],[Tiempo de degustación]]&gt;0,"Sí","No")</f>
        <v>Sí</v>
      </c>
      <c r="X585" t="str">
        <f>IF(Sala[[#This Row],[Cobrada]]="Sí",Sala[[#This Row],[Método de Pago]],"Impago")</f>
        <v>Tarjeta de débito</v>
      </c>
      <c r="Y585">
        <f>IF(Sala[[#This Row],[Cobrada]]="Sí",Sala[[#This Row],[Propina]],0)</f>
        <v>36.979999999999997</v>
      </c>
      <c r="Z585">
        <f>(IF(Sala[[#This Row],[Cobrada]]="Sí",Sala[[#This Row],[Monto total]],0))+Sala[[#This Row],[Propina real]]</f>
        <v>175.98</v>
      </c>
    </row>
    <row r="586" spans="1:26" x14ac:dyDescent="0.25">
      <c r="A586">
        <v>3</v>
      </c>
      <c r="B586" t="s">
        <v>434</v>
      </c>
      <c r="C586">
        <v>5</v>
      </c>
      <c r="D586" s="2">
        <v>45022</v>
      </c>
      <c r="E586" s="3">
        <v>5.7638888888888892E-2</v>
      </c>
      <c r="F586" s="2">
        <v>45022</v>
      </c>
      <c r="G586" s="3">
        <v>0.10902777777777778</v>
      </c>
      <c r="H586" s="1" t="s">
        <v>7</v>
      </c>
      <c r="I586" t="s">
        <v>12</v>
      </c>
      <c r="J586" t="s">
        <v>601</v>
      </c>
      <c r="K586" s="9">
        <v>10.07</v>
      </c>
      <c r="L586" t="s">
        <v>17</v>
      </c>
      <c r="M586">
        <v>585</v>
      </c>
      <c r="N586" t="s">
        <v>44</v>
      </c>
      <c r="O586" s="3">
        <f>(Sala[[#This Row],[Hora de Salida]]-Sala[[#This Row],[Hora de llegada]])+IF(Sala[[#This Row],[Estado de la Mesa]]="Ocupada",(TEXT((15/(60*24)),"h:mm")),(TEXT(0,"h:mm")))</f>
        <v>5.1388888888888887E-2</v>
      </c>
      <c r="P586" s="43">
        <f>(SUMIF(Cocina[Número de Orden],Sala[[#This Row],[Número de Orden]],Cocina[Tiempo de Preparación]))</f>
        <v>95</v>
      </c>
      <c r="Q586" s="5" t="str">
        <f>TEXT(((SUMIF(Cocina[Número de Orden],Sala[[#This Row],[Número de Orden]],Cocina[Tiempo de Preparación]))/(60*24)),"h:mm")</f>
        <v>1:35</v>
      </c>
      <c r="R586" s="3">
        <f>MAX((Sala[[#This Row],[Tiempo de permanencia]]-Sala[[#This Row],[Tiempo de preparación (h)]]),0)</f>
        <v>0</v>
      </c>
      <c r="S586" s="8">
        <f>SUMIF(Cocina[Número de Orden],Sala[[#This Row],[Número de Orden]],Cocina[Ganancia bruta])</f>
        <v>128</v>
      </c>
      <c r="T586" s="8">
        <f>SUMIF(Cocina[Número de Orden],Sala[[#This Row],[Número de Orden]],Cocina[Costo Unitario])</f>
        <v>65</v>
      </c>
      <c r="U586" s="2">
        <f>Sala[[#This Row],[Fecha de Salida]]</f>
        <v>45022</v>
      </c>
      <c r="V586" s="7" t="str">
        <f>TEXT(Sala[[#This Row],[Fecha factura]],"dddd")</f>
        <v>jueves</v>
      </c>
      <c r="W586" t="str">
        <f>IF(Sala[[#This Row],[Tiempo de degustación]]&gt;0,"Sí","No")</f>
        <v>No</v>
      </c>
      <c r="X586" t="str">
        <f>IF(Sala[[#This Row],[Cobrada]]="Sí",Sala[[#This Row],[Método de Pago]],"Impago")</f>
        <v>Impago</v>
      </c>
      <c r="Y586">
        <f>IF(Sala[[#This Row],[Cobrada]]="Sí",Sala[[#This Row],[Propina]],0)</f>
        <v>0</v>
      </c>
      <c r="Z586">
        <f>(IF(Sala[[#This Row],[Cobrada]]="Sí",Sala[[#This Row],[Monto total]],0))+Sala[[#This Row],[Propina real]]</f>
        <v>0</v>
      </c>
    </row>
    <row r="587" spans="1:26" x14ac:dyDescent="0.25">
      <c r="A587">
        <v>17</v>
      </c>
      <c r="B587" t="s">
        <v>503</v>
      </c>
      <c r="C587">
        <v>5</v>
      </c>
      <c r="D587" s="2">
        <v>45022</v>
      </c>
      <c r="E587" s="3">
        <v>3.0555555555555555E-2</v>
      </c>
      <c r="F587" s="2">
        <v>45022</v>
      </c>
      <c r="G587" s="3">
        <v>0.16319444444444445</v>
      </c>
      <c r="H587" s="1" t="s">
        <v>7</v>
      </c>
      <c r="I587" t="s">
        <v>25</v>
      </c>
      <c r="J587" t="s">
        <v>13</v>
      </c>
      <c r="K587" s="9">
        <v>32.79</v>
      </c>
      <c r="L587" t="s">
        <v>28</v>
      </c>
      <c r="M587">
        <v>586</v>
      </c>
      <c r="N587" t="s">
        <v>29</v>
      </c>
      <c r="O587" s="3">
        <f>(Sala[[#This Row],[Hora de Salida]]-Sala[[#This Row],[Hora de llegada]])+IF(Sala[[#This Row],[Estado de la Mesa]]="Ocupada",(TEXT((15/(60*24)),"h:mm")),(TEXT(0,"h:mm")))</f>
        <v>0.14305555555555555</v>
      </c>
      <c r="P587" s="43">
        <f>(SUMIF(Cocina[Número de Orden],Sala[[#This Row],[Número de Orden]],Cocina[Tiempo de Preparación]))</f>
        <v>92</v>
      </c>
      <c r="Q587" s="5" t="str">
        <f>TEXT(((SUMIF(Cocina[Número de Orden],Sala[[#This Row],[Número de Orden]],Cocina[Tiempo de Preparación]))/(60*24)),"h:mm")</f>
        <v>1:32</v>
      </c>
      <c r="R587" s="3">
        <f>MAX((Sala[[#This Row],[Tiempo de permanencia]]-Sala[[#This Row],[Tiempo de preparación (h)]]),0)</f>
        <v>7.9166666666666663E-2</v>
      </c>
      <c r="S587" s="8">
        <f>SUMIF(Cocina[Número de Orden],Sala[[#This Row],[Número de Orden]],Cocina[Ganancia bruta])</f>
        <v>171</v>
      </c>
      <c r="T587" s="8">
        <f>SUMIF(Cocina[Número de Orden],Sala[[#This Row],[Número de Orden]],Cocina[Costo Unitario])</f>
        <v>34</v>
      </c>
      <c r="U587" s="2">
        <f>Sala[[#This Row],[Fecha de Salida]]</f>
        <v>45022</v>
      </c>
      <c r="V587" s="7" t="str">
        <f>TEXT(Sala[[#This Row],[Fecha factura]],"dddd")</f>
        <v>jueves</v>
      </c>
      <c r="W587" t="str">
        <f>IF(Sala[[#This Row],[Tiempo de degustación]]&gt;0,"Sí","No")</f>
        <v>Sí</v>
      </c>
      <c r="X587" t="str">
        <f>IF(Sala[[#This Row],[Cobrada]]="Sí",Sala[[#This Row],[Método de Pago]],"Impago")</f>
        <v>Efectivo</v>
      </c>
      <c r="Y587">
        <f>IF(Sala[[#This Row],[Cobrada]]="Sí",Sala[[#This Row],[Propina]],0)</f>
        <v>32.79</v>
      </c>
      <c r="Z587">
        <f>(IF(Sala[[#This Row],[Cobrada]]="Sí",Sala[[#This Row],[Monto total]],0))+Sala[[#This Row],[Propina real]]</f>
        <v>203.79</v>
      </c>
    </row>
    <row r="588" spans="1:26" x14ac:dyDescent="0.25">
      <c r="A588">
        <v>7</v>
      </c>
      <c r="B588" t="s">
        <v>504</v>
      </c>
      <c r="C588">
        <v>4</v>
      </c>
      <c r="D588" s="2">
        <v>45022</v>
      </c>
      <c r="E588" s="3">
        <v>0.15138888888888888</v>
      </c>
      <c r="F588" s="2">
        <v>45022</v>
      </c>
      <c r="G588" s="3">
        <v>0.19583333333333333</v>
      </c>
      <c r="H588" s="1" t="s">
        <v>7</v>
      </c>
      <c r="I588" t="s">
        <v>12</v>
      </c>
      <c r="J588" t="s">
        <v>601</v>
      </c>
      <c r="K588" s="9">
        <v>35.03</v>
      </c>
      <c r="L588" t="s">
        <v>28</v>
      </c>
      <c r="M588">
        <v>587</v>
      </c>
      <c r="N588" t="s">
        <v>34</v>
      </c>
      <c r="O588" s="3">
        <f>(Sala[[#This Row],[Hora de Salida]]-Sala[[#This Row],[Hora de llegada]])+IF(Sala[[#This Row],[Estado de la Mesa]]="Ocupada",(TEXT((15/(60*24)),"h:mm")),(TEXT(0,"h:mm")))</f>
        <v>5.4861111111111117E-2</v>
      </c>
      <c r="P588" s="43">
        <f>(SUMIF(Cocina[Número de Orden],Sala[[#This Row],[Número de Orden]],Cocina[Tiempo de Preparación]))</f>
        <v>43</v>
      </c>
      <c r="Q588" s="5" t="str">
        <f>TEXT(((SUMIF(Cocina[Número de Orden],Sala[[#This Row],[Número de Orden]],Cocina[Tiempo de Preparación]))/(60*24)),"h:mm")</f>
        <v>0:43</v>
      </c>
      <c r="R588" s="3">
        <f>MAX((Sala[[#This Row],[Tiempo de permanencia]]-Sala[[#This Row],[Tiempo de preparación (h)]]),0)</f>
        <v>2.5000000000000005E-2</v>
      </c>
      <c r="S588" s="8">
        <f>SUMIF(Cocina[Número de Orden],Sala[[#This Row],[Número de Orden]],Cocina[Ganancia bruta])</f>
        <v>48</v>
      </c>
      <c r="T588" s="8">
        <f>SUMIF(Cocina[Número de Orden],Sala[[#This Row],[Número de Orden]],Cocina[Costo Unitario])</f>
        <v>14</v>
      </c>
      <c r="U588" s="2">
        <f>Sala[[#This Row],[Fecha de Salida]]</f>
        <v>45022</v>
      </c>
      <c r="V588" s="7" t="str">
        <f>TEXT(Sala[[#This Row],[Fecha factura]],"dddd")</f>
        <v>jueves</v>
      </c>
      <c r="W588" t="str">
        <f>IF(Sala[[#This Row],[Tiempo de degustación]]&gt;0,"Sí","No")</f>
        <v>Sí</v>
      </c>
      <c r="X588" t="str">
        <f>IF(Sala[[#This Row],[Cobrada]]="Sí",Sala[[#This Row],[Método de Pago]],"Impago")</f>
        <v>Tarjeta de crédito</v>
      </c>
      <c r="Y588">
        <f>IF(Sala[[#This Row],[Cobrada]]="Sí",Sala[[#This Row],[Propina]],0)</f>
        <v>35.03</v>
      </c>
      <c r="Z588">
        <f>(IF(Sala[[#This Row],[Cobrada]]="Sí",Sala[[#This Row],[Monto total]],0))+Sala[[#This Row],[Propina real]]</f>
        <v>83.03</v>
      </c>
    </row>
    <row r="589" spans="1:26" x14ac:dyDescent="0.25">
      <c r="A589">
        <v>15</v>
      </c>
      <c r="B589" t="s">
        <v>488</v>
      </c>
      <c r="C589">
        <v>2</v>
      </c>
      <c r="D589" s="2">
        <v>45022</v>
      </c>
      <c r="E589" s="3">
        <v>9.7222222222222224E-2</v>
      </c>
      <c r="F589" s="2">
        <v>45022</v>
      </c>
      <c r="G589" s="3">
        <v>0.24861111111111112</v>
      </c>
      <c r="H589" s="1" t="s">
        <v>7</v>
      </c>
      <c r="I589" t="s">
        <v>25</v>
      </c>
      <c r="J589" t="s">
        <v>13</v>
      </c>
      <c r="K589" s="9">
        <v>33.93</v>
      </c>
      <c r="L589" t="s">
        <v>17</v>
      </c>
      <c r="M589">
        <v>588</v>
      </c>
      <c r="N589" t="s">
        <v>21</v>
      </c>
      <c r="O589" s="3">
        <f>(Sala[[#This Row],[Hora de Salida]]-Sala[[#This Row],[Hora de llegada]])+IF(Sala[[#This Row],[Estado de la Mesa]]="Ocupada",(TEXT((15/(60*24)),"h:mm")),(TEXT(0,"h:mm")))</f>
        <v>0.15138888888888891</v>
      </c>
      <c r="P589" s="43">
        <f>(SUMIF(Cocina[Número de Orden],Sala[[#This Row],[Número de Orden]],Cocina[Tiempo de Preparación]))</f>
        <v>37</v>
      </c>
      <c r="Q589" s="5" t="str">
        <f>TEXT(((SUMIF(Cocina[Número de Orden],Sala[[#This Row],[Número de Orden]],Cocina[Tiempo de Preparación]))/(60*24)),"h:mm")</f>
        <v>0:37</v>
      </c>
      <c r="R589" s="3">
        <f>MAX((Sala[[#This Row],[Tiempo de permanencia]]-Sala[[#This Row],[Tiempo de preparación (h)]]),0)</f>
        <v>0.12569444444444447</v>
      </c>
      <c r="S589" s="8">
        <f>SUMIF(Cocina[Número de Orden],Sala[[#This Row],[Número de Orden]],Cocina[Ganancia bruta])</f>
        <v>101</v>
      </c>
      <c r="T589" s="8">
        <f>SUMIF(Cocina[Número de Orden],Sala[[#This Row],[Número de Orden]],Cocina[Costo Unitario])</f>
        <v>30</v>
      </c>
      <c r="U589" s="2">
        <f>Sala[[#This Row],[Fecha de Salida]]</f>
        <v>45022</v>
      </c>
      <c r="V589" s="7" t="str">
        <f>TEXT(Sala[[#This Row],[Fecha factura]],"dddd")</f>
        <v>jueves</v>
      </c>
      <c r="W589" t="str">
        <f>IF(Sala[[#This Row],[Tiempo de degustación]]&gt;0,"Sí","No")</f>
        <v>Sí</v>
      </c>
      <c r="X589" t="str">
        <f>IF(Sala[[#This Row],[Cobrada]]="Sí",Sala[[#This Row],[Método de Pago]],"Impago")</f>
        <v>Efectivo</v>
      </c>
      <c r="Y589">
        <f>IF(Sala[[#This Row],[Cobrada]]="Sí",Sala[[#This Row],[Propina]],0)</f>
        <v>33.93</v>
      </c>
      <c r="Z589">
        <f>(IF(Sala[[#This Row],[Cobrada]]="Sí",Sala[[#This Row],[Monto total]],0))+Sala[[#This Row],[Propina real]]</f>
        <v>134.93</v>
      </c>
    </row>
    <row r="590" spans="1:26" x14ac:dyDescent="0.25">
      <c r="A590">
        <v>10</v>
      </c>
      <c r="B590" t="s">
        <v>505</v>
      </c>
      <c r="C590">
        <v>4</v>
      </c>
      <c r="D590" s="2">
        <v>45022</v>
      </c>
      <c r="E590" s="3">
        <v>0.13472222222222222</v>
      </c>
      <c r="F590" s="2">
        <v>45022</v>
      </c>
      <c r="G590" s="3">
        <v>0.24791666666666667</v>
      </c>
      <c r="H590" s="1" t="s">
        <v>23</v>
      </c>
      <c r="I590" t="s">
        <v>8</v>
      </c>
      <c r="J590" t="s">
        <v>600</v>
      </c>
      <c r="K590" s="9">
        <v>28.96</v>
      </c>
      <c r="L590" t="s">
        <v>17</v>
      </c>
      <c r="M590">
        <v>589</v>
      </c>
      <c r="N590" t="s">
        <v>34</v>
      </c>
      <c r="O590" s="3">
        <f>(Sala[[#This Row],[Hora de Salida]]-Sala[[#This Row],[Hora de llegada]])+IF(Sala[[#This Row],[Estado de la Mesa]]="Ocupada",(TEXT((15/(60*24)),"h:mm")),(TEXT(0,"h:mm")))</f>
        <v>0.11319444444444446</v>
      </c>
      <c r="P590" s="43">
        <f>(SUMIF(Cocina[Número de Orden],Sala[[#This Row],[Número de Orden]],Cocina[Tiempo de Preparación]))</f>
        <v>120</v>
      </c>
      <c r="Q590" s="5" t="str">
        <f>TEXT(((SUMIF(Cocina[Número de Orden],Sala[[#This Row],[Número de Orden]],Cocina[Tiempo de Preparación]))/(60*24)),"h:mm")</f>
        <v>2:00</v>
      </c>
      <c r="R590" s="3">
        <f>MAX((Sala[[#This Row],[Tiempo de permanencia]]-Sala[[#This Row],[Tiempo de preparación (h)]]),0)</f>
        <v>2.986111111111113E-2</v>
      </c>
      <c r="S590" s="8">
        <f>SUMIF(Cocina[Número de Orden],Sala[[#This Row],[Número de Orden]],Cocina[Ganancia bruta])</f>
        <v>284</v>
      </c>
      <c r="T590" s="8">
        <f>SUMIF(Cocina[Número de Orden],Sala[[#This Row],[Número de Orden]],Cocina[Costo Unitario])</f>
        <v>66</v>
      </c>
      <c r="U590" s="2">
        <f>Sala[[#This Row],[Fecha de Salida]]</f>
        <v>45022</v>
      </c>
      <c r="V590" s="7" t="str">
        <f>TEXT(Sala[[#This Row],[Fecha factura]],"dddd")</f>
        <v>jueves</v>
      </c>
      <c r="W590" t="str">
        <f>IF(Sala[[#This Row],[Tiempo de degustación]]&gt;0,"Sí","No")</f>
        <v>Sí</v>
      </c>
      <c r="X590" t="str">
        <f>IF(Sala[[#This Row],[Cobrada]]="Sí",Sala[[#This Row],[Método de Pago]],"Impago")</f>
        <v>Tarjeta de débito</v>
      </c>
      <c r="Y590">
        <f>IF(Sala[[#This Row],[Cobrada]]="Sí",Sala[[#This Row],[Propina]],0)</f>
        <v>28.96</v>
      </c>
      <c r="Z590">
        <f>(IF(Sala[[#This Row],[Cobrada]]="Sí",Sala[[#This Row],[Monto total]],0))+Sala[[#This Row],[Propina real]]</f>
        <v>312.95999999999998</v>
      </c>
    </row>
    <row r="591" spans="1:26" x14ac:dyDescent="0.25">
      <c r="A591">
        <v>3</v>
      </c>
      <c r="B591" t="s">
        <v>246</v>
      </c>
      <c r="C591">
        <v>6</v>
      </c>
      <c r="D591" s="2">
        <v>45022</v>
      </c>
      <c r="E591" s="3">
        <v>0.11458333333333333</v>
      </c>
      <c r="F591" s="2">
        <v>45022</v>
      </c>
      <c r="G591" s="3">
        <v>0.18541666666666667</v>
      </c>
      <c r="H591" s="1" t="s">
        <v>16</v>
      </c>
      <c r="I591" t="s">
        <v>12</v>
      </c>
      <c r="J591" t="s">
        <v>601</v>
      </c>
      <c r="K591" s="9">
        <v>40.94</v>
      </c>
      <c r="L591" t="s">
        <v>28</v>
      </c>
      <c r="M591">
        <v>590</v>
      </c>
      <c r="N591" t="s">
        <v>29</v>
      </c>
      <c r="O591" s="3">
        <f>(Sala[[#This Row],[Hora de Salida]]-Sala[[#This Row],[Hora de llegada]])+IF(Sala[[#This Row],[Estado de la Mesa]]="Ocupada",(TEXT((15/(60*24)),"h:mm")),(TEXT(0,"h:mm")))</f>
        <v>8.1250000000000017E-2</v>
      </c>
      <c r="P591" s="43">
        <f>(SUMIF(Cocina[Número de Orden],Sala[[#This Row],[Número de Orden]],Cocina[Tiempo de Preparación]))</f>
        <v>64</v>
      </c>
      <c r="Q591" s="5" t="str">
        <f>TEXT(((SUMIF(Cocina[Número de Orden],Sala[[#This Row],[Número de Orden]],Cocina[Tiempo de Preparación]))/(60*24)),"h:mm")</f>
        <v>1:04</v>
      </c>
      <c r="R591" s="3">
        <f>MAX((Sala[[#This Row],[Tiempo de permanencia]]-Sala[[#This Row],[Tiempo de preparación (h)]]),0)</f>
        <v>3.6805555555555571E-2</v>
      </c>
      <c r="S591" s="8">
        <f>SUMIF(Cocina[Número de Orden],Sala[[#This Row],[Número de Orden]],Cocina[Ganancia bruta])</f>
        <v>122</v>
      </c>
      <c r="T591" s="8">
        <f>SUMIF(Cocina[Número de Orden],Sala[[#This Row],[Número de Orden]],Cocina[Costo Unitario])</f>
        <v>32</v>
      </c>
      <c r="U591" s="2">
        <f>Sala[[#This Row],[Fecha de Salida]]</f>
        <v>45022</v>
      </c>
      <c r="V591" s="7" t="str">
        <f>TEXT(Sala[[#This Row],[Fecha factura]],"dddd")</f>
        <v>jueves</v>
      </c>
      <c r="W591" t="str">
        <f>IF(Sala[[#This Row],[Tiempo de degustación]]&gt;0,"Sí","No")</f>
        <v>Sí</v>
      </c>
      <c r="X591" t="str">
        <f>IF(Sala[[#This Row],[Cobrada]]="Sí",Sala[[#This Row],[Método de Pago]],"Impago")</f>
        <v>Tarjeta de crédito</v>
      </c>
      <c r="Y591">
        <f>IF(Sala[[#This Row],[Cobrada]]="Sí",Sala[[#This Row],[Propina]],0)</f>
        <v>40.94</v>
      </c>
      <c r="Z591">
        <f>(IF(Sala[[#This Row],[Cobrada]]="Sí",Sala[[#This Row],[Monto total]],0))+Sala[[#This Row],[Propina real]]</f>
        <v>162.94</v>
      </c>
    </row>
    <row r="592" spans="1:26" x14ac:dyDescent="0.25">
      <c r="A592">
        <v>11</v>
      </c>
      <c r="B592" t="s">
        <v>506</v>
      </c>
      <c r="C592">
        <v>6</v>
      </c>
      <c r="D592" s="2">
        <v>45022</v>
      </c>
      <c r="E592" s="3">
        <v>0.15555555555555556</v>
      </c>
      <c r="F592" s="2">
        <v>45022</v>
      </c>
      <c r="G592" s="3">
        <v>0.26319444444444445</v>
      </c>
      <c r="H592" s="1" t="s">
        <v>7</v>
      </c>
      <c r="I592" t="s">
        <v>12</v>
      </c>
      <c r="J592" t="s">
        <v>601</v>
      </c>
      <c r="K592" s="9">
        <v>44.33</v>
      </c>
      <c r="L592" t="s">
        <v>17</v>
      </c>
      <c r="M592">
        <v>591</v>
      </c>
      <c r="N592" t="s">
        <v>32</v>
      </c>
      <c r="O592" s="3">
        <f>(Sala[[#This Row],[Hora de Salida]]-Sala[[#This Row],[Hora de llegada]])+IF(Sala[[#This Row],[Estado de la Mesa]]="Ocupada",(TEXT((15/(60*24)),"h:mm")),(TEXT(0,"h:mm")))</f>
        <v>0.1076388888888889</v>
      </c>
      <c r="P592" s="43">
        <f>(SUMIF(Cocina[Número de Orden],Sala[[#This Row],[Número de Orden]],Cocina[Tiempo de Preparación]))</f>
        <v>51</v>
      </c>
      <c r="Q592" s="5" t="str">
        <f>TEXT(((SUMIF(Cocina[Número de Orden],Sala[[#This Row],[Número de Orden]],Cocina[Tiempo de Preparación]))/(60*24)),"h:mm")</f>
        <v>0:51</v>
      </c>
      <c r="R592" s="3">
        <f>MAX((Sala[[#This Row],[Tiempo de permanencia]]-Sala[[#This Row],[Tiempo de preparación (h)]]),0)</f>
        <v>7.2222222222222229E-2</v>
      </c>
      <c r="S592" s="8">
        <f>SUMIF(Cocina[Número de Orden],Sala[[#This Row],[Número de Orden]],Cocina[Ganancia bruta])</f>
        <v>120</v>
      </c>
      <c r="T592" s="8">
        <f>SUMIF(Cocina[Número de Orden],Sala[[#This Row],[Número de Orden]],Cocina[Costo Unitario])</f>
        <v>25</v>
      </c>
      <c r="U592" s="2">
        <f>Sala[[#This Row],[Fecha de Salida]]</f>
        <v>45022</v>
      </c>
      <c r="V592" s="7" t="str">
        <f>TEXT(Sala[[#This Row],[Fecha factura]],"dddd")</f>
        <v>jueves</v>
      </c>
      <c r="W592" t="str">
        <f>IF(Sala[[#This Row],[Tiempo de degustación]]&gt;0,"Sí","No")</f>
        <v>Sí</v>
      </c>
      <c r="X592" t="str">
        <f>IF(Sala[[#This Row],[Cobrada]]="Sí",Sala[[#This Row],[Método de Pago]],"Impago")</f>
        <v>Tarjeta de crédito</v>
      </c>
      <c r="Y592">
        <f>IF(Sala[[#This Row],[Cobrada]]="Sí",Sala[[#This Row],[Propina]],0)</f>
        <v>44.33</v>
      </c>
      <c r="Z592">
        <f>(IF(Sala[[#This Row],[Cobrada]]="Sí",Sala[[#This Row],[Monto total]],0))+Sala[[#This Row],[Propina real]]</f>
        <v>164.32999999999998</v>
      </c>
    </row>
    <row r="593" spans="1:26" x14ac:dyDescent="0.25">
      <c r="A593">
        <v>5</v>
      </c>
      <c r="B593" t="s">
        <v>507</v>
      </c>
      <c r="C593">
        <v>1</v>
      </c>
      <c r="D593" s="2">
        <v>45022</v>
      </c>
      <c r="E593" s="3">
        <v>3.3333333333333333E-2</v>
      </c>
      <c r="F593" s="2">
        <v>45022</v>
      </c>
      <c r="G593" s="3">
        <v>0.1111111111111111</v>
      </c>
      <c r="H593" s="1" t="s">
        <v>16</v>
      </c>
      <c r="I593" t="s">
        <v>8</v>
      </c>
      <c r="J593" t="s">
        <v>601</v>
      </c>
      <c r="K593" s="9">
        <v>35.67</v>
      </c>
      <c r="L593" t="s">
        <v>9</v>
      </c>
      <c r="M593">
        <v>592</v>
      </c>
      <c r="N593" t="s">
        <v>44</v>
      </c>
      <c r="O593" s="3">
        <f>(Sala[[#This Row],[Hora de Salida]]-Sala[[#This Row],[Hora de llegada]])+IF(Sala[[#This Row],[Estado de la Mesa]]="Ocupada",(TEXT((15/(60*24)),"h:mm")),(TEXT(0,"h:mm")))</f>
        <v>7.7777777777777779E-2</v>
      </c>
      <c r="P593" s="43">
        <f>(SUMIF(Cocina[Número de Orden],Sala[[#This Row],[Número de Orden]],Cocina[Tiempo de Preparación]))</f>
        <v>101</v>
      </c>
      <c r="Q593" s="5" t="str">
        <f>TEXT(((SUMIF(Cocina[Número de Orden],Sala[[#This Row],[Número de Orden]],Cocina[Tiempo de Preparación]))/(60*24)),"h:mm")</f>
        <v>1:41</v>
      </c>
      <c r="R593" s="3">
        <f>MAX((Sala[[#This Row],[Tiempo de permanencia]]-Sala[[#This Row],[Tiempo de preparación (h)]]),0)</f>
        <v>7.6388888888888895E-3</v>
      </c>
      <c r="S593" s="8">
        <f>SUMIF(Cocina[Número de Orden],Sala[[#This Row],[Número de Orden]],Cocina[Ganancia bruta])</f>
        <v>94</v>
      </c>
      <c r="T593" s="8">
        <f>SUMIF(Cocina[Número de Orden],Sala[[#This Row],[Número de Orden]],Cocina[Costo Unitario])</f>
        <v>28</v>
      </c>
      <c r="U593" s="2">
        <f>Sala[[#This Row],[Fecha de Salida]]</f>
        <v>45022</v>
      </c>
      <c r="V593" s="7" t="str">
        <f>TEXT(Sala[[#This Row],[Fecha factura]],"dddd")</f>
        <v>jueves</v>
      </c>
      <c r="W593" t="str">
        <f>IF(Sala[[#This Row],[Tiempo de degustación]]&gt;0,"Sí","No")</f>
        <v>Sí</v>
      </c>
      <c r="X593" t="str">
        <f>IF(Sala[[#This Row],[Cobrada]]="Sí",Sala[[#This Row],[Método de Pago]],"Impago")</f>
        <v>Tarjeta de crédito</v>
      </c>
      <c r="Y593">
        <f>IF(Sala[[#This Row],[Cobrada]]="Sí",Sala[[#This Row],[Propina]],0)</f>
        <v>35.67</v>
      </c>
      <c r="Z593">
        <f>(IF(Sala[[#This Row],[Cobrada]]="Sí",Sala[[#This Row],[Monto total]],0))+Sala[[#This Row],[Propina real]]</f>
        <v>129.67000000000002</v>
      </c>
    </row>
    <row r="594" spans="1:26" x14ac:dyDescent="0.25">
      <c r="A594">
        <v>17</v>
      </c>
      <c r="B594" t="s">
        <v>508</v>
      </c>
      <c r="C594">
        <v>5</v>
      </c>
      <c r="D594" s="2">
        <v>45022</v>
      </c>
      <c r="E594" s="3">
        <v>1.7361111111111112E-2</v>
      </c>
      <c r="F594" s="2">
        <v>45022</v>
      </c>
      <c r="G594" s="3">
        <v>9.5138888888888884E-2</v>
      </c>
      <c r="H594" s="1" t="s">
        <v>23</v>
      </c>
      <c r="I594" t="s">
        <v>8</v>
      </c>
      <c r="J594" t="s">
        <v>600</v>
      </c>
      <c r="K594" s="9">
        <v>48.8</v>
      </c>
      <c r="L594" t="s">
        <v>9</v>
      </c>
      <c r="M594">
        <v>593</v>
      </c>
      <c r="N594" t="s">
        <v>594</v>
      </c>
      <c r="O594" s="3">
        <f>(Sala[[#This Row],[Hora de Salida]]-Sala[[#This Row],[Hora de llegada]])+IF(Sala[[#This Row],[Estado de la Mesa]]="Ocupada",(TEXT((15/(60*24)),"h:mm")),(TEXT(0,"h:mm")))</f>
        <v>7.7777777777777779E-2</v>
      </c>
      <c r="P594" s="43">
        <f>(SUMIF(Cocina[Número de Orden],Sala[[#This Row],[Número de Orden]],Cocina[Tiempo de Preparación]))</f>
        <v>48</v>
      </c>
      <c r="Q594" s="5" t="str">
        <f>TEXT(((SUMIF(Cocina[Número de Orden],Sala[[#This Row],[Número de Orden]],Cocina[Tiempo de Preparación]))/(60*24)),"h:mm")</f>
        <v>0:48</v>
      </c>
      <c r="R594" s="3">
        <f>MAX((Sala[[#This Row],[Tiempo de permanencia]]-Sala[[#This Row],[Tiempo de preparación (h)]]),0)</f>
        <v>4.4444444444444446E-2</v>
      </c>
      <c r="S594" s="8">
        <f>SUMIF(Cocina[Número de Orden],Sala[[#This Row],[Número de Orden]],Cocina[Ganancia bruta])</f>
        <v>209</v>
      </c>
      <c r="T594" s="8">
        <f>SUMIF(Cocina[Número de Orden],Sala[[#This Row],[Número de Orden]],Cocina[Costo Unitario])</f>
        <v>86</v>
      </c>
      <c r="U594" s="2">
        <f>Sala[[#This Row],[Fecha de Salida]]</f>
        <v>45022</v>
      </c>
      <c r="V594" s="7" t="str">
        <f>TEXT(Sala[[#This Row],[Fecha factura]],"dddd")</f>
        <v>jueves</v>
      </c>
      <c r="W594" t="str">
        <f>IF(Sala[[#This Row],[Tiempo de degustación]]&gt;0,"Sí","No")</f>
        <v>Sí</v>
      </c>
      <c r="X594" t="str">
        <f>IF(Sala[[#This Row],[Cobrada]]="Sí",Sala[[#This Row],[Método de Pago]],"Impago")</f>
        <v>Tarjeta de débito</v>
      </c>
      <c r="Y594">
        <f>IF(Sala[[#This Row],[Cobrada]]="Sí",Sala[[#This Row],[Propina]],0)</f>
        <v>48.8</v>
      </c>
      <c r="Z594">
        <f>(IF(Sala[[#This Row],[Cobrada]]="Sí",Sala[[#This Row],[Monto total]],0))+Sala[[#This Row],[Propina real]]</f>
        <v>257.8</v>
      </c>
    </row>
    <row r="595" spans="1:26" x14ac:dyDescent="0.25">
      <c r="A595">
        <v>17</v>
      </c>
      <c r="B595" t="s">
        <v>509</v>
      </c>
      <c r="C595">
        <v>1</v>
      </c>
      <c r="D595" s="2">
        <v>45022</v>
      </c>
      <c r="E595" s="3">
        <v>0.1388888888888889</v>
      </c>
      <c r="F595" s="2">
        <v>45022</v>
      </c>
      <c r="G595" s="3">
        <v>0.20069444444444445</v>
      </c>
      <c r="H595" s="1" t="s">
        <v>7</v>
      </c>
      <c r="I595" t="s">
        <v>8</v>
      </c>
      <c r="J595" t="s">
        <v>600</v>
      </c>
      <c r="K595" s="9">
        <v>46.01</v>
      </c>
      <c r="L595" t="s">
        <v>17</v>
      </c>
      <c r="M595">
        <v>594</v>
      </c>
      <c r="N595" t="s">
        <v>32</v>
      </c>
      <c r="O595" s="3">
        <f>(Sala[[#This Row],[Hora de Salida]]-Sala[[#This Row],[Hora de llegada]])+IF(Sala[[#This Row],[Estado de la Mesa]]="Ocupada",(TEXT((15/(60*24)),"h:mm")),(TEXT(0,"h:mm")))</f>
        <v>6.1805555555555558E-2</v>
      </c>
      <c r="P595" s="43">
        <f>(SUMIF(Cocina[Número de Orden],Sala[[#This Row],[Número de Orden]],Cocina[Tiempo de Preparación]))</f>
        <v>98</v>
      </c>
      <c r="Q595" s="5" t="str">
        <f>TEXT(((SUMIF(Cocina[Número de Orden],Sala[[#This Row],[Número de Orden]],Cocina[Tiempo de Preparación]))/(60*24)),"h:mm")</f>
        <v>1:38</v>
      </c>
      <c r="R595" s="3">
        <f>MAX((Sala[[#This Row],[Tiempo de permanencia]]-Sala[[#This Row],[Tiempo de preparación (h)]]),0)</f>
        <v>0</v>
      </c>
      <c r="S595" s="8">
        <f>SUMIF(Cocina[Número de Orden],Sala[[#This Row],[Número de Orden]],Cocina[Ganancia bruta])</f>
        <v>139</v>
      </c>
      <c r="T595" s="8">
        <f>SUMIF(Cocina[Número de Orden],Sala[[#This Row],[Número de Orden]],Cocina[Costo Unitario])</f>
        <v>45</v>
      </c>
      <c r="U595" s="2">
        <f>Sala[[#This Row],[Fecha de Salida]]</f>
        <v>45022</v>
      </c>
      <c r="V595" s="7" t="str">
        <f>TEXT(Sala[[#This Row],[Fecha factura]],"dddd")</f>
        <v>jueves</v>
      </c>
      <c r="W595" t="str">
        <f>IF(Sala[[#This Row],[Tiempo de degustación]]&gt;0,"Sí","No")</f>
        <v>No</v>
      </c>
      <c r="X595" t="str">
        <f>IF(Sala[[#This Row],[Cobrada]]="Sí",Sala[[#This Row],[Método de Pago]],"Impago")</f>
        <v>Impago</v>
      </c>
      <c r="Y595">
        <f>IF(Sala[[#This Row],[Cobrada]]="Sí",Sala[[#This Row],[Propina]],0)</f>
        <v>0</v>
      </c>
      <c r="Z595">
        <f>(IF(Sala[[#This Row],[Cobrada]]="Sí",Sala[[#This Row],[Monto total]],0))+Sala[[#This Row],[Propina real]]</f>
        <v>0</v>
      </c>
    </row>
    <row r="596" spans="1:26" x14ac:dyDescent="0.25">
      <c r="A596">
        <v>9</v>
      </c>
      <c r="B596" t="s">
        <v>46</v>
      </c>
      <c r="C596">
        <v>5</v>
      </c>
      <c r="D596" s="2">
        <v>45022</v>
      </c>
      <c r="E596" s="3">
        <v>0.12708333333333333</v>
      </c>
      <c r="F596" s="2">
        <v>45022</v>
      </c>
      <c r="G596" s="3">
        <v>0.22708333333333333</v>
      </c>
      <c r="H596" s="1" t="s">
        <v>16</v>
      </c>
      <c r="I596" t="s">
        <v>8</v>
      </c>
      <c r="J596" t="s">
        <v>601</v>
      </c>
      <c r="K596" s="9">
        <v>40.33</v>
      </c>
      <c r="L596" t="s">
        <v>28</v>
      </c>
      <c r="M596">
        <v>595</v>
      </c>
      <c r="N596" t="s">
        <v>21</v>
      </c>
      <c r="O596" s="3">
        <f>(Sala[[#This Row],[Hora de Salida]]-Sala[[#This Row],[Hora de llegada]])+IF(Sala[[#This Row],[Estado de la Mesa]]="Ocupada",(TEXT((15/(60*24)),"h:mm")),(TEXT(0,"h:mm")))</f>
        <v>0.11041666666666668</v>
      </c>
      <c r="P596" s="43">
        <f>(SUMIF(Cocina[Número de Orden],Sala[[#This Row],[Número de Orden]],Cocina[Tiempo de Preparación]))</f>
        <v>49</v>
      </c>
      <c r="Q596" s="5" t="str">
        <f>TEXT(((SUMIF(Cocina[Número de Orden],Sala[[#This Row],[Número de Orden]],Cocina[Tiempo de Preparación]))/(60*24)),"h:mm")</f>
        <v>0:49</v>
      </c>
      <c r="R596" s="3">
        <f>MAX((Sala[[#This Row],[Tiempo de permanencia]]-Sala[[#This Row],[Tiempo de preparación (h)]]),0)</f>
        <v>7.6388888888888895E-2</v>
      </c>
      <c r="S596" s="8">
        <f>SUMIF(Cocina[Número de Orden],Sala[[#This Row],[Número de Orden]],Cocina[Ganancia bruta])</f>
        <v>72</v>
      </c>
      <c r="T596" s="8">
        <f>SUMIF(Cocina[Número de Orden],Sala[[#This Row],[Número de Orden]],Cocina[Costo Unitario])</f>
        <v>31</v>
      </c>
      <c r="U596" s="2">
        <f>Sala[[#This Row],[Fecha de Salida]]</f>
        <v>45022</v>
      </c>
      <c r="V596" s="7" t="str">
        <f>TEXT(Sala[[#This Row],[Fecha factura]],"dddd")</f>
        <v>jueves</v>
      </c>
      <c r="W596" t="str">
        <f>IF(Sala[[#This Row],[Tiempo de degustación]]&gt;0,"Sí","No")</f>
        <v>Sí</v>
      </c>
      <c r="X596" t="str">
        <f>IF(Sala[[#This Row],[Cobrada]]="Sí",Sala[[#This Row],[Método de Pago]],"Impago")</f>
        <v>Tarjeta de crédito</v>
      </c>
      <c r="Y596">
        <f>IF(Sala[[#This Row],[Cobrada]]="Sí",Sala[[#This Row],[Propina]],0)</f>
        <v>40.33</v>
      </c>
      <c r="Z596">
        <f>(IF(Sala[[#This Row],[Cobrada]]="Sí",Sala[[#This Row],[Monto total]],0))+Sala[[#This Row],[Propina real]]</f>
        <v>112.33</v>
      </c>
    </row>
    <row r="597" spans="1:26" x14ac:dyDescent="0.25">
      <c r="A597">
        <v>18</v>
      </c>
      <c r="B597" t="s">
        <v>510</v>
      </c>
      <c r="C597">
        <v>2</v>
      </c>
      <c r="D597" s="2">
        <v>45022</v>
      </c>
      <c r="E597" s="3">
        <v>5.6250000000000001E-2</v>
      </c>
      <c r="F597" s="2">
        <v>45022</v>
      </c>
      <c r="G597" s="3">
        <v>0.15208333333333332</v>
      </c>
      <c r="H597" s="1" t="s">
        <v>16</v>
      </c>
      <c r="I597" t="s">
        <v>8</v>
      </c>
      <c r="J597" t="s">
        <v>600</v>
      </c>
      <c r="K597" s="9">
        <v>23.7</v>
      </c>
      <c r="L597" t="s">
        <v>28</v>
      </c>
      <c r="M597">
        <v>596</v>
      </c>
      <c r="N597" t="s">
        <v>44</v>
      </c>
      <c r="O597" s="3">
        <f>(Sala[[#This Row],[Hora de Salida]]-Sala[[#This Row],[Hora de llegada]])+IF(Sala[[#This Row],[Estado de la Mesa]]="Ocupada",(TEXT((15/(60*24)),"h:mm")),(TEXT(0,"h:mm")))</f>
        <v>0.10625</v>
      </c>
      <c r="P597" s="43">
        <f>(SUMIF(Cocina[Número de Orden],Sala[[#This Row],[Número de Orden]],Cocina[Tiempo de Preparación]))</f>
        <v>158</v>
      </c>
      <c r="Q597" s="5" t="str">
        <f>TEXT(((SUMIF(Cocina[Número de Orden],Sala[[#This Row],[Número de Orden]],Cocina[Tiempo de Preparación]))/(60*24)),"h:mm")</f>
        <v>2:38</v>
      </c>
      <c r="R597" s="3">
        <f>MAX((Sala[[#This Row],[Tiempo de permanencia]]-Sala[[#This Row],[Tiempo de preparación (h)]]),0)</f>
        <v>0</v>
      </c>
      <c r="S597" s="8">
        <f>SUMIF(Cocina[Número de Orden],Sala[[#This Row],[Número de Orden]],Cocina[Ganancia bruta])</f>
        <v>240</v>
      </c>
      <c r="T597" s="8">
        <f>SUMIF(Cocina[Número de Orden],Sala[[#This Row],[Número de Orden]],Cocina[Costo Unitario])</f>
        <v>62</v>
      </c>
      <c r="U597" s="2">
        <f>Sala[[#This Row],[Fecha de Salida]]</f>
        <v>45022</v>
      </c>
      <c r="V597" s="7" t="str">
        <f>TEXT(Sala[[#This Row],[Fecha factura]],"dddd")</f>
        <v>jueves</v>
      </c>
      <c r="W597" t="str">
        <f>IF(Sala[[#This Row],[Tiempo de degustación]]&gt;0,"Sí","No")</f>
        <v>No</v>
      </c>
      <c r="X597" t="str">
        <f>IF(Sala[[#This Row],[Cobrada]]="Sí",Sala[[#This Row],[Método de Pago]],"Impago")</f>
        <v>Impago</v>
      </c>
      <c r="Y597">
        <f>IF(Sala[[#This Row],[Cobrada]]="Sí",Sala[[#This Row],[Propina]],0)</f>
        <v>0</v>
      </c>
      <c r="Z597">
        <f>(IF(Sala[[#This Row],[Cobrada]]="Sí",Sala[[#This Row],[Monto total]],0))+Sala[[#This Row],[Propina real]]</f>
        <v>0</v>
      </c>
    </row>
    <row r="598" spans="1:26" x14ac:dyDescent="0.25">
      <c r="A598">
        <v>16</v>
      </c>
      <c r="B598" t="s">
        <v>452</v>
      </c>
      <c r="C598">
        <v>1</v>
      </c>
      <c r="D598" s="2">
        <v>45022</v>
      </c>
      <c r="E598" s="3">
        <v>3.5416666666666666E-2</v>
      </c>
      <c r="F598" s="2">
        <v>45022</v>
      </c>
      <c r="G598" s="3">
        <v>0.16041666666666668</v>
      </c>
      <c r="H598" s="1" t="s">
        <v>11</v>
      </c>
      <c r="I598" t="s">
        <v>8</v>
      </c>
      <c r="J598" t="s">
        <v>601</v>
      </c>
      <c r="K598" s="9">
        <v>45.46</v>
      </c>
      <c r="L598" t="s">
        <v>28</v>
      </c>
      <c r="M598">
        <v>597</v>
      </c>
      <c r="N598" t="s">
        <v>32</v>
      </c>
      <c r="O598" s="3">
        <f>(Sala[[#This Row],[Hora de Salida]]-Sala[[#This Row],[Hora de llegada]])+IF(Sala[[#This Row],[Estado de la Mesa]]="Ocupada",(TEXT((15/(60*24)),"h:mm")),(TEXT(0,"h:mm")))</f>
        <v>0.13541666666666666</v>
      </c>
      <c r="P598" s="43">
        <f>(SUMIF(Cocina[Número de Orden],Sala[[#This Row],[Número de Orden]],Cocina[Tiempo de Preparación]))</f>
        <v>141</v>
      </c>
      <c r="Q598" s="5" t="str">
        <f>TEXT(((SUMIF(Cocina[Número de Orden],Sala[[#This Row],[Número de Orden]],Cocina[Tiempo de Preparación]))/(60*24)),"h:mm")</f>
        <v>2:21</v>
      </c>
      <c r="R598" s="3">
        <f>MAX((Sala[[#This Row],[Tiempo de permanencia]]-Sala[[#This Row],[Tiempo de preparación (h)]]),0)</f>
        <v>3.7499999999999992E-2</v>
      </c>
      <c r="S598" s="8">
        <f>SUMIF(Cocina[Número de Orden],Sala[[#This Row],[Número de Orden]],Cocina[Ganancia bruta])</f>
        <v>150</v>
      </c>
      <c r="T598" s="8">
        <f>SUMIF(Cocina[Número de Orden],Sala[[#This Row],[Número de Orden]],Cocina[Costo Unitario])</f>
        <v>65</v>
      </c>
      <c r="U598" s="2">
        <f>Sala[[#This Row],[Fecha de Salida]]</f>
        <v>45022</v>
      </c>
      <c r="V598" s="7" t="str">
        <f>TEXT(Sala[[#This Row],[Fecha factura]],"dddd")</f>
        <v>jueves</v>
      </c>
      <c r="W598" t="str">
        <f>IF(Sala[[#This Row],[Tiempo de degustación]]&gt;0,"Sí","No")</f>
        <v>Sí</v>
      </c>
      <c r="X598" t="str">
        <f>IF(Sala[[#This Row],[Cobrada]]="Sí",Sala[[#This Row],[Método de Pago]],"Impago")</f>
        <v>Tarjeta de crédito</v>
      </c>
      <c r="Y598">
        <f>IF(Sala[[#This Row],[Cobrada]]="Sí",Sala[[#This Row],[Propina]],0)</f>
        <v>45.46</v>
      </c>
      <c r="Z598">
        <f>(IF(Sala[[#This Row],[Cobrada]]="Sí",Sala[[#This Row],[Monto total]],0))+Sala[[#This Row],[Propina real]]</f>
        <v>195.46</v>
      </c>
    </row>
    <row r="599" spans="1:26" x14ac:dyDescent="0.25">
      <c r="A599">
        <v>9</v>
      </c>
      <c r="B599" t="s">
        <v>511</v>
      </c>
      <c r="C599">
        <v>6</v>
      </c>
      <c r="D599" s="2">
        <v>45022</v>
      </c>
      <c r="E599" s="3">
        <v>0.1361111111111111</v>
      </c>
      <c r="F599" s="2">
        <v>45022</v>
      </c>
      <c r="G599" s="3">
        <v>0.29097222222222224</v>
      </c>
      <c r="H599" s="1" t="s">
        <v>20</v>
      </c>
      <c r="I599" t="s">
        <v>8</v>
      </c>
      <c r="J599" t="s">
        <v>601</v>
      </c>
      <c r="K599" s="9">
        <v>11.31</v>
      </c>
      <c r="L599" t="s">
        <v>9</v>
      </c>
      <c r="M599">
        <v>598</v>
      </c>
      <c r="N599" t="s">
        <v>594</v>
      </c>
      <c r="O599" s="3">
        <f>(Sala[[#This Row],[Hora de Salida]]-Sala[[#This Row],[Hora de llegada]])+IF(Sala[[#This Row],[Estado de la Mesa]]="Ocupada",(TEXT((15/(60*24)),"h:mm")),(TEXT(0,"h:mm")))</f>
        <v>0.15486111111111114</v>
      </c>
      <c r="P599" s="43">
        <f>(SUMIF(Cocina[Número de Orden],Sala[[#This Row],[Número de Orden]],Cocina[Tiempo de Preparación]))</f>
        <v>81</v>
      </c>
      <c r="Q599" s="5" t="str">
        <f>TEXT(((SUMIF(Cocina[Número de Orden],Sala[[#This Row],[Número de Orden]],Cocina[Tiempo de Preparación]))/(60*24)),"h:mm")</f>
        <v>1:21</v>
      </c>
      <c r="R599" s="3">
        <f>MAX((Sala[[#This Row],[Tiempo de permanencia]]-Sala[[#This Row],[Tiempo de preparación (h)]]),0)</f>
        <v>9.8611111111111149E-2</v>
      </c>
      <c r="S599" s="8">
        <f>SUMIF(Cocina[Número de Orden],Sala[[#This Row],[Número de Orden]],Cocina[Ganancia bruta])</f>
        <v>209</v>
      </c>
      <c r="T599" s="8">
        <f>SUMIF(Cocina[Número de Orden],Sala[[#This Row],[Número de Orden]],Cocina[Costo Unitario])</f>
        <v>53</v>
      </c>
      <c r="U599" s="2">
        <f>Sala[[#This Row],[Fecha de Salida]]</f>
        <v>45022</v>
      </c>
      <c r="V599" s="7" t="str">
        <f>TEXT(Sala[[#This Row],[Fecha factura]],"dddd")</f>
        <v>jueves</v>
      </c>
      <c r="W599" t="str">
        <f>IF(Sala[[#This Row],[Tiempo de degustación]]&gt;0,"Sí","No")</f>
        <v>Sí</v>
      </c>
      <c r="X599" t="str">
        <f>IF(Sala[[#This Row],[Cobrada]]="Sí",Sala[[#This Row],[Método de Pago]],"Impago")</f>
        <v>Tarjeta de crédito</v>
      </c>
      <c r="Y599">
        <f>IF(Sala[[#This Row],[Cobrada]]="Sí",Sala[[#This Row],[Propina]],0)</f>
        <v>11.31</v>
      </c>
      <c r="Z599">
        <f>(IF(Sala[[#This Row],[Cobrada]]="Sí",Sala[[#This Row],[Monto total]],0))+Sala[[#This Row],[Propina real]]</f>
        <v>220.31</v>
      </c>
    </row>
    <row r="600" spans="1:26" x14ac:dyDescent="0.25">
      <c r="A600">
        <v>11</v>
      </c>
      <c r="B600" t="s">
        <v>512</v>
      </c>
      <c r="C600">
        <v>3</v>
      </c>
      <c r="D600" s="2">
        <v>45022</v>
      </c>
      <c r="E600" s="3">
        <v>2.361111111111111E-2</v>
      </c>
      <c r="F600" s="2">
        <v>45022</v>
      </c>
      <c r="G600" s="3">
        <v>0.18124999999999999</v>
      </c>
      <c r="H600" s="1" t="s">
        <v>16</v>
      </c>
      <c r="I600" t="s">
        <v>8</v>
      </c>
      <c r="J600" t="s">
        <v>601</v>
      </c>
      <c r="K600" s="9">
        <v>30.97</v>
      </c>
      <c r="L600" t="s">
        <v>17</v>
      </c>
      <c r="M600">
        <v>599</v>
      </c>
      <c r="N600" t="s">
        <v>21</v>
      </c>
      <c r="O600" s="3">
        <f>(Sala[[#This Row],[Hora de Salida]]-Sala[[#This Row],[Hora de llegada]])+IF(Sala[[#This Row],[Estado de la Mesa]]="Ocupada",(TEXT((15/(60*24)),"h:mm")),(TEXT(0,"h:mm")))</f>
        <v>0.15763888888888888</v>
      </c>
      <c r="P600" s="43">
        <f>(SUMIF(Cocina[Número de Orden],Sala[[#This Row],[Número de Orden]],Cocina[Tiempo de Preparación]))</f>
        <v>108</v>
      </c>
      <c r="Q600" s="5" t="str">
        <f>TEXT(((SUMIF(Cocina[Número de Orden],Sala[[#This Row],[Número de Orden]],Cocina[Tiempo de Preparación]))/(60*24)),"h:mm")</f>
        <v>1:48</v>
      </c>
      <c r="R600" s="3">
        <f>MAX((Sala[[#This Row],[Tiempo de permanencia]]-Sala[[#This Row],[Tiempo de preparación (h)]]),0)</f>
        <v>8.2638888888888887E-2</v>
      </c>
      <c r="S600" s="8">
        <f>SUMIF(Cocina[Número de Orden],Sala[[#This Row],[Número de Orden]],Cocina[Ganancia bruta])</f>
        <v>169</v>
      </c>
      <c r="T600" s="8">
        <f>SUMIF(Cocina[Número de Orden],Sala[[#This Row],[Número de Orden]],Cocina[Costo Unitario])</f>
        <v>60</v>
      </c>
      <c r="U600" s="2">
        <f>Sala[[#This Row],[Fecha de Salida]]</f>
        <v>45022</v>
      </c>
      <c r="V600" s="7" t="str">
        <f>TEXT(Sala[[#This Row],[Fecha factura]],"dddd")</f>
        <v>jueves</v>
      </c>
      <c r="W600" t="str">
        <f>IF(Sala[[#This Row],[Tiempo de degustación]]&gt;0,"Sí","No")</f>
        <v>Sí</v>
      </c>
      <c r="X600" t="str">
        <f>IF(Sala[[#This Row],[Cobrada]]="Sí",Sala[[#This Row],[Método de Pago]],"Impago")</f>
        <v>Tarjeta de crédito</v>
      </c>
      <c r="Y600">
        <f>IF(Sala[[#This Row],[Cobrada]]="Sí",Sala[[#This Row],[Propina]],0)</f>
        <v>30.97</v>
      </c>
      <c r="Z600">
        <f>(IF(Sala[[#This Row],[Cobrada]]="Sí",Sala[[#This Row],[Monto total]],0))+Sala[[#This Row],[Propina real]]</f>
        <v>199.97</v>
      </c>
    </row>
    <row r="601" spans="1:26" x14ac:dyDescent="0.25">
      <c r="A601">
        <v>14</v>
      </c>
      <c r="B601" t="s">
        <v>513</v>
      </c>
      <c r="C601">
        <v>4</v>
      </c>
      <c r="D601" s="2">
        <v>45022</v>
      </c>
      <c r="E601" s="3">
        <v>0.16527777777777777</v>
      </c>
      <c r="F601" s="2">
        <v>45022</v>
      </c>
      <c r="G601" s="3">
        <v>0.20902777777777778</v>
      </c>
      <c r="H601" s="1" t="s">
        <v>7</v>
      </c>
      <c r="I601" t="s">
        <v>8</v>
      </c>
      <c r="J601" t="s">
        <v>600</v>
      </c>
      <c r="K601" s="9">
        <v>41.35</v>
      </c>
      <c r="L601" t="s">
        <v>28</v>
      </c>
      <c r="M601">
        <v>600</v>
      </c>
      <c r="N601" t="s">
        <v>47</v>
      </c>
      <c r="O601" s="3">
        <f>(Sala[[#This Row],[Hora de Salida]]-Sala[[#This Row],[Hora de llegada]])+IF(Sala[[#This Row],[Estado de la Mesa]]="Ocupada",(TEXT((15/(60*24)),"h:mm")),(TEXT(0,"h:mm")))</f>
        <v>5.4166666666666675E-2</v>
      </c>
      <c r="P601" s="43">
        <f>(SUMIF(Cocina[Número de Orden],Sala[[#This Row],[Número de Orden]],Cocina[Tiempo de Preparación]))</f>
        <v>65</v>
      </c>
      <c r="Q601" s="5" t="str">
        <f>TEXT(((SUMIF(Cocina[Número de Orden],Sala[[#This Row],[Número de Orden]],Cocina[Tiempo de Preparación]))/(60*24)),"h:mm")</f>
        <v>1:05</v>
      </c>
      <c r="R601" s="3">
        <f>MAX((Sala[[#This Row],[Tiempo de permanencia]]-Sala[[#This Row],[Tiempo de preparación (h)]]),0)</f>
        <v>9.0277777777777873E-3</v>
      </c>
      <c r="S601" s="8">
        <f>SUMIF(Cocina[Número de Orden],Sala[[#This Row],[Número de Orden]],Cocina[Ganancia bruta])</f>
        <v>144</v>
      </c>
      <c r="T601" s="8">
        <f>SUMIF(Cocina[Número de Orden],Sala[[#This Row],[Número de Orden]],Cocina[Costo Unitario])</f>
        <v>34</v>
      </c>
      <c r="U601" s="2">
        <f>Sala[[#This Row],[Fecha de Salida]]</f>
        <v>45022</v>
      </c>
      <c r="V601" s="7" t="str">
        <f>TEXT(Sala[[#This Row],[Fecha factura]],"dddd")</f>
        <v>jueves</v>
      </c>
      <c r="W601" t="str">
        <f>IF(Sala[[#This Row],[Tiempo de degustación]]&gt;0,"Sí","No")</f>
        <v>Sí</v>
      </c>
      <c r="X601" t="str">
        <f>IF(Sala[[#This Row],[Cobrada]]="Sí",Sala[[#This Row],[Método de Pago]],"Impago")</f>
        <v>Tarjeta de débito</v>
      </c>
      <c r="Y601">
        <f>IF(Sala[[#This Row],[Cobrada]]="Sí",Sala[[#This Row],[Propina]],0)</f>
        <v>41.35</v>
      </c>
      <c r="Z601">
        <f>(IF(Sala[[#This Row],[Cobrada]]="Sí",Sala[[#This Row],[Monto total]],0))+Sala[[#This Row],[Propina real]]</f>
        <v>185.35</v>
      </c>
    </row>
    <row r="602" spans="1:26" x14ac:dyDescent="0.25">
      <c r="A602">
        <v>13</v>
      </c>
      <c r="B602" t="s">
        <v>51</v>
      </c>
      <c r="C602">
        <v>1</v>
      </c>
      <c r="D602" s="2">
        <v>45022</v>
      </c>
      <c r="E602" s="3">
        <v>0.11319444444444444</v>
      </c>
      <c r="F602" s="2">
        <v>45022</v>
      </c>
      <c r="G602" s="3">
        <v>0.26041666666666669</v>
      </c>
      <c r="H602" s="1" t="s">
        <v>23</v>
      </c>
      <c r="I602" t="s">
        <v>25</v>
      </c>
      <c r="J602" t="s">
        <v>601</v>
      </c>
      <c r="K602" s="9">
        <v>16.809999999999999</v>
      </c>
      <c r="L602" t="s">
        <v>17</v>
      </c>
      <c r="M602">
        <v>601</v>
      </c>
      <c r="N602" t="s">
        <v>593</v>
      </c>
      <c r="O602" s="3">
        <f>(Sala[[#This Row],[Hora de Salida]]-Sala[[#This Row],[Hora de llegada]])+IF(Sala[[#This Row],[Estado de la Mesa]]="Ocupada",(TEXT((15/(60*24)),"h:mm")),(TEXT(0,"h:mm")))</f>
        <v>0.14722222222222225</v>
      </c>
      <c r="P602" s="43">
        <f>(SUMIF(Cocina[Número de Orden],Sala[[#This Row],[Número de Orden]],Cocina[Tiempo de Preparación]))</f>
        <v>115</v>
      </c>
      <c r="Q602" s="5" t="str">
        <f>TEXT(((SUMIF(Cocina[Número de Orden],Sala[[#This Row],[Número de Orden]],Cocina[Tiempo de Preparación]))/(60*24)),"h:mm")</f>
        <v>1:55</v>
      </c>
      <c r="R602" s="3">
        <f>MAX((Sala[[#This Row],[Tiempo de permanencia]]-Sala[[#This Row],[Tiempo de preparación (h)]]),0)</f>
        <v>6.7361111111111149E-2</v>
      </c>
      <c r="S602" s="8">
        <f>SUMIF(Cocina[Número de Orden],Sala[[#This Row],[Número de Orden]],Cocina[Ganancia bruta])</f>
        <v>292</v>
      </c>
      <c r="T602" s="8">
        <f>SUMIF(Cocina[Número de Orden],Sala[[#This Row],[Número de Orden]],Cocina[Costo Unitario])</f>
        <v>76</v>
      </c>
      <c r="U602" s="2">
        <f>Sala[[#This Row],[Fecha de Salida]]</f>
        <v>45022</v>
      </c>
      <c r="V602" s="7" t="str">
        <f>TEXT(Sala[[#This Row],[Fecha factura]],"dddd")</f>
        <v>jueves</v>
      </c>
      <c r="W602" t="str">
        <f>IF(Sala[[#This Row],[Tiempo de degustación]]&gt;0,"Sí","No")</f>
        <v>Sí</v>
      </c>
      <c r="X602" t="str">
        <f>IF(Sala[[#This Row],[Cobrada]]="Sí",Sala[[#This Row],[Método de Pago]],"Impago")</f>
        <v>Tarjeta de crédito</v>
      </c>
      <c r="Y602">
        <f>IF(Sala[[#This Row],[Cobrada]]="Sí",Sala[[#This Row],[Propina]],0)</f>
        <v>16.809999999999999</v>
      </c>
      <c r="Z602">
        <f>(IF(Sala[[#This Row],[Cobrada]]="Sí",Sala[[#This Row],[Monto total]],0))+Sala[[#This Row],[Propina real]]</f>
        <v>308.81</v>
      </c>
    </row>
    <row r="603" spans="1:26" x14ac:dyDescent="0.25">
      <c r="A603">
        <v>12</v>
      </c>
      <c r="B603" t="s">
        <v>514</v>
      </c>
      <c r="C603">
        <v>3</v>
      </c>
      <c r="D603" s="2">
        <v>45022</v>
      </c>
      <c r="E603" s="3">
        <v>0.16111111111111112</v>
      </c>
      <c r="F603" s="2">
        <v>45022</v>
      </c>
      <c r="G603" s="3">
        <v>0.29166666666666669</v>
      </c>
      <c r="H603" s="1" t="s">
        <v>16</v>
      </c>
      <c r="I603" t="s">
        <v>8</v>
      </c>
      <c r="J603" t="s">
        <v>13</v>
      </c>
      <c r="K603" s="9">
        <v>16.5</v>
      </c>
      <c r="L603" t="s">
        <v>9</v>
      </c>
      <c r="M603">
        <v>602</v>
      </c>
      <c r="N603" t="s">
        <v>594</v>
      </c>
      <c r="O603" s="3">
        <f>(Sala[[#This Row],[Hora de Salida]]-Sala[[#This Row],[Hora de llegada]])+IF(Sala[[#This Row],[Estado de la Mesa]]="Ocupada",(TEXT((15/(60*24)),"h:mm")),(TEXT(0,"h:mm")))</f>
        <v>0.13055555555555556</v>
      </c>
      <c r="P603" s="43">
        <f>(SUMIF(Cocina[Número de Orden],Sala[[#This Row],[Número de Orden]],Cocina[Tiempo de Preparación]))</f>
        <v>162</v>
      </c>
      <c r="Q603" s="5" t="str">
        <f>TEXT(((SUMIF(Cocina[Número de Orden],Sala[[#This Row],[Número de Orden]],Cocina[Tiempo de Preparación]))/(60*24)),"h:mm")</f>
        <v>2:42</v>
      </c>
      <c r="R603" s="3">
        <f>MAX((Sala[[#This Row],[Tiempo de permanencia]]-Sala[[#This Row],[Tiempo de preparación (h)]]),0)</f>
        <v>1.8055555555555561E-2</v>
      </c>
      <c r="S603" s="8">
        <f>SUMIF(Cocina[Número de Orden],Sala[[#This Row],[Número de Orden]],Cocina[Ganancia bruta])</f>
        <v>266</v>
      </c>
      <c r="T603" s="8">
        <f>SUMIF(Cocina[Número de Orden],Sala[[#This Row],[Número de Orden]],Cocina[Costo Unitario])</f>
        <v>77</v>
      </c>
      <c r="U603" s="2">
        <f>Sala[[#This Row],[Fecha de Salida]]</f>
        <v>45022</v>
      </c>
      <c r="V603" s="7" t="str">
        <f>TEXT(Sala[[#This Row],[Fecha factura]],"dddd")</f>
        <v>jueves</v>
      </c>
      <c r="W603" t="str">
        <f>IF(Sala[[#This Row],[Tiempo de degustación]]&gt;0,"Sí","No")</f>
        <v>Sí</v>
      </c>
      <c r="X603" t="str">
        <f>IF(Sala[[#This Row],[Cobrada]]="Sí",Sala[[#This Row],[Método de Pago]],"Impago")</f>
        <v>Efectivo</v>
      </c>
      <c r="Y603">
        <f>IF(Sala[[#This Row],[Cobrada]]="Sí",Sala[[#This Row],[Propina]],0)</f>
        <v>16.5</v>
      </c>
      <c r="Z603">
        <f>(IF(Sala[[#This Row],[Cobrada]]="Sí",Sala[[#This Row],[Monto total]],0))+Sala[[#This Row],[Propina real]]</f>
        <v>282.5</v>
      </c>
    </row>
    <row r="604" spans="1:26" x14ac:dyDescent="0.25">
      <c r="A604">
        <v>19</v>
      </c>
      <c r="B604" t="s">
        <v>169</v>
      </c>
      <c r="C604">
        <v>6</v>
      </c>
      <c r="D604" s="2">
        <v>45022</v>
      </c>
      <c r="E604" s="3">
        <v>3.5416666666666666E-2</v>
      </c>
      <c r="F604" s="2">
        <v>45022</v>
      </c>
      <c r="G604" s="3">
        <v>0.18124999999999999</v>
      </c>
      <c r="H604" s="1" t="s">
        <v>11</v>
      </c>
      <c r="I604" t="s">
        <v>8</v>
      </c>
      <c r="J604" t="s">
        <v>601</v>
      </c>
      <c r="K604" s="9">
        <v>24.2</v>
      </c>
      <c r="L604" t="s">
        <v>17</v>
      </c>
      <c r="M604">
        <v>603</v>
      </c>
      <c r="N604" t="s">
        <v>34</v>
      </c>
      <c r="O604" s="3">
        <f>(Sala[[#This Row],[Hora de Salida]]-Sala[[#This Row],[Hora de llegada]])+IF(Sala[[#This Row],[Estado de la Mesa]]="Ocupada",(TEXT((15/(60*24)),"h:mm")),(TEXT(0,"h:mm")))</f>
        <v>0.14583333333333331</v>
      </c>
      <c r="P604" s="43">
        <f>(SUMIF(Cocina[Número de Orden],Sala[[#This Row],[Número de Orden]],Cocina[Tiempo de Preparación]))</f>
        <v>17</v>
      </c>
      <c r="Q604" s="5" t="str">
        <f>TEXT(((SUMIF(Cocina[Número de Orden],Sala[[#This Row],[Número de Orden]],Cocina[Tiempo de Preparación]))/(60*24)),"h:mm")</f>
        <v>0:17</v>
      </c>
      <c r="R604" s="3">
        <f>MAX((Sala[[#This Row],[Tiempo de permanencia]]-Sala[[#This Row],[Tiempo de preparación (h)]]),0)</f>
        <v>0.13402777777777775</v>
      </c>
      <c r="S604" s="8">
        <f>SUMIF(Cocina[Número de Orden],Sala[[#This Row],[Número de Orden]],Cocina[Ganancia bruta])</f>
        <v>62</v>
      </c>
      <c r="T604" s="8">
        <f>SUMIF(Cocina[Número de Orden],Sala[[#This Row],[Número de Orden]],Cocina[Costo Unitario])</f>
        <v>19</v>
      </c>
      <c r="U604" s="2">
        <f>Sala[[#This Row],[Fecha de Salida]]</f>
        <v>45022</v>
      </c>
      <c r="V604" s="7" t="str">
        <f>TEXT(Sala[[#This Row],[Fecha factura]],"dddd")</f>
        <v>jueves</v>
      </c>
      <c r="W604" t="str">
        <f>IF(Sala[[#This Row],[Tiempo de degustación]]&gt;0,"Sí","No")</f>
        <v>Sí</v>
      </c>
      <c r="X604" t="str">
        <f>IF(Sala[[#This Row],[Cobrada]]="Sí",Sala[[#This Row],[Método de Pago]],"Impago")</f>
        <v>Tarjeta de crédito</v>
      </c>
      <c r="Y604">
        <f>IF(Sala[[#This Row],[Cobrada]]="Sí",Sala[[#This Row],[Propina]],0)</f>
        <v>24.2</v>
      </c>
      <c r="Z604">
        <f>(IF(Sala[[#This Row],[Cobrada]]="Sí",Sala[[#This Row],[Monto total]],0))+Sala[[#This Row],[Propina real]]</f>
        <v>86.2</v>
      </c>
    </row>
    <row r="605" spans="1:26" x14ac:dyDescent="0.25">
      <c r="A605">
        <v>14</v>
      </c>
      <c r="B605" t="s">
        <v>249</v>
      </c>
      <c r="C605">
        <v>5</v>
      </c>
      <c r="D605" s="2">
        <v>45022</v>
      </c>
      <c r="E605" s="3">
        <v>5.4166666666666669E-2</v>
      </c>
      <c r="F605" s="2">
        <v>45022</v>
      </c>
      <c r="G605" s="3">
        <v>0.21944444444444444</v>
      </c>
      <c r="H605" s="1" t="s">
        <v>16</v>
      </c>
      <c r="I605" t="s">
        <v>8</v>
      </c>
      <c r="J605" t="s">
        <v>601</v>
      </c>
      <c r="K605" s="9">
        <v>42.6</v>
      </c>
      <c r="L605" t="s">
        <v>28</v>
      </c>
      <c r="M605">
        <v>604</v>
      </c>
      <c r="N605" t="s">
        <v>44</v>
      </c>
      <c r="O605" s="3">
        <f>(Sala[[#This Row],[Hora de Salida]]-Sala[[#This Row],[Hora de llegada]])+IF(Sala[[#This Row],[Estado de la Mesa]]="Ocupada",(TEXT((15/(60*24)),"h:mm")),(TEXT(0,"h:mm")))</f>
        <v>0.17569444444444443</v>
      </c>
      <c r="P605" s="43">
        <f>(SUMIF(Cocina[Número de Orden],Sala[[#This Row],[Número de Orden]],Cocina[Tiempo de Preparación]))</f>
        <v>42</v>
      </c>
      <c r="Q605" s="5" t="str">
        <f>TEXT(((SUMIF(Cocina[Número de Orden],Sala[[#This Row],[Número de Orden]],Cocina[Tiempo de Preparación]))/(60*24)),"h:mm")</f>
        <v>0:42</v>
      </c>
      <c r="R605" s="3">
        <f>MAX((Sala[[#This Row],[Tiempo de permanencia]]-Sala[[#This Row],[Tiempo de preparación (h)]]),0)</f>
        <v>0.14652777777777776</v>
      </c>
      <c r="S605" s="8">
        <f>SUMIF(Cocina[Número de Orden],Sala[[#This Row],[Número de Orden]],Cocina[Ganancia bruta])</f>
        <v>105</v>
      </c>
      <c r="T605" s="8">
        <f>SUMIF(Cocina[Número de Orden],Sala[[#This Row],[Número de Orden]],Cocina[Costo Unitario])</f>
        <v>21</v>
      </c>
      <c r="U605" s="2">
        <f>Sala[[#This Row],[Fecha de Salida]]</f>
        <v>45022</v>
      </c>
      <c r="V605" s="7" t="str">
        <f>TEXT(Sala[[#This Row],[Fecha factura]],"dddd")</f>
        <v>jueves</v>
      </c>
      <c r="W605" t="str">
        <f>IF(Sala[[#This Row],[Tiempo de degustación]]&gt;0,"Sí","No")</f>
        <v>Sí</v>
      </c>
      <c r="X605" t="str">
        <f>IF(Sala[[#This Row],[Cobrada]]="Sí",Sala[[#This Row],[Método de Pago]],"Impago")</f>
        <v>Tarjeta de crédito</v>
      </c>
      <c r="Y605">
        <f>IF(Sala[[#This Row],[Cobrada]]="Sí",Sala[[#This Row],[Propina]],0)</f>
        <v>42.6</v>
      </c>
      <c r="Z605">
        <f>(IF(Sala[[#This Row],[Cobrada]]="Sí",Sala[[#This Row],[Monto total]],0))+Sala[[#This Row],[Propina real]]</f>
        <v>147.6</v>
      </c>
    </row>
    <row r="606" spans="1:26" x14ac:dyDescent="0.25">
      <c r="A606">
        <v>19</v>
      </c>
      <c r="B606" t="s">
        <v>515</v>
      </c>
      <c r="C606">
        <v>2</v>
      </c>
      <c r="D606" s="2">
        <v>45022</v>
      </c>
      <c r="E606" s="3">
        <v>0.11736111111111111</v>
      </c>
      <c r="F606" s="2">
        <v>45022</v>
      </c>
      <c r="G606" s="3">
        <v>0.26666666666666666</v>
      </c>
      <c r="H606" s="1" t="s">
        <v>7</v>
      </c>
      <c r="I606" t="s">
        <v>8</v>
      </c>
      <c r="J606" t="s">
        <v>13</v>
      </c>
      <c r="K606" s="9">
        <v>24.38</v>
      </c>
      <c r="L606" t="s">
        <v>28</v>
      </c>
      <c r="M606">
        <v>605</v>
      </c>
      <c r="N606" t="s">
        <v>34</v>
      </c>
      <c r="O606" s="3">
        <f>(Sala[[#This Row],[Hora de Salida]]-Sala[[#This Row],[Hora de llegada]])+IF(Sala[[#This Row],[Estado de la Mesa]]="Ocupada",(TEXT((15/(60*24)),"h:mm")),(TEXT(0,"h:mm")))</f>
        <v>0.15972222222222221</v>
      </c>
      <c r="P606" s="43">
        <f>(SUMIF(Cocina[Número de Orden],Sala[[#This Row],[Número de Orden]],Cocina[Tiempo de Preparación]))</f>
        <v>176</v>
      </c>
      <c r="Q606" s="5" t="str">
        <f>TEXT(((SUMIF(Cocina[Número de Orden],Sala[[#This Row],[Número de Orden]],Cocina[Tiempo de Preparación]))/(60*24)),"h:mm")</f>
        <v>2:56</v>
      </c>
      <c r="R606" s="3">
        <f>MAX((Sala[[#This Row],[Tiempo de permanencia]]-Sala[[#This Row],[Tiempo de preparación (h)]]),0)</f>
        <v>3.7499999999999992E-2</v>
      </c>
      <c r="S606" s="8">
        <f>SUMIF(Cocina[Número de Orden],Sala[[#This Row],[Número de Orden]],Cocina[Ganancia bruta])</f>
        <v>220</v>
      </c>
      <c r="T606" s="8">
        <f>SUMIF(Cocina[Número de Orden],Sala[[#This Row],[Número de Orden]],Cocina[Costo Unitario])</f>
        <v>76</v>
      </c>
      <c r="U606" s="2">
        <f>Sala[[#This Row],[Fecha de Salida]]</f>
        <v>45022</v>
      </c>
      <c r="V606" s="7" t="str">
        <f>TEXT(Sala[[#This Row],[Fecha factura]],"dddd")</f>
        <v>jueves</v>
      </c>
      <c r="W606" t="str">
        <f>IF(Sala[[#This Row],[Tiempo de degustación]]&gt;0,"Sí","No")</f>
        <v>Sí</v>
      </c>
      <c r="X606" t="str">
        <f>IF(Sala[[#This Row],[Cobrada]]="Sí",Sala[[#This Row],[Método de Pago]],"Impago")</f>
        <v>Efectivo</v>
      </c>
      <c r="Y606">
        <f>IF(Sala[[#This Row],[Cobrada]]="Sí",Sala[[#This Row],[Propina]],0)</f>
        <v>24.38</v>
      </c>
      <c r="Z606">
        <f>(IF(Sala[[#This Row],[Cobrada]]="Sí",Sala[[#This Row],[Monto total]],0))+Sala[[#This Row],[Propina real]]</f>
        <v>244.38</v>
      </c>
    </row>
    <row r="607" spans="1:26" x14ac:dyDescent="0.25">
      <c r="A607">
        <v>1</v>
      </c>
      <c r="B607" t="s">
        <v>444</v>
      </c>
      <c r="C607">
        <v>2</v>
      </c>
      <c r="D607" s="2">
        <v>45022</v>
      </c>
      <c r="E607" s="3">
        <v>0.13472222222222222</v>
      </c>
      <c r="F607" s="2">
        <v>45022</v>
      </c>
      <c r="G607" s="3">
        <v>0.25416666666666665</v>
      </c>
      <c r="H607" s="1" t="s">
        <v>20</v>
      </c>
      <c r="I607" t="s">
        <v>8</v>
      </c>
      <c r="J607" t="s">
        <v>601</v>
      </c>
      <c r="K607" s="9">
        <v>31.58</v>
      </c>
      <c r="L607" t="s">
        <v>28</v>
      </c>
      <c r="M607">
        <v>606</v>
      </c>
      <c r="N607" t="s">
        <v>29</v>
      </c>
      <c r="O607" s="3">
        <f>(Sala[[#This Row],[Hora de Salida]]-Sala[[#This Row],[Hora de llegada]])+IF(Sala[[#This Row],[Estado de la Mesa]]="Ocupada",(TEXT((15/(60*24)),"h:mm")),(TEXT(0,"h:mm")))</f>
        <v>0.12986111111111109</v>
      </c>
      <c r="P607" s="43">
        <f>(SUMIF(Cocina[Número de Orden],Sala[[#This Row],[Número de Orden]],Cocina[Tiempo de Preparación]))</f>
        <v>145</v>
      </c>
      <c r="Q607" s="5" t="str">
        <f>TEXT(((SUMIF(Cocina[Número de Orden],Sala[[#This Row],[Número de Orden]],Cocina[Tiempo de Preparación]))/(60*24)),"h:mm")</f>
        <v>2:25</v>
      </c>
      <c r="R607" s="3">
        <f>MAX((Sala[[#This Row],[Tiempo de permanencia]]-Sala[[#This Row],[Tiempo de preparación (h)]]),0)</f>
        <v>2.9166666666666646E-2</v>
      </c>
      <c r="S607" s="8">
        <f>SUMIF(Cocina[Número de Orden],Sala[[#This Row],[Número de Orden]],Cocina[Ganancia bruta])</f>
        <v>183</v>
      </c>
      <c r="T607" s="8">
        <f>SUMIF(Cocina[Número de Orden],Sala[[#This Row],[Número de Orden]],Cocina[Costo Unitario])</f>
        <v>46</v>
      </c>
      <c r="U607" s="2">
        <f>Sala[[#This Row],[Fecha de Salida]]</f>
        <v>45022</v>
      </c>
      <c r="V607" s="7" t="str">
        <f>TEXT(Sala[[#This Row],[Fecha factura]],"dddd")</f>
        <v>jueves</v>
      </c>
      <c r="W607" t="str">
        <f>IF(Sala[[#This Row],[Tiempo de degustación]]&gt;0,"Sí","No")</f>
        <v>Sí</v>
      </c>
      <c r="X607" t="str">
        <f>IF(Sala[[#This Row],[Cobrada]]="Sí",Sala[[#This Row],[Método de Pago]],"Impago")</f>
        <v>Tarjeta de crédito</v>
      </c>
      <c r="Y607">
        <f>IF(Sala[[#This Row],[Cobrada]]="Sí",Sala[[#This Row],[Propina]],0)</f>
        <v>31.58</v>
      </c>
      <c r="Z607">
        <f>(IF(Sala[[#This Row],[Cobrada]]="Sí",Sala[[#This Row],[Monto total]],0))+Sala[[#This Row],[Propina real]]</f>
        <v>214.57999999999998</v>
      </c>
    </row>
    <row r="608" spans="1:26" x14ac:dyDescent="0.25">
      <c r="A608">
        <v>10</v>
      </c>
      <c r="B608" t="s">
        <v>60</v>
      </c>
      <c r="C608">
        <v>1</v>
      </c>
      <c r="D608" s="2">
        <v>45022</v>
      </c>
      <c r="E608" s="3">
        <v>5.8333333333333334E-2</v>
      </c>
      <c r="F608" s="2">
        <v>45022</v>
      </c>
      <c r="G608" s="3">
        <v>0.1451388888888889</v>
      </c>
      <c r="H608" s="1" t="s">
        <v>20</v>
      </c>
      <c r="I608" t="s">
        <v>8</v>
      </c>
      <c r="J608" t="s">
        <v>601</v>
      </c>
      <c r="K608" s="9">
        <v>28.9</v>
      </c>
      <c r="L608" t="s">
        <v>28</v>
      </c>
      <c r="M608">
        <v>607</v>
      </c>
      <c r="N608" t="s">
        <v>21</v>
      </c>
      <c r="O608" s="3">
        <f>(Sala[[#This Row],[Hora de Salida]]-Sala[[#This Row],[Hora de llegada]])+IF(Sala[[#This Row],[Estado de la Mesa]]="Ocupada",(TEXT((15/(60*24)),"h:mm")),(TEXT(0,"h:mm")))</f>
        <v>9.7222222222222238E-2</v>
      </c>
      <c r="P608" s="43">
        <f>(SUMIF(Cocina[Número de Orden],Sala[[#This Row],[Número de Orden]],Cocina[Tiempo de Preparación]))</f>
        <v>69</v>
      </c>
      <c r="Q608" s="5" t="str">
        <f>TEXT(((SUMIF(Cocina[Número de Orden],Sala[[#This Row],[Número de Orden]],Cocina[Tiempo de Preparación]))/(60*24)),"h:mm")</f>
        <v>1:09</v>
      </c>
      <c r="R608" s="3">
        <f>MAX((Sala[[#This Row],[Tiempo de permanencia]]-Sala[[#This Row],[Tiempo de preparación (h)]]),0)</f>
        <v>4.9305555555555568E-2</v>
      </c>
      <c r="S608" s="8">
        <f>SUMIF(Cocina[Número de Orden],Sala[[#This Row],[Número de Orden]],Cocina[Ganancia bruta])</f>
        <v>68</v>
      </c>
      <c r="T608" s="8">
        <f>SUMIF(Cocina[Número de Orden],Sala[[#This Row],[Número de Orden]],Cocina[Costo Unitario])</f>
        <v>41</v>
      </c>
      <c r="U608" s="2">
        <f>Sala[[#This Row],[Fecha de Salida]]</f>
        <v>45022</v>
      </c>
      <c r="V608" s="7" t="str">
        <f>TEXT(Sala[[#This Row],[Fecha factura]],"dddd")</f>
        <v>jueves</v>
      </c>
      <c r="W608" t="str">
        <f>IF(Sala[[#This Row],[Tiempo de degustación]]&gt;0,"Sí","No")</f>
        <v>Sí</v>
      </c>
      <c r="X608" t="str">
        <f>IF(Sala[[#This Row],[Cobrada]]="Sí",Sala[[#This Row],[Método de Pago]],"Impago")</f>
        <v>Tarjeta de crédito</v>
      </c>
      <c r="Y608">
        <f>IF(Sala[[#This Row],[Cobrada]]="Sí",Sala[[#This Row],[Propina]],0)</f>
        <v>28.9</v>
      </c>
      <c r="Z608">
        <f>(IF(Sala[[#This Row],[Cobrada]]="Sí",Sala[[#This Row],[Monto total]],0))+Sala[[#This Row],[Propina real]]</f>
        <v>96.9</v>
      </c>
    </row>
    <row r="609" spans="1:26" x14ac:dyDescent="0.25">
      <c r="A609">
        <v>7</v>
      </c>
      <c r="B609" t="s">
        <v>516</v>
      </c>
      <c r="C609">
        <v>6</v>
      </c>
      <c r="D609" s="2">
        <v>45022</v>
      </c>
      <c r="E609" s="3">
        <v>0.16527777777777777</v>
      </c>
      <c r="F609" s="2">
        <v>45022</v>
      </c>
      <c r="G609" s="3">
        <v>0.30555555555555558</v>
      </c>
      <c r="H609" s="1" t="s">
        <v>7</v>
      </c>
      <c r="I609" t="s">
        <v>8</v>
      </c>
      <c r="J609" t="s">
        <v>601</v>
      </c>
      <c r="K609" s="9">
        <v>36.549999999999997</v>
      </c>
      <c r="L609" t="s">
        <v>9</v>
      </c>
      <c r="M609">
        <v>608</v>
      </c>
      <c r="N609" t="s">
        <v>594</v>
      </c>
      <c r="O609" s="3">
        <f>(Sala[[#This Row],[Hora de Salida]]-Sala[[#This Row],[Hora de llegada]])+IF(Sala[[#This Row],[Estado de la Mesa]]="Ocupada",(TEXT((15/(60*24)),"h:mm")),(TEXT(0,"h:mm")))</f>
        <v>0.14027777777777781</v>
      </c>
      <c r="P609" s="43">
        <f>(SUMIF(Cocina[Número de Orden],Sala[[#This Row],[Número de Orden]],Cocina[Tiempo de Preparación]))</f>
        <v>45</v>
      </c>
      <c r="Q609" s="5" t="str">
        <f>TEXT(((SUMIF(Cocina[Número de Orden],Sala[[#This Row],[Número de Orden]],Cocina[Tiempo de Preparación]))/(60*24)),"h:mm")</f>
        <v>0:45</v>
      </c>
      <c r="R609" s="3">
        <f>MAX((Sala[[#This Row],[Tiempo de permanencia]]-Sala[[#This Row],[Tiempo de preparación (h)]]),0)</f>
        <v>0.10902777777777781</v>
      </c>
      <c r="S609" s="8">
        <f>SUMIF(Cocina[Número de Orden],Sala[[#This Row],[Número de Orden]],Cocina[Ganancia bruta])</f>
        <v>29</v>
      </c>
      <c r="T609" s="8">
        <f>SUMIF(Cocina[Número de Orden],Sala[[#This Row],[Número de Orden]],Cocina[Costo Unitario])</f>
        <v>17</v>
      </c>
      <c r="U609" s="2">
        <f>Sala[[#This Row],[Fecha de Salida]]</f>
        <v>45022</v>
      </c>
      <c r="V609" s="7" t="str">
        <f>TEXT(Sala[[#This Row],[Fecha factura]],"dddd")</f>
        <v>jueves</v>
      </c>
      <c r="W609" t="str">
        <f>IF(Sala[[#This Row],[Tiempo de degustación]]&gt;0,"Sí","No")</f>
        <v>Sí</v>
      </c>
      <c r="X609" t="str">
        <f>IF(Sala[[#This Row],[Cobrada]]="Sí",Sala[[#This Row],[Método de Pago]],"Impago")</f>
        <v>Tarjeta de crédito</v>
      </c>
      <c r="Y609">
        <f>IF(Sala[[#This Row],[Cobrada]]="Sí",Sala[[#This Row],[Propina]],0)</f>
        <v>36.549999999999997</v>
      </c>
      <c r="Z609">
        <f>(IF(Sala[[#This Row],[Cobrada]]="Sí",Sala[[#This Row],[Monto total]],0))+Sala[[#This Row],[Propina real]]</f>
        <v>65.55</v>
      </c>
    </row>
    <row r="610" spans="1:26" x14ac:dyDescent="0.25">
      <c r="A610">
        <v>1</v>
      </c>
      <c r="B610" t="s">
        <v>235</v>
      </c>
      <c r="C610">
        <v>4</v>
      </c>
      <c r="D610" s="2">
        <v>45022</v>
      </c>
      <c r="E610" s="3">
        <v>0.14097222222222222</v>
      </c>
      <c r="F610" s="2">
        <v>45022</v>
      </c>
      <c r="G610" s="3">
        <v>0.29305555555555557</v>
      </c>
      <c r="H610" s="1" t="s">
        <v>11</v>
      </c>
      <c r="I610" t="s">
        <v>8</v>
      </c>
      <c r="J610" t="s">
        <v>601</v>
      </c>
      <c r="K610" s="9">
        <v>23.29</v>
      </c>
      <c r="L610" t="s">
        <v>9</v>
      </c>
      <c r="M610">
        <v>609</v>
      </c>
      <c r="N610" t="s">
        <v>44</v>
      </c>
      <c r="O610" s="3">
        <f>(Sala[[#This Row],[Hora de Salida]]-Sala[[#This Row],[Hora de llegada]])+IF(Sala[[#This Row],[Estado de la Mesa]]="Ocupada",(TEXT((15/(60*24)),"h:mm")),(TEXT(0,"h:mm")))</f>
        <v>0.15208333333333335</v>
      </c>
      <c r="P610" s="43">
        <f>(SUMIF(Cocina[Número de Orden],Sala[[#This Row],[Número de Orden]],Cocina[Tiempo de Preparación]))</f>
        <v>27</v>
      </c>
      <c r="Q610" s="5" t="str">
        <f>TEXT(((SUMIF(Cocina[Número de Orden],Sala[[#This Row],[Número de Orden]],Cocina[Tiempo de Preparación]))/(60*24)),"h:mm")</f>
        <v>0:27</v>
      </c>
      <c r="R610" s="3">
        <f>MAX((Sala[[#This Row],[Tiempo de permanencia]]-Sala[[#This Row],[Tiempo de preparación (h)]]),0)</f>
        <v>0.13333333333333336</v>
      </c>
      <c r="S610" s="8">
        <f>SUMIF(Cocina[Número de Orden],Sala[[#This Row],[Número de Orden]],Cocina[Ganancia bruta])</f>
        <v>32</v>
      </c>
      <c r="T610" s="8">
        <f>SUMIF(Cocina[Número de Orden],Sala[[#This Row],[Número de Orden]],Cocina[Costo Unitario])</f>
        <v>19</v>
      </c>
      <c r="U610" s="2">
        <f>Sala[[#This Row],[Fecha de Salida]]</f>
        <v>45022</v>
      </c>
      <c r="V610" s="7" t="str">
        <f>TEXT(Sala[[#This Row],[Fecha factura]],"dddd")</f>
        <v>jueves</v>
      </c>
      <c r="W610" t="str">
        <f>IF(Sala[[#This Row],[Tiempo de degustación]]&gt;0,"Sí","No")</f>
        <v>Sí</v>
      </c>
      <c r="X610" t="str">
        <f>IF(Sala[[#This Row],[Cobrada]]="Sí",Sala[[#This Row],[Método de Pago]],"Impago")</f>
        <v>Tarjeta de crédito</v>
      </c>
      <c r="Y610">
        <f>IF(Sala[[#This Row],[Cobrada]]="Sí",Sala[[#This Row],[Propina]],0)</f>
        <v>23.29</v>
      </c>
      <c r="Z610">
        <f>(IF(Sala[[#This Row],[Cobrada]]="Sí",Sala[[#This Row],[Monto total]],0))+Sala[[#This Row],[Propina real]]</f>
        <v>55.29</v>
      </c>
    </row>
    <row r="611" spans="1:26" x14ac:dyDescent="0.25">
      <c r="A611">
        <v>19</v>
      </c>
      <c r="B611" t="s">
        <v>40</v>
      </c>
      <c r="C611">
        <v>4</v>
      </c>
      <c r="D611" s="2">
        <v>45022</v>
      </c>
      <c r="E611" s="3">
        <v>9.166666666666666E-2</v>
      </c>
      <c r="F611" s="2">
        <v>45022</v>
      </c>
      <c r="G611" s="3">
        <v>0.17430555555555555</v>
      </c>
      <c r="H611" s="1" t="s">
        <v>20</v>
      </c>
      <c r="I611" t="s">
        <v>25</v>
      </c>
      <c r="J611" t="s">
        <v>601</v>
      </c>
      <c r="K611" s="9">
        <v>37.9</v>
      </c>
      <c r="L611" t="s">
        <v>28</v>
      </c>
      <c r="M611">
        <v>610</v>
      </c>
      <c r="N611" t="s">
        <v>21</v>
      </c>
      <c r="O611" s="3">
        <f>(Sala[[#This Row],[Hora de Salida]]-Sala[[#This Row],[Hora de llegada]])+IF(Sala[[#This Row],[Estado de la Mesa]]="Ocupada",(TEXT((15/(60*24)),"h:mm")),(TEXT(0,"h:mm")))</f>
        <v>9.3055555555555558E-2</v>
      </c>
      <c r="P611" s="43">
        <f>(SUMIF(Cocina[Número de Orden],Sala[[#This Row],[Número de Orden]],Cocina[Tiempo de Preparación]))</f>
        <v>47</v>
      </c>
      <c r="Q611" s="5" t="str">
        <f>TEXT(((SUMIF(Cocina[Número de Orden],Sala[[#This Row],[Número de Orden]],Cocina[Tiempo de Preparación]))/(60*24)),"h:mm")</f>
        <v>0:47</v>
      </c>
      <c r="R611" s="3">
        <f>MAX((Sala[[#This Row],[Tiempo de permanencia]]-Sala[[#This Row],[Tiempo de preparación (h)]]),0)</f>
        <v>6.0416666666666667E-2</v>
      </c>
      <c r="S611" s="8">
        <f>SUMIF(Cocina[Número de Orden],Sala[[#This Row],[Número de Orden]],Cocina[Ganancia bruta])</f>
        <v>44</v>
      </c>
      <c r="T611" s="8">
        <f>SUMIF(Cocina[Número de Orden],Sala[[#This Row],[Número de Orden]],Cocina[Costo Unitario])</f>
        <v>25</v>
      </c>
      <c r="U611" s="2">
        <f>Sala[[#This Row],[Fecha de Salida]]</f>
        <v>45022</v>
      </c>
      <c r="V611" s="7" t="str">
        <f>TEXT(Sala[[#This Row],[Fecha factura]],"dddd")</f>
        <v>jueves</v>
      </c>
      <c r="W611" t="str">
        <f>IF(Sala[[#This Row],[Tiempo de degustación]]&gt;0,"Sí","No")</f>
        <v>Sí</v>
      </c>
      <c r="X611" t="str">
        <f>IF(Sala[[#This Row],[Cobrada]]="Sí",Sala[[#This Row],[Método de Pago]],"Impago")</f>
        <v>Tarjeta de crédito</v>
      </c>
      <c r="Y611">
        <f>IF(Sala[[#This Row],[Cobrada]]="Sí",Sala[[#This Row],[Propina]],0)</f>
        <v>37.9</v>
      </c>
      <c r="Z611">
        <f>(IF(Sala[[#This Row],[Cobrada]]="Sí",Sala[[#This Row],[Monto total]],0))+Sala[[#This Row],[Propina real]]</f>
        <v>81.900000000000006</v>
      </c>
    </row>
    <row r="612" spans="1:26" x14ac:dyDescent="0.25">
      <c r="A612">
        <v>13</v>
      </c>
      <c r="B612" t="s">
        <v>517</v>
      </c>
      <c r="C612">
        <v>1</v>
      </c>
      <c r="D612" s="2">
        <v>45022</v>
      </c>
      <c r="E612" s="3">
        <v>0.16319444444444445</v>
      </c>
      <c r="F612" s="2">
        <v>45022</v>
      </c>
      <c r="G612" s="3">
        <v>0.3215277777777778</v>
      </c>
      <c r="H612" s="1" t="s">
        <v>11</v>
      </c>
      <c r="I612" t="s">
        <v>8</v>
      </c>
      <c r="J612" t="s">
        <v>601</v>
      </c>
      <c r="K612" s="9">
        <v>44.28</v>
      </c>
      <c r="L612" t="s">
        <v>28</v>
      </c>
      <c r="M612">
        <v>611</v>
      </c>
      <c r="N612" t="s">
        <v>18</v>
      </c>
      <c r="O612" s="3">
        <f>(Sala[[#This Row],[Hora de Salida]]-Sala[[#This Row],[Hora de llegada]])+IF(Sala[[#This Row],[Estado de la Mesa]]="Ocupada",(TEXT((15/(60*24)),"h:mm")),(TEXT(0,"h:mm")))</f>
        <v>0.16875000000000001</v>
      </c>
      <c r="P612" s="43">
        <f>(SUMIF(Cocina[Número de Orden],Sala[[#This Row],[Número de Orden]],Cocina[Tiempo de Preparación]))</f>
        <v>83</v>
      </c>
      <c r="Q612" s="5" t="str">
        <f>TEXT(((SUMIF(Cocina[Número de Orden],Sala[[#This Row],[Número de Orden]],Cocina[Tiempo de Preparación]))/(60*24)),"h:mm")</f>
        <v>1:23</v>
      </c>
      <c r="R612" s="3">
        <f>MAX((Sala[[#This Row],[Tiempo de permanencia]]-Sala[[#This Row],[Tiempo de preparación (h)]]),0)</f>
        <v>0.11111111111111112</v>
      </c>
      <c r="S612" s="8">
        <f>SUMIF(Cocina[Número de Orden],Sala[[#This Row],[Número de Orden]],Cocina[Ganancia bruta])</f>
        <v>78</v>
      </c>
      <c r="T612" s="8">
        <f>SUMIF(Cocina[Número de Orden],Sala[[#This Row],[Número de Orden]],Cocina[Costo Unitario])</f>
        <v>35</v>
      </c>
      <c r="U612" s="2">
        <f>Sala[[#This Row],[Fecha de Salida]]</f>
        <v>45022</v>
      </c>
      <c r="V612" s="7" t="str">
        <f>TEXT(Sala[[#This Row],[Fecha factura]],"dddd")</f>
        <v>jueves</v>
      </c>
      <c r="W612" t="str">
        <f>IF(Sala[[#This Row],[Tiempo de degustación]]&gt;0,"Sí","No")</f>
        <v>Sí</v>
      </c>
      <c r="X612" t="str">
        <f>IF(Sala[[#This Row],[Cobrada]]="Sí",Sala[[#This Row],[Método de Pago]],"Impago")</f>
        <v>Tarjeta de crédito</v>
      </c>
      <c r="Y612">
        <f>IF(Sala[[#This Row],[Cobrada]]="Sí",Sala[[#This Row],[Propina]],0)</f>
        <v>44.28</v>
      </c>
      <c r="Z612">
        <f>(IF(Sala[[#This Row],[Cobrada]]="Sí",Sala[[#This Row],[Monto total]],0))+Sala[[#This Row],[Propina real]]</f>
        <v>122.28</v>
      </c>
    </row>
    <row r="613" spans="1:26" x14ac:dyDescent="0.25">
      <c r="A613">
        <v>11</v>
      </c>
      <c r="B613" t="s">
        <v>518</v>
      </c>
      <c r="C613">
        <v>4</v>
      </c>
      <c r="D613" s="2">
        <v>45022</v>
      </c>
      <c r="E613" s="3">
        <v>0.05</v>
      </c>
      <c r="F613" s="2">
        <v>45022</v>
      </c>
      <c r="G613" s="3">
        <v>0.20833333333333334</v>
      </c>
      <c r="H613" s="1" t="s">
        <v>20</v>
      </c>
      <c r="I613" t="s">
        <v>8</v>
      </c>
      <c r="J613" t="s">
        <v>601</v>
      </c>
      <c r="K613" s="9">
        <v>23.54</v>
      </c>
      <c r="L613" t="s">
        <v>9</v>
      </c>
      <c r="M613">
        <v>612</v>
      </c>
      <c r="N613" t="s">
        <v>21</v>
      </c>
      <c r="O613" s="3">
        <f>(Sala[[#This Row],[Hora de Salida]]-Sala[[#This Row],[Hora de llegada]])+IF(Sala[[#This Row],[Estado de la Mesa]]="Ocupada",(TEXT((15/(60*24)),"h:mm")),(TEXT(0,"h:mm")))</f>
        <v>0.15833333333333333</v>
      </c>
      <c r="P613" s="43">
        <f>(SUMIF(Cocina[Número de Orden],Sala[[#This Row],[Número de Orden]],Cocina[Tiempo de Preparación]))</f>
        <v>129</v>
      </c>
      <c r="Q613" s="5" t="str">
        <f>TEXT(((SUMIF(Cocina[Número de Orden],Sala[[#This Row],[Número de Orden]],Cocina[Tiempo de Preparación]))/(60*24)),"h:mm")</f>
        <v>2:09</v>
      </c>
      <c r="R613" s="3">
        <f>MAX((Sala[[#This Row],[Tiempo de permanencia]]-Sala[[#This Row],[Tiempo de preparación (h)]]),0)</f>
        <v>6.8749999999999992E-2</v>
      </c>
      <c r="S613" s="8">
        <f>SUMIF(Cocina[Número de Orden],Sala[[#This Row],[Número de Orden]],Cocina[Ganancia bruta])</f>
        <v>231</v>
      </c>
      <c r="T613" s="8">
        <f>SUMIF(Cocina[Número de Orden],Sala[[#This Row],[Número de Orden]],Cocina[Costo Unitario])</f>
        <v>66</v>
      </c>
      <c r="U613" s="2">
        <f>Sala[[#This Row],[Fecha de Salida]]</f>
        <v>45022</v>
      </c>
      <c r="V613" s="7" t="str">
        <f>TEXT(Sala[[#This Row],[Fecha factura]],"dddd")</f>
        <v>jueves</v>
      </c>
      <c r="W613" t="str">
        <f>IF(Sala[[#This Row],[Tiempo de degustación]]&gt;0,"Sí","No")</f>
        <v>Sí</v>
      </c>
      <c r="X613" t="str">
        <f>IF(Sala[[#This Row],[Cobrada]]="Sí",Sala[[#This Row],[Método de Pago]],"Impago")</f>
        <v>Tarjeta de crédito</v>
      </c>
      <c r="Y613">
        <f>IF(Sala[[#This Row],[Cobrada]]="Sí",Sala[[#This Row],[Propina]],0)</f>
        <v>23.54</v>
      </c>
      <c r="Z613">
        <f>(IF(Sala[[#This Row],[Cobrada]]="Sí",Sala[[#This Row],[Monto total]],0))+Sala[[#This Row],[Propina real]]</f>
        <v>254.54</v>
      </c>
    </row>
    <row r="614" spans="1:26" x14ac:dyDescent="0.25">
      <c r="A614">
        <v>1</v>
      </c>
      <c r="B614" t="s">
        <v>76</v>
      </c>
      <c r="C614">
        <v>5</v>
      </c>
      <c r="D614" s="2">
        <v>45022</v>
      </c>
      <c r="E614" s="3">
        <v>8.1250000000000003E-2</v>
      </c>
      <c r="F614" s="2">
        <v>45022</v>
      </c>
      <c r="G614" s="3">
        <v>0.14930555555555555</v>
      </c>
      <c r="H614" s="1" t="s">
        <v>16</v>
      </c>
      <c r="I614" t="s">
        <v>12</v>
      </c>
      <c r="J614" t="s">
        <v>13</v>
      </c>
      <c r="K614" s="9">
        <v>23.56</v>
      </c>
      <c r="L614" t="s">
        <v>9</v>
      </c>
      <c r="M614">
        <v>613</v>
      </c>
      <c r="N614" t="s">
        <v>594</v>
      </c>
      <c r="O614" s="3">
        <f>(Sala[[#This Row],[Hora de Salida]]-Sala[[#This Row],[Hora de llegada]])+IF(Sala[[#This Row],[Estado de la Mesa]]="Ocupada",(TEXT((15/(60*24)),"h:mm")),(TEXT(0,"h:mm")))</f>
        <v>6.805555555555555E-2</v>
      </c>
      <c r="P614" s="43">
        <f>(SUMIF(Cocina[Número de Orden],Sala[[#This Row],[Número de Orden]],Cocina[Tiempo de Preparación]))</f>
        <v>152</v>
      </c>
      <c r="Q614" s="5" t="str">
        <f>TEXT(((SUMIF(Cocina[Número de Orden],Sala[[#This Row],[Número de Orden]],Cocina[Tiempo de Preparación]))/(60*24)),"h:mm")</f>
        <v>2:32</v>
      </c>
      <c r="R614" s="3">
        <f>MAX((Sala[[#This Row],[Tiempo de permanencia]]-Sala[[#This Row],[Tiempo de preparación (h)]]),0)</f>
        <v>0</v>
      </c>
      <c r="S614" s="8">
        <f>SUMIF(Cocina[Número de Orden],Sala[[#This Row],[Número de Orden]],Cocina[Ganancia bruta])</f>
        <v>285</v>
      </c>
      <c r="T614" s="8">
        <f>SUMIF(Cocina[Número de Orden],Sala[[#This Row],[Número de Orden]],Cocina[Costo Unitario])</f>
        <v>56</v>
      </c>
      <c r="U614" s="2">
        <f>Sala[[#This Row],[Fecha de Salida]]</f>
        <v>45022</v>
      </c>
      <c r="V614" s="7" t="str">
        <f>TEXT(Sala[[#This Row],[Fecha factura]],"dddd")</f>
        <v>jueves</v>
      </c>
      <c r="W614" t="str">
        <f>IF(Sala[[#This Row],[Tiempo de degustación]]&gt;0,"Sí","No")</f>
        <v>No</v>
      </c>
      <c r="X614" t="str">
        <f>IF(Sala[[#This Row],[Cobrada]]="Sí",Sala[[#This Row],[Método de Pago]],"Impago")</f>
        <v>Impago</v>
      </c>
      <c r="Y614">
        <f>IF(Sala[[#This Row],[Cobrada]]="Sí",Sala[[#This Row],[Propina]],0)</f>
        <v>0</v>
      </c>
      <c r="Z614">
        <f>(IF(Sala[[#This Row],[Cobrada]]="Sí",Sala[[#This Row],[Monto total]],0))+Sala[[#This Row],[Propina real]]</f>
        <v>0</v>
      </c>
    </row>
    <row r="615" spans="1:26" x14ac:dyDescent="0.25">
      <c r="A615">
        <v>19</v>
      </c>
      <c r="B615" t="s">
        <v>336</v>
      </c>
      <c r="C615">
        <v>6</v>
      </c>
      <c r="D615" s="2">
        <v>45022</v>
      </c>
      <c r="E615" s="3">
        <v>0.10555555555555556</v>
      </c>
      <c r="F615" s="2">
        <v>45022</v>
      </c>
      <c r="G615" s="3">
        <v>0.19236111111111112</v>
      </c>
      <c r="H615" s="1" t="s">
        <v>11</v>
      </c>
      <c r="I615" t="s">
        <v>12</v>
      </c>
      <c r="J615" t="s">
        <v>600</v>
      </c>
      <c r="K615" s="9">
        <v>26.48</v>
      </c>
      <c r="L615" t="s">
        <v>9</v>
      </c>
      <c r="M615">
        <v>614</v>
      </c>
      <c r="N615" t="s">
        <v>29</v>
      </c>
      <c r="O615" s="3">
        <f>(Sala[[#This Row],[Hora de Salida]]-Sala[[#This Row],[Hora de llegada]])+IF(Sala[[#This Row],[Estado de la Mesa]]="Ocupada",(TEXT((15/(60*24)),"h:mm")),(TEXT(0,"h:mm")))</f>
        <v>8.6805555555555566E-2</v>
      </c>
      <c r="P615" s="43">
        <f>(SUMIF(Cocina[Número de Orden],Sala[[#This Row],[Número de Orden]],Cocina[Tiempo de Preparación]))</f>
        <v>50</v>
      </c>
      <c r="Q615" s="5" t="str">
        <f>TEXT(((SUMIF(Cocina[Número de Orden],Sala[[#This Row],[Número de Orden]],Cocina[Tiempo de Preparación]))/(60*24)),"h:mm")</f>
        <v>0:50</v>
      </c>
      <c r="R615" s="3">
        <f>MAX((Sala[[#This Row],[Tiempo de permanencia]]-Sala[[#This Row],[Tiempo de preparación (h)]]),0)</f>
        <v>5.2083333333333343E-2</v>
      </c>
      <c r="S615" s="8">
        <f>SUMIF(Cocina[Número de Orden],Sala[[#This Row],[Número de Orden]],Cocina[Ganancia bruta])</f>
        <v>72</v>
      </c>
      <c r="T615" s="8">
        <f>SUMIF(Cocina[Número de Orden],Sala[[#This Row],[Número de Orden]],Cocina[Costo Unitario])</f>
        <v>14</v>
      </c>
      <c r="U615" s="2">
        <f>Sala[[#This Row],[Fecha de Salida]]</f>
        <v>45022</v>
      </c>
      <c r="V615" s="7" t="str">
        <f>TEXT(Sala[[#This Row],[Fecha factura]],"dddd")</f>
        <v>jueves</v>
      </c>
      <c r="W615" t="str">
        <f>IF(Sala[[#This Row],[Tiempo de degustación]]&gt;0,"Sí","No")</f>
        <v>Sí</v>
      </c>
      <c r="X615" t="str">
        <f>IF(Sala[[#This Row],[Cobrada]]="Sí",Sala[[#This Row],[Método de Pago]],"Impago")</f>
        <v>Tarjeta de débito</v>
      </c>
      <c r="Y615">
        <f>IF(Sala[[#This Row],[Cobrada]]="Sí",Sala[[#This Row],[Propina]],0)</f>
        <v>26.48</v>
      </c>
      <c r="Z615">
        <f>(IF(Sala[[#This Row],[Cobrada]]="Sí",Sala[[#This Row],[Monto total]],0))+Sala[[#This Row],[Propina real]]</f>
        <v>98.48</v>
      </c>
    </row>
    <row r="616" spans="1:26" x14ac:dyDescent="0.25">
      <c r="A616">
        <v>7</v>
      </c>
      <c r="B616" t="s">
        <v>519</v>
      </c>
      <c r="C616">
        <v>1</v>
      </c>
      <c r="D616" s="2">
        <v>45022</v>
      </c>
      <c r="E616" s="3">
        <v>3.1944444444444442E-2</v>
      </c>
      <c r="F616" s="2">
        <v>45022</v>
      </c>
      <c r="G616" s="3">
        <v>7.8472222222222221E-2</v>
      </c>
      <c r="H616" s="1" t="s">
        <v>20</v>
      </c>
      <c r="I616" t="s">
        <v>25</v>
      </c>
      <c r="J616" t="s">
        <v>601</v>
      </c>
      <c r="K616" s="9">
        <v>18.420000000000002</v>
      </c>
      <c r="L616" t="s">
        <v>28</v>
      </c>
      <c r="M616">
        <v>615</v>
      </c>
      <c r="N616" t="s">
        <v>44</v>
      </c>
      <c r="O616" s="3">
        <f>(Sala[[#This Row],[Hora de Salida]]-Sala[[#This Row],[Hora de llegada]])+IF(Sala[[#This Row],[Estado de la Mesa]]="Ocupada",(TEXT((15/(60*24)),"h:mm")),(TEXT(0,"h:mm")))</f>
        <v>5.6944444444444443E-2</v>
      </c>
      <c r="P616" s="43">
        <f>(SUMIF(Cocina[Número de Orden],Sala[[#This Row],[Número de Orden]],Cocina[Tiempo de Preparación]))</f>
        <v>156</v>
      </c>
      <c r="Q616" s="5" t="str">
        <f>TEXT(((SUMIF(Cocina[Número de Orden],Sala[[#This Row],[Número de Orden]],Cocina[Tiempo de Preparación]))/(60*24)),"h:mm")</f>
        <v>2:36</v>
      </c>
      <c r="R616" s="3">
        <f>MAX((Sala[[#This Row],[Tiempo de permanencia]]-Sala[[#This Row],[Tiempo de preparación (h)]]),0)</f>
        <v>0</v>
      </c>
      <c r="S616" s="8">
        <f>SUMIF(Cocina[Número de Orden],Sala[[#This Row],[Número de Orden]],Cocina[Ganancia bruta])</f>
        <v>333</v>
      </c>
      <c r="T616" s="8">
        <f>SUMIF(Cocina[Número de Orden],Sala[[#This Row],[Número de Orden]],Cocina[Costo Unitario])</f>
        <v>67</v>
      </c>
      <c r="U616" s="2">
        <f>Sala[[#This Row],[Fecha de Salida]]</f>
        <v>45022</v>
      </c>
      <c r="V616" s="7" t="str">
        <f>TEXT(Sala[[#This Row],[Fecha factura]],"dddd")</f>
        <v>jueves</v>
      </c>
      <c r="W616" t="str">
        <f>IF(Sala[[#This Row],[Tiempo de degustación]]&gt;0,"Sí","No")</f>
        <v>No</v>
      </c>
      <c r="X616" t="str">
        <f>IF(Sala[[#This Row],[Cobrada]]="Sí",Sala[[#This Row],[Método de Pago]],"Impago")</f>
        <v>Impago</v>
      </c>
      <c r="Y616">
        <f>IF(Sala[[#This Row],[Cobrada]]="Sí",Sala[[#This Row],[Propina]],0)</f>
        <v>0</v>
      </c>
      <c r="Z616">
        <f>(IF(Sala[[#This Row],[Cobrada]]="Sí",Sala[[#This Row],[Monto total]],0))+Sala[[#This Row],[Propina real]]</f>
        <v>0</v>
      </c>
    </row>
    <row r="617" spans="1:26" x14ac:dyDescent="0.25">
      <c r="A617">
        <v>4</v>
      </c>
      <c r="B617" t="s">
        <v>515</v>
      </c>
      <c r="C617">
        <v>4</v>
      </c>
      <c r="D617" s="2">
        <v>45022</v>
      </c>
      <c r="E617" s="3">
        <v>9.7222222222222224E-3</v>
      </c>
      <c r="F617" s="2">
        <v>45022</v>
      </c>
      <c r="G617" s="3">
        <v>0.15</v>
      </c>
      <c r="H617" s="1" t="s">
        <v>20</v>
      </c>
      <c r="I617" t="s">
        <v>25</v>
      </c>
      <c r="J617" t="s">
        <v>601</v>
      </c>
      <c r="K617" s="9">
        <v>23.89</v>
      </c>
      <c r="L617" t="s">
        <v>28</v>
      </c>
      <c r="M617">
        <v>616</v>
      </c>
      <c r="N617" t="s">
        <v>29</v>
      </c>
      <c r="O617" s="3">
        <f>(Sala[[#This Row],[Hora de Salida]]-Sala[[#This Row],[Hora de llegada]])+IF(Sala[[#This Row],[Estado de la Mesa]]="Ocupada",(TEXT((15/(60*24)),"h:mm")),(TEXT(0,"h:mm")))</f>
        <v>0.15069444444444444</v>
      </c>
      <c r="P617" s="43">
        <f>(SUMIF(Cocina[Número de Orden],Sala[[#This Row],[Número de Orden]],Cocina[Tiempo de Preparación]))</f>
        <v>47</v>
      </c>
      <c r="Q617" s="5" t="str">
        <f>TEXT(((SUMIF(Cocina[Número de Orden],Sala[[#This Row],[Número de Orden]],Cocina[Tiempo de Preparación]))/(60*24)),"h:mm")</f>
        <v>0:47</v>
      </c>
      <c r="R617" s="3">
        <f>MAX((Sala[[#This Row],[Tiempo de permanencia]]-Sala[[#This Row],[Tiempo de preparación (h)]]),0)</f>
        <v>0.11805555555555555</v>
      </c>
      <c r="S617" s="8">
        <f>SUMIF(Cocina[Número de Orden],Sala[[#This Row],[Número de Orden]],Cocina[Ganancia bruta])</f>
        <v>132</v>
      </c>
      <c r="T617" s="8">
        <f>SUMIF(Cocina[Número de Orden],Sala[[#This Row],[Número de Orden]],Cocina[Costo Unitario])</f>
        <v>32</v>
      </c>
      <c r="U617" s="2">
        <f>Sala[[#This Row],[Fecha de Salida]]</f>
        <v>45022</v>
      </c>
      <c r="V617" s="7" t="str">
        <f>TEXT(Sala[[#This Row],[Fecha factura]],"dddd")</f>
        <v>jueves</v>
      </c>
      <c r="W617" t="str">
        <f>IF(Sala[[#This Row],[Tiempo de degustación]]&gt;0,"Sí","No")</f>
        <v>Sí</v>
      </c>
      <c r="X617" t="str">
        <f>IF(Sala[[#This Row],[Cobrada]]="Sí",Sala[[#This Row],[Método de Pago]],"Impago")</f>
        <v>Tarjeta de crédito</v>
      </c>
      <c r="Y617">
        <f>IF(Sala[[#This Row],[Cobrada]]="Sí",Sala[[#This Row],[Propina]],0)</f>
        <v>23.89</v>
      </c>
      <c r="Z617">
        <f>(IF(Sala[[#This Row],[Cobrada]]="Sí",Sala[[#This Row],[Monto total]],0))+Sala[[#This Row],[Propina real]]</f>
        <v>155.88999999999999</v>
      </c>
    </row>
    <row r="618" spans="1:26" x14ac:dyDescent="0.25">
      <c r="A618">
        <v>13</v>
      </c>
      <c r="B618" t="s">
        <v>63</v>
      </c>
      <c r="C618">
        <v>5</v>
      </c>
      <c r="D618" s="2">
        <v>45022</v>
      </c>
      <c r="E618" s="3">
        <v>5.5555555555555552E-2</v>
      </c>
      <c r="F618" s="2">
        <v>45022</v>
      </c>
      <c r="G618" s="3">
        <v>0.22013888888888888</v>
      </c>
      <c r="H618" s="1" t="s">
        <v>16</v>
      </c>
      <c r="I618" t="s">
        <v>8</v>
      </c>
      <c r="J618" t="s">
        <v>601</v>
      </c>
      <c r="K618" s="9">
        <v>38.18</v>
      </c>
      <c r="L618" t="s">
        <v>17</v>
      </c>
      <c r="M618">
        <v>617</v>
      </c>
      <c r="N618" t="s">
        <v>34</v>
      </c>
      <c r="O618" s="3">
        <f>(Sala[[#This Row],[Hora de Salida]]-Sala[[#This Row],[Hora de llegada]])+IF(Sala[[#This Row],[Estado de la Mesa]]="Ocupada",(TEXT((15/(60*24)),"h:mm")),(TEXT(0,"h:mm")))</f>
        <v>0.16458333333333333</v>
      </c>
      <c r="P618" s="43">
        <f>(SUMIF(Cocina[Número de Orden],Sala[[#This Row],[Número de Orden]],Cocina[Tiempo de Preparación]))</f>
        <v>51</v>
      </c>
      <c r="Q618" s="5" t="str">
        <f>TEXT(((SUMIF(Cocina[Número de Orden],Sala[[#This Row],[Número de Orden]],Cocina[Tiempo de Preparación]))/(60*24)),"h:mm")</f>
        <v>0:51</v>
      </c>
      <c r="R618" s="3">
        <f>MAX((Sala[[#This Row],[Tiempo de permanencia]]-Sala[[#This Row],[Tiempo de preparación (h)]]),0)</f>
        <v>0.12916666666666665</v>
      </c>
      <c r="S618" s="8">
        <f>SUMIF(Cocina[Número de Orden],Sala[[#This Row],[Número de Orden]],Cocina[Ganancia bruta])</f>
        <v>142</v>
      </c>
      <c r="T618" s="8">
        <f>SUMIF(Cocina[Número de Orden],Sala[[#This Row],[Número de Orden]],Cocina[Costo Unitario])</f>
        <v>33</v>
      </c>
      <c r="U618" s="2">
        <f>Sala[[#This Row],[Fecha de Salida]]</f>
        <v>45022</v>
      </c>
      <c r="V618" s="7" t="str">
        <f>TEXT(Sala[[#This Row],[Fecha factura]],"dddd")</f>
        <v>jueves</v>
      </c>
      <c r="W618" t="str">
        <f>IF(Sala[[#This Row],[Tiempo de degustación]]&gt;0,"Sí","No")</f>
        <v>Sí</v>
      </c>
      <c r="X618" t="str">
        <f>IF(Sala[[#This Row],[Cobrada]]="Sí",Sala[[#This Row],[Método de Pago]],"Impago")</f>
        <v>Tarjeta de crédito</v>
      </c>
      <c r="Y618">
        <f>IF(Sala[[#This Row],[Cobrada]]="Sí",Sala[[#This Row],[Propina]],0)</f>
        <v>38.18</v>
      </c>
      <c r="Z618">
        <f>(IF(Sala[[#This Row],[Cobrada]]="Sí",Sala[[#This Row],[Monto total]],0))+Sala[[#This Row],[Propina real]]</f>
        <v>180.18</v>
      </c>
    </row>
    <row r="619" spans="1:26" x14ac:dyDescent="0.25">
      <c r="A619">
        <v>3</v>
      </c>
      <c r="B619" t="s">
        <v>520</v>
      </c>
      <c r="C619">
        <v>5</v>
      </c>
      <c r="D619" s="2">
        <v>45022</v>
      </c>
      <c r="E619" s="3">
        <v>3.888888888888889E-2</v>
      </c>
      <c r="F619" s="2">
        <v>45022</v>
      </c>
      <c r="G619" s="3">
        <v>0.13333333333333333</v>
      </c>
      <c r="H619" s="1" t="s">
        <v>23</v>
      </c>
      <c r="I619" t="s">
        <v>12</v>
      </c>
      <c r="J619" t="s">
        <v>601</v>
      </c>
      <c r="K619" s="9">
        <v>25.93</v>
      </c>
      <c r="L619" t="s">
        <v>17</v>
      </c>
      <c r="M619">
        <v>618</v>
      </c>
      <c r="N619" t="s">
        <v>47</v>
      </c>
      <c r="O619" s="3">
        <f>(Sala[[#This Row],[Hora de Salida]]-Sala[[#This Row],[Hora de llegada]])+IF(Sala[[#This Row],[Estado de la Mesa]]="Ocupada",(TEXT((15/(60*24)),"h:mm")),(TEXT(0,"h:mm")))</f>
        <v>9.4444444444444442E-2</v>
      </c>
      <c r="P619" s="43">
        <f>(SUMIF(Cocina[Número de Orden],Sala[[#This Row],[Número de Orden]],Cocina[Tiempo de Preparación]))</f>
        <v>118</v>
      </c>
      <c r="Q619" s="5" t="str">
        <f>TEXT(((SUMIF(Cocina[Número de Orden],Sala[[#This Row],[Número de Orden]],Cocina[Tiempo de Preparación]))/(60*24)),"h:mm")</f>
        <v>1:58</v>
      </c>
      <c r="R619" s="3">
        <f>MAX((Sala[[#This Row],[Tiempo de permanencia]]-Sala[[#This Row],[Tiempo de preparación (h)]]),0)</f>
        <v>1.2499999999999997E-2</v>
      </c>
      <c r="S619" s="8">
        <f>SUMIF(Cocina[Número de Orden],Sala[[#This Row],[Número de Orden]],Cocina[Ganancia bruta])</f>
        <v>319</v>
      </c>
      <c r="T619" s="8">
        <f>SUMIF(Cocina[Número de Orden],Sala[[#This Row],[Número de Orden]],Cocina[Costo Unitario])</f>
        <v>70</v>
      </c>
      <c r="U619" s="2">
        <f>Sala[[#This Row],[Fecha de Salida]]</f>
        <v>45022</v>
      </c>
      <c r="V619" s="7" t="str">
        <f>TEXT(Sala[[#This Row],[Fecha factura]],"dddd")</f>
        <v>jueves</v>
      </c>
      <c r="W619" t="str">
        <f>IF(Sala[[#This Row],[Tiempo de degustación]]&gt;0,"Sí","No")</f>
        <v>Sí</v>
      </c>
      <c r="X619" t="str">
        <f>IF(Sala[[#This Row],[Cobrada]]="Sí",Sala[[#This Row],[Método de Pago]],"Impago")</f>
        <v>Tarjeta de crédito</v>
      </c>
      <c r="Y619">
        <f>IF(Sala[[#This Row],[Cobrada]]="Sí",Sala[[#This Row],[Propina]],0)</f>
        <v>25.93</v>
      </c>
      <c r="Z619">
        <f>(IF(Sala[[#This Row],[Cobrada]]="Sí",Sala[[#This Row],[Monto total]],0))+Sala[[#This Row],[Propina real]]</f>
        <v>344.93</v>
      </c>
    </row>
    <row r="620" spans="1:26" x14ac:dyDescent="0.25">
      <c r="A620">
        <v>6</v>
      </c>
      <c r="B620" t="s">
        <v>355</v>
      </c>
      <c r="C620">
        <v>4</v>
      </c>
      <c r="D620" s="2">
        <v>45022</v>
      </c>
      <c r="E620" s="3">
        <v>1.1111111111111112E-2</v>
      </c>
      <c r="F620" s="2">
        <v>45022</v>
      </c>
      <c r="G620" s="3">
        <v>0.11180555555555556</v>
      </c>
      <c r="H620" s="1" t="s">
        <v>20</v>
      </c>
      <c r="I620" t="s">
        <v>25</v>
      </c>
      <c r="J620" t="s">
        <v>601</v>
      </c>
      <c r="K620" s="9">
        <v>16.440000000000001</v>
      </c>
      <c r="L620" t="s">
        <v>9</v>
      </c>
      <c r="M620">
        <v>619</v>
      </c>
      <c r="N620" t="s">
        <v>44</v>
      </c>
      <c r="O620" s="3">
        <f>(Sala[[#This Row],[Hora de Salida]]-Sala[[#This Row],[Hora de llegada]])+IF(Sala[[#This Row],[Estado de la Mesa]]="Ocupada",(TEXT((15/(60*24)),"h:mm")),(TEXT(0,"h:mm")))</f>
        <v>0.10069444444444445</v>
      </c>
      <c r="P620" s="43">
        <f>(SUMIF(Cocina[Número de Orden],Sala[[#This Row],[Número de Orden]],Cocina[Tiempo de Preparación]))</f>
        <v>96</v>
      </c>
      <c r="Q620" s="5" t="str">
        <f>TEXT(((SUMIF(Cocina[Número de Orden],Sala[[#This Row],[Número de Orden]],Cocina[Tiempo de Preparación]))/(60*24)),"h:mm")</f>
        <v>1:36</v>
      </c>
      <c r="R620" s="3">
        <f>MAX((Sala[[#This Row],[Tiempo de permanencia]]-Sala[[#This Row],[Tiempo de preparación (h)]]),0)</f>
        <v>3.4027777777777782E-2</v>
      </c>
      <c r="S620" s="8">
        <f>SUMIF(Cocina[Número de Orden],Sala[[#This Row],[Número de Orden]],Cocina[Ganancia bruta])</f>
        <v>132</v>
      </c>
      <c r="T620" s="8">
        <f>SUMIF(Cocina[Número de Orden],Sala[[#This Row],[Número de Orden]],Cocina[Costo Unitario])</f>
        <v>31</v>
      </c>
      <c r="U620" s="2">
        <f>Sala[[#This Row],[Fecha de Salida]]</f>
        <v>45022</v>
      </c>
      <c r="V620" s="7" t="str">
        <f>TEXT(Sala[[#This Row],[Fecha factura]],"dddd")</f>
        <v>jueves</v>
      </c>
      <c r="W620" t="str">
        <f>IF(Sala[[#This Row],[Tiempo de degustación]]&gt;0,"Sí","No")</f>
        <v>Sí</v>
      </c>
      <c r="X620" t="str">
        <f>IF(Sala[[#This Row],[Cobrada]]="Sí",Sala[[#This Row],[Método de Pago]],"Impago")</f>
        <v>Tarjeta de crédito</v>
      </c>
      <c r="Y620">
        <f>IF(Sala[[#This Row],[Cobrada]]="Sí",Sala[[#This Row],[Propina]],0)</f>
        <v>16.440000000000001</v>
      </c>
      <c r="Z620">
        <f>(IF(Sala[[#This Row],[Cobrada]]="Sí",Sala[[#This Row],[Monto total]],0))+Sala[[#This Row],[Propina real]]</f>
        <v>148.44</v>
      </c>
    </row>
    <row r="621" spans="1:26" x14ac:dyDescent="0.25">
      <c r="A621">
        <v>16</v>
      </c>
      <c r="B621" t="s">
        <v>521</v>
      </c>
      <c r="C621">
        <v>3</v>
      </c>
      <c r="D621" s="2">
        <v>45022</v>
      </c>
      <c r="E621" s="3">
        <v>0.11736111111111111</v>
      </c>
      <c r="F621" s="2">
        <v>45022</v>
      </c>
      <c r="G621" s="3">
        <v>0.25486111111111109</v>
      </c>
      <c r="H621" s="1" t="s">
        <v>23</v>
      </c>
      <c r="I621" t="s">
        <v>8</v>
      </c>
      <c r="J621" t="s">
        <v>601</v>
      </c>
      <c r="K621" s="9">
        <v>26.64</v>
      </c>
      <c r="L621" t="s">
        <v>9</v>
      </c>
      <c r="M621">
        <v>620</v>
      </c>
      <c r="N621" t="s">
        <v>21</v>
      </c>
      <c r="O621" s="3">
        <f>(Sala[[#This Row],[Hora de Salida]]-Sala[[#This Row],[Hora de llegada]])+IF(Sala[[#This Row],[Estado de la Mesa]]="Ocupada",(TEXT((15/(60*24)),"h:mm")),(TEXT(0,"h:mm")))</f>
        <v>0.13749999999999998</v>
      </c>
      <c r="P621" s="43">
        <f>(SUMIF(Cocina[Número de Orden],Sala[[#This Row],[Número de Orden]],Cocina[Tiempo de Preparación]))</f>
        <v>40</v>
      </c>
      <c r="Q621" s="5" t="str">
        <f>TEXT(((SUMIF(Cocina[Número de Orden],Sala[[#This Row],[Número de Orden]],Cocina[Tiempo de Preparación]))/(60*24)),"h:mm")</f>
        <v>0:40</v>
      </c>
      <c r="R621" s="3">
        <f>MAX((Sala[[#This Row],[Tiempo de permanencia]]-Sala[[#This Row],[Tiempo de preparación (h)]]),0)</f>
        <v>0.10972222222222221</v>
      </c>
      <c r="S621" s="8">
        <f>SUMIF(Cocina[Número de Orden],Sala[[#This Row],[Número de Orden]],Cocina[Ganancia bruta])</f>
        <v>57</v>
      </c>
      <c r="T621" s="8">
        <f>SUMIF(Cocina[Número de Orden],Sala[[#This Row],[Número de Orden]],Cocina[Costo Unitario])</f>
        <v>11</v>
      </c>
      <c r="U621" s="2">
        <f>Sala[[#This Row],[Fecha de Salida]]</f>
        <v>45022</v>
      </c>
      <c r="V621" s="7" t="str">
        <f>TEXT(Sala[[#This Row],[Fecha factura]],"dddd")</f>
        <v>jueves</v>
      </c>
      <c r="W621" t="str">
        <f>IF(Sala[[#This Row],[Tiempo de degustación]]&gt;0,"Sí","No")</f>
        <v>Sí</v>
      </c>
      <c r="X621" t="str">
        <f>IF(Sala[[#This Row],[Cobrada]]="Sí",Sala[[#This Row],[Método de Pago]],"Impago")</f>
        <v>Tarjeta de crédito</v>
      </c>
      <c r="Y621">
        <f>IF(Sala[[#This Row],[Cobrada]]="Sí",Sala[[#This Row],[Propina]],0)</f>
        <v>26.64</v>
      </c>
      <c r="Z621">
        <f>(IF(Sala[[#This Row],[Cobrada]]="Sí",Sala[[#This Row],[Monto total]],0))+Sala[[#This Row],[Propina real]]</f>
        <v>83.64</v>
      </c>
    </row>
    <row r="622" spans="1:26" x14ac:dyDescent="0.25">
      <c r="A622">
        <v>5</v>
      </c>
      <c r="B622" t="s">
        <v>522</v>
      </c>
      <c r="C622">
        <v>2</v>
      </c>
      <c r="D622" s="2">
        <v>45022</v>
      </c>
      <c r="E622" s="3">
        <v>4.7222222222222221E-2</v>
      </c>
      <c r="F622" s="2">
        <v>45022</v>
      </c>
      <c r="G622" s="3">
        <v>0.10208333333333333</v>
      </c>
      <c r="H622" s="1" t="s">
        <v>16</v>
      </c>
      <c r="I622" t="s">
        <v>8</v>
      </c>
      <c r="J622" t="s">
        <v>601</v>
      </c>
      <c r="K622" s="9">
        <v>42.27</v>
      </c>
      <c r="L622" t="s">
        <v>28</v>
      </c>
      <c r="M622">
        <v>621</v>
      </c>
      <c r="N622" t="s">
        <v>44</v>
      </c>
      <c r="O622" s="3">
        <f>(Sala[[#This Row],[Hora de Salida]]-Sala[[#This Row],[Hora de llegada]])+IF(Sala[[#This Row],[Estado de la Mesa]]="Ocupada",(TEXT((15/(60*24)),"h:mm")),(TEXT(0,"h:mm")))</f>
        <v>6.5277777777777782E-2</v>
      </c>
      <c r="P622" s="43">
        <f>(SUMIF(Cocina[Número de Orden],Sala[[#This Row],[Número de Orden]],Cocina[Tiempo de Preparación]))</f>
        <v>8</v>
      </c>
      <c r="Q622" s="5" t="str">
        <f>TEXT(((SUMIF(Cocina[Número de Orden],Sala[[#This Row],[Número de Orden]],Cocina[Tiempo de Preparación]))/(60*24)),"h:mm")</f>
        <v>0:08</v>
      </c>
      <c r="R622" s="3">
        <f>MAX((Sala[[#This Row],[Tiempo de permanencia]]-Sala[[#This Row],[Tiempo de preparación (h)]]),0)</f>
        <v>5.9722222222222225E-2</v>
      </c>
      <c r="S622" s="8">
        <f>SUMIF(Cocina[Número de Orden],Sala[[#This Row],[Número de Orden]],Cocina[Ganancia bruta])</f>
        <v>105</v>
      </c>
      <c r="T622" s="8">
        <f>SUMIF(Cocina[Número de Orden],Sala[[#This Row],[Número de Orden]],Cocina[Costo Unitario])</f>
        <v>21</v>
      </c>
      <c r="U622" s="2">
        <f>Sala[[#This Row],[Fecha de Salida]]</f>
        <v>45022</v>
      </c>
      <c r="V622" s="7" t="str">
        <f>TEXT(Sala[[#This Row],[Fecha factura]],"dddd")</f>
        <v>jueves</v>
      </c>
      <c r="W622" t="str">
        <f>IF(Sala[[#This Row],[Tiempo de degustación]]&gt;0,"Sí","No")</f>
        <v>Sí</v>
      </c>
      <c r="X622" t="str">
        <f>IF(Sala[[#This Row],[Cobrada]]="Sí",Sala[[#This Row],[Método de Pago]],"Impago")</f>
        <v>Tarjeta de crédito</v>
      </c>
      <c r="Y622">
        <f>IF(Sala[[#This Row],[Cobrada]]="Sí",Sala[[#This Row],[Propina]],0)</f>
        <v>42.27</v>
      </c>
      <c r="Z622">
        <f>(IF(Sala[[#This Row],[Cobrada]]="Sí",Sala[[#This Row],[Monto total]],0))+Sala[[#This Row],[Propina real]]</f>
        <v>147.27000000000001</v>
      </c>
    </row>
    <row r="623" spans="1:26" x14ac:dyDescent="0.25">
      <c r="A623">
        <v>7</v>
      </c>
      <c r="B623" t="s">
        <v>499</v>
      </c>
      <c r="C623">
        <v>5</v>
      </c>
      <c r="D623" s="2">
        <v>45022</v>
      </c>
      <c r="E623" s="3">
        <v>8.819444444444445E-2</v>
      </c>
      <c r="F623" s="2">
        <v>45022</v>
      </c>
      <c r="G623" s="3">
        <v>0.2298611111111111</v>
      </c>
      <c r="H623" s="1" t="s">
        <v>7</v>
      </c>
      <c r="I623" t="s">
        <v>25</v>
      </c>
      <c r="J623" t="s">
        <v>601</v>
      </c>
      <c r="K623" s="9">
        <v>11.47</v>
      </c>
      <c r="L623" t="s">
        <v>9</v>
      </c>
      <c r="M623">
        <v>622</v>
      </c>
      <c r="N623" t="s">
        <v>59</v>
      </c>
      <c r="O623" s="3">
        <f>(Sala[[#This Row],[Hora de Salida]]-Sala[[#This Row],[Hora de llegada]])+IF(Sala[[#This Row],[Estado de la Mesa]]="Ocupada",(TEXT((15/(60*24)),"h:mm")),(TEXT(0,"h:mm")))</f>
        <v>0.14166666666666666</v>
      </c>
      <c r="P623" s="43">
        <f>(SUMIF(Cocina[Número de Orden],Sala[[#This Row],[Número de Orden]],Cocina[Tiempo de Preparación]))</f>
        <v>78</v>
      </c>
      <c r="Q623" s="5" t="str">
        <f>TEXT(((SUMIF(Cocina[Número de Orden],Sala[[#This Row],[Número de Orden]],Cocina[Tiempo de Preparación]))/(60*24)),"h:mm")</f>
        <v>1:18</v>
      </c>
      <c r="R623" s="3">
        <f>MAX((Sala[[#This Row],[Tiempo de permanencia]]-Sala[[#This Row],[Tiempo de preparación (h)]]),0)</f>
        <v>8.7499999999999994E-2</v>
      </c>
      <c r="S623" s="8">
        <f>SUMIF(Cocina[Número de Orden],Sala[[#This Row],[Número de Orden]],Cocina[Ganancia bruta])</f>
        <v>121</v>
      </c>
      <c r="T623" s="8">
        <f>SUMIF(Cocina[Número de Orden],Sala[[#This Row],[Número de Orden]],Cocina[Costo Unitario])</f>
        <v>35</v>
      </c>
      <c r="U623" s="2">
        <f>Sala[[#This Row],[Fecha de Salida]]</f>
        <v>45022</v>
      </c>
      <c r="V623" s="7" t="str">
        <f>TEXT(Sala[[#This Row],[Fecha factura]],"dddd")</f>
        <v>jueves</v>
      </c>
      <c r="W623" t="str">
        <f>IF(Sala[[#This Row],[Tiempo de degustación]]&gt;0,"Sí","No")</f>
        <v>Sí</v>
      </c>
      <c r="X623" t="str">
        <f>IF(Sala[[#This Row],[Cobrada]]="Sí",Sala[[#This Row],[Método de Pago]],"Impago")</f>
        <v>Tarjeta de crédito</v>
      </c>
      <c r="Y623">
        <f>IF(Sala[[#This Row],[Cobrada]]="Sí",Sala[[#This Row],[Propina]],0)</f>
        <v>11.47</v>
      </c>
      <c r="Z623">
        <f>(IF(Sala[[#This Row],[Cobrada]]="Sí",Sala[[#This Row],[Monto total]],0))+Sala[[#This Row],[Propina real]]</f>
        <v>132.47</v>
      </c>
    </row>
    <row r="624" spans="1:26" x14ac:dyDescent="0.25">
      <c r="A624">
        <v>13</v>
      </c>
      <c r="B624" t="s">
        <v>402</v>
      </c>
      <c r="C624">
        <v>1</v>
      </c>
      <c r="D624" s="2">
        <v>45022</v>
      </c>
      <c r="E624" s="3">
        <v>3.125E-2</v>
      </c>
      <c r="F624" s="2">
        <v>45022</v>
      </c>
      <c r="G624" s="3">
        <v>0.13194444444444445</v>
      </c>
      <c r="H624" s="1" t="s">
        <v>7</v>
      </c>
      <c r="I624" t="s">
        <v>8</v>
      </c>
      <c r="J624" t="s">
        <v>13</v>
      </c>
      <c r="K624" s="9">
        <v>22.05</v>
      </c>
      <c r="L624" t="s">
        <v>17</v>
      </c>
      <c r="M624">
        <v>623</v>
      </c>
      <c r="N624" t="s">
        <v>34</v>
      </c>
      <c r="O624" s="3">
        <f>(Sala[[#This Row],[Hora de Salida]]-Sala[[#This Row],[Hora de llegada]])+IF(Sala[[#This Row],[Estado de la Mesa]]="Ocupada",(TEXT((15/(60*24)),"h:mm")),(TEXT(0,"h:mm")))</f>
        <v>0.10069444444444445</v>
      </c>
      <c r="P624" s="43">
        <f>(SUMIF(Cocina[Número de Orden],Sala[[#This Row],[Número de Orden]],Cocina[Tiempo de Preparación]))</f>
        <v>145</v>
      </c>
      <c r="Q624" s="5" t="str">
        <f>TEXT(((SUMIF(Cocina[Número de Orden],Sala[[#This Row],[Número de Orden]],Cocina[Tiempo de Preparación]))/(60*24)),"h:mm")</f>
        <v>2:25</v>
      </c>
      <c r="R624" s="3">
        <f>MAX((Sala[[#This Row],[Tiempo de permanencia]]-Sala[[#This Row],[Tiempo de preparación (h)]]),0)</f>
        <v>0</v>
      </c>
      <c r="S624" s="8">
        <f>SUMIF(Cocina[Número de Orden],Sala[[#This Row],[Número de Orden]],Cocina[Ganancia bruta])</f>
        <v>235</v>
      </c>
      <c r="T624" s="8">
        <f>SUMIF(Cocina[Número de Orden],Sala[[#This Row],[Número de Orden]],Cocina[Costo Unitario])</f>
        <v>68</v>
      </c>
      <c r="U624" s="2">
        <f>Sala[[#This Row],[Fecha de Salida]]</f>
        <v>45022</v>
      </c>
      <c r="V624" s="7" t="str">
        <f>TEXT(Sala[[#This Row],[Fecha factura]],"dddd")</f>
        <v>jueves</v>
      </c>
      <c r="W624" t="str">
        <f>IF(Sala[[#This Row],[Tiempo de degustación]]&gt;0,"Sí","No")</f>
        <v>No</v>
      </c>
      <c r="X624" t="str">
        <f>IF(Sala[[#This Row],[Cobrada]]="Sí",Sala[[#This Row],[Método de Pago]],"Impago")</f>
        <v>Impago</v>
      </c>
      <c r="Y624">
        <f>IF(Sala[[#This Row],[Cobrada]]="Sí",Sala[[#This Row],[Propina]],0)</f>
        <v>0</v>
      </c>
      <c r="Z624">
        <f>(IF(Sala[[#This Row],[Cobrada]]="Sí",Sala[[#This Row],[Monto total]],0))+Sala[[#This Row],[Propina real]]</f>
        <v>0</v>
      </c>
    </row>
    <row r="625" spans="1:26" x14ac:dyDescent="0.25">
      <c r="A625">
        <v>1</v>
      </c>
      <c r="B625" t="s">
        <v>356</v>
      </c>
      <c r="C625">
        <v>4</v>
      </c>
      <c r="D625" s="2">
        <v>45022</v>
      </c>
      <c r="E625" s="3">
        <v>8.0555555555555561E-2</v>
      </c>
      <c r="F625" s="2">
        <v>45022</v>
      </c>
      <c r="G625" s="3">
        <v>0.14305555555555555</v>
      </c>
      <c r="H625" s="1" t="s">
        <v>11</v>
      </c>
      <c r="I625" t="s">
        <v>25</v>
      </c>
      <c r="J625" t="s">
        <v>601</v>
      </c>
      <c r="K625" s="9">
        <v>38</v>
      </c>
      <c r="L625" t="s">
        <v>9</v>
      </c>
      <c r="M625">
        <v>624</v>
      </c>
      <c r="N625" t="s">
        <v>59</v>
      </c>
      <c r="O625" s="3">
        <f>(Sala[[#This Row],[Hora de Salida]]-Sala[[#This Row],[Hora de llegada]])+IF(Sala[[#This Row],[Estado de la Mesa]]="Ocupada",(TEXT((15/(60*24)),"h:mm")),(TEXT(0,"h:mm")))</f>
        <v>6.2499999999999986E-2</v>
      </c>
      <c r="P625" s="43">
        <f>(SUMIF(Cocina[Número de Orden],Sala[[#This Row],[Número de Orden]],Cocina[Tiempo de Preparación]))</f>
        <v>79</v>
      </c>
      <c r="Q625" s="5" t="str">
        <f>TEXT(((SUMIF(Cocina[Número de Orden],Sala[[#This Row],[Número de Orden]],Cocina[Tiempo de Preparación]))/(60*24)),"h:mm")</f>
        <v>1:19</v>
      </c>
      <c r="R625" s="3">
        <f>MAX((Sala[[#This Row],[Tiempo de permanencia]]-Sala[[#This Row],[Tiempo de preparación (h)]]),0)</f>
        <v>7.6388888888888756E-3</v>
      </c>
      <c r="S625" s="8">
        <f>SUMIF(Cocina[Número de Orden],Sala[[#This Row],[Número de Orden]],Cocina[Ganancia bruta])</f>
        <v>102</v>
      </c>
      <c r="T625" s="8">
        <f>SUMIF(Cocina[Número de Orden],Sala[[#This Row],[Número de Orden]],Cocina[Costo Unitario])</f>
        <v>49</v>
      </c>
      <c r="U625" s="2">
        <f>Sala[[#This Row],[Fecha de Salida]]</f>
        <v>45022</v>
      </c>
      <c r="V625" s="7" t="str">
        <f>TEXT(Sala[[#This Row],[Fecha factura]],"dddd")</f>
        <v>jueves</v>
      </c>
      <c r="W625" t="str">
        <f>IF(Sala[[#This Row],[Tiempo de degustación]]&gt;0,"Sí","No")</f>
        <v>Sí</v>
      </c>
      <c r="X625" t="str">
        <f>IF(Sala[[#This Row],[Cobrada]]="Sí",Sala[[#This Row],[Método de Pago]],"Impago")</f>
        <v>Tarjeta de crédito</v>
      </c>
      <c r="Y625">
        <f>IF(Sala[[#This Row],[Cobrada]]="Sí",Sala[[#This Row],[Propina]],0)</f>
        <v>38</v>
      </c>
      <c r="Z625">
        <f>(IF(Sala[[#This Row],[Cobrada]]="Sí",Sala[[#This Row],[Monto total]],0))+Sala[[#This Row],[Propina real]]</f>
        <v>140</v>
      </c>
    </row>
    <row r="626" spans="1:26" x14ac:dyDescent="0.25">
      <c r="A626">
        <v>5</v>
      </c>
      <c r="B626" t="s">
        <v>523</v>
      </c>
      <c r="C626">
        <v>4</v>
      </c>
      <c r="D626" s="2">
        <v>45022</v>
      </c>
      <c r="E626" s="3">
        <v>6.2500000000000003E-3</v>
      </c>
      <c r="F626" s="2">
        <v>45022</v>
      </c>
      <c r="G626" s="3">
        <v>0.14027777777777778</v>
      </c>
      <c r="H626" s="1" t="s">
        <v>23</v>
      </c>
      <c r="I626" t="s">
        <v>25</v>
      </c>
      <c r="J626" t="s">
        <v>601</v>
      </c>
      <c r="K626" s="9">
        <v>41.73</v>
      </c>
      <c r="L626" t="s">
        <v>28</v>
      </c>
      <c r="M626">
        <v>625</v>
      </c>
      <c r="N626" t="s">
        <v>47</v>
      </c>
      <c r="O626" s="3">
        <f>(Sala[[#This Row],[Hora de Salida]]-Sala[[#This Row],[Hora de llegada]])+IF(Sala[[#This Row],[Estado de la Mesa]]="Ocupada",(TEXT((15/(60*24)),"h:mm")),(TEXT(0,"h:mm")))</f>
        <v>0.14444444444444443</v>
      </c>
      <c r="P626" s="43">
        <f>(SUMIF(Cocina[Número de Orden],Sala[[#This Row],[Número de Orden]],Cocina[Tiempo de Preparación]))</f>
        <v>97</v>
      </c>
      <c r="Q626" s="5" t="str">
        <f>TEXT(((SUMIF(Cocina[Número de Orden],Sala[[#This Row],[Número de Orden]],Cocina[Tiempo de Preparación]))/(60*24)),"h:mm")</f>
        <v>1:37</v>
      </c>
      <c r="R626" s="3">
        <f>MAX((Sala[[#This Row],[Tiempo de permanencia]]-Sala[[#This Row],[Tiempo de preparación (h)]]),0)</f>
        <v>7.7083333333333323E-2</v>
      </c>
      <c r="S626" s="8">
        <f>SUMIF(Cocina[Número de Orden],Sala[[#This Row],[Número de Orden]],Cocina[Ganancia bruta])</f>
        <v>139</v>
      </c>
      <c r="T626" s="8">
        <f>SUMIF(Cocina[Número de Orden],Sala[[#This Row],[Número de Orden]],Cocina[Costo Unitario])</f>
        <v>48</v>
      </c>
      <c r="U626" s="2">
        <f>Sala[[#This Row],[Fecha de Salida]]</f>
        <v>45022</v>
      </c>
      <c r="V626" s="7" t="str">
        <f>TEXT(Sala[[#This Row],[Fecha factura]],"dddd")</f>
        <v>jueves</v>
      </c>
      <c r="W626" t="str">
        <f>IF(Sala[[#This Row],[Tiempo de degustación]]&gt;0,"Sí","No")</f>
        <v>Sí</v>
      </c>
      <c r="X626" t="str">
        <f>IF(Sala[[#This Row],[Cobrada]]="Sí",Sala[[#This Row],[Método de Pago]],"Impago")</f>
        <v>Tarjeta de crédito</v>
      </c>
      <c r="Y626">
        <f>IF(Sala[[#This Row],[Cobrada]]="Sí",Sala[[#This Row],[Propina]],0)</f>
        <v>41.73</v>
      </c>
      <c r="Z626">
        <f>(IF(Sala[[#This Row],[Cobrada]]="Sí",Sala[[#This Row],[Monto total]],0))+Sala[[#This Row],[Propina real]]</f>
        <v>180.73</v>
      </c>
    </row>
    <row r="627" spans="1:26" x14ac:dyDescent="0.25">
      <c r="A627">
        <v>14</v>
      </c>
      <c r="B627" t="s">
        <v>524</v>
      </c>
      <c r="C627">
        <v>4</v>
      </c>
      <c r="D627" s="2">
        <v>45022</v>
      </c>
      <c r="E627" s="3">
        <v>0.11458333333333333</v>
      </c>
      <c r="F627" s="2">
        <v>45022</v>
      </c>
      <c r="G627" s="3">
        <v>0.1736111111111111</v>
      </c>
      <c r="H627" s="1" t="s">
        <v>23</v>
      </c>
      <c r="I627" t="s">
        <v>12</v>
      </c>
      <c r="J627" t="s">
        <v>601</v>
      </c>
      <c r="K627" s="9">
        <v>19.239999999999998</v>
      </c>
      <c r="L627" t="s">
        <v>17</v>
      </c>
      <c r="M627">
        <v>626</v>
      </c>
      <c r="N627" t="s">
        <v>59</v>
      </c>
      <c r="O627" s="3">
        <f>(Sala[[#This Row],[Hora de Salida]]-Sala[[#This Row],[Hora de llegada]])+IF(Sala[[#This Row],[Estado de la Mesa]]="Ocupada",(TEXT((15/(60*24)),"h:mm")),(TEXT(0,"h:mm")))</f>
        <v>5.9027777777777776E-2</v>
      </c>
      <c r="P627" s="43">
        <f>(SUMIF(Cocina[Número de Orden],Sala[[#This Row],[Número de Orden]],Cocina[Tiempo de Preparación]))</f>
        <v>58</v>
      </c>
      <c r="Q627" s="5" t="str">
        <f>TEXT(((SUMIF(Cocina[Número de Orden],Sala[[#This Row],[Número de Orden]],Cocina[Tiempo de Preparación]))/(60*24)),"h:mm")</f>
        <v>0:58</v>
      </c>
      <c r="R627" s="3">
        <f>MAX((Sala[[#This Row],[Tiempo de permanencia]]-Sala[[#This Row],[Tiempo de preparación (h)]]),0)</f>
        <v>1.8749999999999996E-2</v>
      </c>
      <c r="S627" s="8">
        <f>SUMIF(Cocina[Número de Orden],Sala[[#This Row],[Número de Orden]],Cocina[Ganancia bruta])</f>
        <v>137</v>
      </c>
      <c r="T627" s="8">
        <f>SUMIF(Cocina[Número de Orden],Sala[[#This Row],[Número de Orden]],Cocina[Costo Unitario])</f>
        <v>49</v>
      </c>
      <c r="U627" s="2">
        <f>Sala[[#This Row],[Fecha de Salida]]</f>
        <v>45022</v>
      </c>
      <c r="V627" s="7" t="str">
        <f>TEXT(Sala[[#This Row],[Fecha factura]],"dddd")</f>
        <v>jueves</v>
      </c>
      <c r="W627" t="str">
        <f>IF(Sala[[#This Row],[Tiempo de degustación]]&gt;0,"Sí","No")</f>
        <v>Sí</v>
      </c>
      <c r="X627" t="str">
        <f>IF(Sala[[#This Row],[Cobrada]]="Sí",Sala[[#This Row],[Método de Pago]],"Impago")</f>
        <v>Tarjeta de crédito</v>
      </c>
      <c r="Y627">
        <f>IF(Sala[[#This Row],[Cobrada]]="Sí",Sala[[#This Row],[Propina]],0)</f>
        <v>19.239999999999998</v>
      </c>
      <c r="Z627">
        <f>(IF(Sala[[#This Row],[Cobrada]]="Sí",Sala[[#This Row],[Monto total]],0))+Sala[[#This Row],[Propina real]]</f>
        <v>156.24</v>
      </c>
    </row>
    <row r="628" spans="1:26" x14ac:dyDescent="0.25">
      <c r="A628">
        <v>4</v>
      </c>
      <c r="B628" t="s">
        <v>228</v>
      </c>
      <c r="C628">
        <v>3</v>
      </c>
      <c r="D628" s="2">
        <v>45022</v>
      </c>
      <c r="E628" s="3">
        <v>9.930555555555555E-2</v>
      </c>
      <c r="F628" s="2">
        <v>45022</v>
      </c>
      <c r="G628" s="3">
        <v>0.17569444444444443</v>
      </c>
      <c r="H628" s="1" t="s">
        <v>7</v>
      </c>
      <c r="I628" t="s">
        <v>8</v>
      </c>
      <c r="J628" t="s">
        <v>601</v>
      </c>
      <c r="K628" s="9">
        <v>44.24</v>
      </c>
      <c r="L628" t="s">
        <v>28</v>
      </c>
      <c r="M628">
        <v>627</v>
      </c>
      <c r="N628" t="s">
        <v>44</v>
      </c>
      <c r="O628" s="3">
        <f>(Sala[[#This Row],[Hora de Salida]]-Sala[[#This Row],[Hora de llegada]])+IF(Sala[[#This Row],[Estado de la Mesa]]="Ocupada",(TEXT((15/(60*24)),"h:mm")),(TEXT(0,"h:mm")))</f>
        <v>8.6805555555555552E-2</v>
      </c>
      <c r="P628" s="43">
        <f>(SUMIF(Cocina[Número de Orden],Sala[[#This Row],[Número de Orden]],Cocina[Tiempo de Preparación]))</f>
        <v>37</v>
      </c>
      <c r="Q628" s="5" t="str">
        <f>TEXT(((SUMIF(Cocina[Número de Orden],Sala[[#This Row],[Número de Orden]],Cocina[Tiempo de Preparación]))/(60*24)),"h:mm")</f>
        <v>0:37</v>
      </c>
      <c r="R628" s="3">
        <f>MAX((Sala[[#This Row],[Tiempo de permanencia]]-Sala[[#This Row],[Tiempo de preparación (h)]]),0)</f>
        <v>6.1111111111111109E-2</v>
      </c>
      <c r="S628" s="8">
        <f>SUMIF(Cocina[Número de Orden],Sala[[#This Row],[Número de Orden]],Cocina[Ganancia bruta])</f>
        <v>21</v>
      </c>
      <c r="T628" s="8">
        <f>SUMIF(Cocina[Número de Orden],Sala[[#This Row],[Número de Orden]],Cocina[Costo Unitario])</f>
        <v>13</v>
      </c>
      <c r="U628" s="2">
        <f>Sala[[#This Row],[Fecha de Salida]]</f>
        <v>45022</v>
      </c>
      <c r="V628" s="7" t="str">
        <f>TEXT(Sala[[#This Row],[Fecha factura]],"dddd")</f>
        <v>jueves</v>
      </c>
      <c r="W628" t="str">
        <f>IF(Sala[[#This Row],[Tiempo de degustación]]&gt;0,"Sí","No")</f>
        <v>Sí</v>
      </c>
      <c r="X628" t="str">
        <f>IF(Sala[[#This Row],[Cobrada]]="Sí",Sala[[#This Row],[Método de Pago]],"Impago")</f>
        <v>Tarjeta de crédito</v>
      </c>
      <c r="Y628">
        <f>IF(Sala[[#This Row],[Cobrada]]="Sí",Sala[[#This Row],[Propina]],0)</f>
        <v>44.24</v>
      </c>
      <c r="Z628">
        <f>(IF(Sala[[#This Row],[Cobrada]]="Sí",Sala[[#This Row],[Monto total]],0))+Sala[[#This Row],[Propina real]]</f>
        <v>65.240000000000009</v>
      </c>
    </row>
    <row r="629" spans="1:26" x14ac:dyDescent="0.25">
      <c r="A629">
        <v>2</v>
      </c>
      <c r="B629" t="s">
        <v>209</v>
      </c>
      <c r="C629">
        <v>1</v>
      </c>
      <c r="D629" s="2">
        <v>45022</v>
      </c>
      <c r="E629" s="3">
        <v>6.2500000000000003E-3</v>
      </c>
      <c r="F629" s="2">
        <v>45022</v>
      </c>
      <c r="G629" s="3">
        <v>6.7361111111111108E-2</v>
      </c>
      <c r="H629" s="1" t="s">
        <v>7</v>
      </c>
      <c r="I629" t="s">
        <v>12</v>
      </c>
      <c r="J629" t="s">
        <v>601</v>
      </c>
      <c r="K629" s="9">
        <v>15.03</v>
      </c>
      <c r="L629" t="s">
        <v>9</v>
      </c>
      <c r="M629">
        <v>628</v>
      </c>
      <c r="N629" t="s">
        <v>47</v>
      </c>
      <c r="O629" s="3">
        <f>(Sala[[#This Row],[Hora de Salida]]-Sala[[#This Row],[Hora de llegada]])+IF(Sala[[#This Row],[Estado de la Mesa]]="Ocupada",(TEXT((15/(60*24)),"h:mm")),(TEXT(0,"h:mm")))</f>
        <v>6.1111111111111109E-2</v>
      </c>
      <c r="P629" s="43">
        <f>(SUMIF(Cocina[Número de Orden],Sala[[#This Row],[Número de Orden]],Cocina[Tiempo de Preparación]))</f>
        <v>43</v>
      </c>
      <c r="Q629" s="5" t="str">
        <f>TEXT(((SUMIF(Cocina[Número de Orden],Sala[[#This Row],[Número de Orden]],Cocina[Tiempo de Preparación]))/(60*24)),"h:mm")</f>
        <v>0:43</v>
      </c>
      <c r="R629" s="3">
        <f>MAX((Sala[[#This Row],[Tiempo de permanencia]]-Sala[[#This Row],[Tiempo de preparación (h)]]),0)</f>
        <v>3.1249999999999997E-2</v>
      </c>
      <c r="S629" s="8">
        <f>SUMIF(Cocina[Número de Orden],Sala[[#This Row],[Número de Orden]],Cocina[Ganancia bruta])</f>
        <v>168</v>
      </c>
      <c r="T629" s="8">
        <f>SUMIF(Cocina[Número de Orden],Sala[[#This Row],[Número de Orden]],Cocina[Costo Unitario])</f>
        <v>39</v>
      </c>
      <c r="U629" s="2">
        <f>Sala[[#This Row],[Fecha de Salida]]</f>
        <v>45022</v>
      </c>
      <c r="V629" s="7" t="str">
        <f>TEXT(Sala[[#This Row],[Fecha factura]],"dddd")</f>
        <v>jueves</v>
      </c>
      <c r="W629" t="str">
        <f>IF(Sala[[#This Row],[Tiempo de degustación]]&gt;0,"Sí","No")</f>
        <v>Sí</v>
      </c>
      <c r="X629" t="str">
        <f>IF(Sala[[#This Row],[Cobrada]]="Sí",Sala[[#This Row],[Método de Pago]],"Impago")</f>
        <v>Tarjeta de crédito</v>
      </c>
      <c r="Y629">
        <f>IF(Sala[[#This Row],[Cobrada]]="Sí",Sala[[#This Row],[Propina]],0)</f>
        <v>15.03</v>
      </c>
      <c r="Z629">
        <f>(IF(Sala[[#This Row],[Cobrada]]="Sí",Sala[[#This Row],[Monto total]],0))+Sala[[#This Row],[Propina real]]</f>
        <v>183.03</v>
      </c>
    </row>
    <row r="630" spans="1:26" x14ac:dyDescent="0.25">
      <c r="A630">
        <v>17</v>
      </c>
      <c r="B630" t="s">
        <v>66</v>
      </c>
      <c r="C630">
        <v>2</v>
      </c>
      <c r="D630" s="2">
        <v>45022</v>
      </c>
      <c r="E630" s="3">
        <v>8.819444444444445E-2</v>
      </c>
      <c r="F630" s="2">
        <v>45022</v>
      </c>
      <c r="G630" s="3">
        <v>0.24652777777777779</v>
      </c>
      <c r="H630" s="1" t="s">
        <v>23</v>
      </c>
      <c r="I630" t="s">
        <v>25</v>
      </c>
      <c r="J630" t="s">
        <v>600</v>
      </c>
      <c r="K630" s="9">
        <v>26.07</v>
      </c>
      <c r="L630" t="s">
        <v>28</v>
      </c>
      <c r="M630">
        <v>629</v>
      </c>
      <c r="N630" t="s">
        <v>59</v>
      </c>
      <c r="O630" s="3">
        <f>(Sala[[#This Row],[Hora de Salida]]-Sala[[#This Row],[Hora de llegada]])+IF(Sala[[#This Row],[Estado de la Mesa]]="Ocupada",(TEXT((15/(60*24)),"h:mm")),(TEXT(0,"h:mm")))</f>
        <v>0.16874999999999998</v>
      </c>
      <c r="P630" s="43">
        <f>(SUMIF(Cocina[Número de Orden],Sala[[#This Row],[Número de Orden]],Cocina[Tiempo de Preparación]))</f>
        <v>84</v>
      </c>
      <c r="Q630" s="5" t="str">
        <f>TEXT(((SUMIF(Cocina[Número de Orden],Sala[[#This Row],[Número de Orden]],Cocina[Tiempo de Preparación]))/(60*24)),"h:mm")</f>
        <v>1:24</v>
      </c>
      <c r="R630" s="3">
        <f>MAX((Sala[[#This Row],[Tiempo de permanencia]]-Sala[[#This Row],[Tiempo de preparación (h)]]),0)</f>
        <v>0.11041666666666665</v>
      </c>
      <c r="S630" s="8">
        <f>SUMIF(Cocina[Número de Orden],Sala[[#This Row],[Número de Orden]],Cocina[Ganancia bruta])</f>
        <v>130</v>
      </c>
      <c r="T630" s="8">
        <f>SUMIF(Cocina[Número de Orden],Sala[[#This Row],[Número de Orden]],Cocina[Costo Unitario])</f>
        <v>42</v>
      </c>
      <c r="U630" s="2">
        <f>Sala[[#This Row],[Fecha de Salida]]</f>
        <v>45022</v>
      </c>
      <c r="V630" s="7" t="str">
        <f>TEXT(Sala[[#This Row],[Fecha factura]],"dddd")</f>
        <v>jueves</v>
      </c>
      <c r="W630" t="str">
        <f>IF(Sala[[#This Row],[Tiempo de degustación]]&gt;0,"Sí","No")</f>
        <v>Sí</v>
      </c>
      <c r="X630" t="str">
        <f>IF(Sala[[#This Row],[Cobrada]]="Sí",Sala[[#This Row],[Método de Pago]],"Impago")</f>
        <v>Tarjeta de débito</v>
      </c>
      <c r="Y630">
        <f>IF(Sala[[#This Row],[Cobrada]]="Sí",Sala[[#This Row],[Propina]],0)</f>
        <v>26.07</v>
      </c>
      <c r="Z630">
        <f>(IF(Sala[[#This Row],[Cobrada]]="Sí",Sala[[#This Row],[Monto total]],0))+Sala[[#This Row],[Propina real]]</f>
        <v>156.07</v>
      </c>
    </row>
    <row r="631" spans="1:26" x14ac:dyDescent="0.25">
      <c r="A631">
        <v>2</v>
      </c>
      <c r="B631" t="s">
        <v>310</v>
      </c>
      <c r="C631">
        <v>2</v>
      </c>
      <c r="D631" s="2">
        <v>45022</v>
      </c>
      <c r="E631" s="3">
        <v>1.3888888888888889E-3</v>
      </c>
      <c r="F631" s="2">
        <v>45022</v>
      </c>
      <c r="G631" s="3">
        <v>0.11736111111111111</v>
      </c>
      <c r="H631" s="1" t="s">
        <v>20</v>
      </c>
      <c r="I631" t="s">
        <v>8</v>
      </c>
      <c r="J631" t="s">
        <v>600</v>
      </c>
      <c r="K631" s="9">
        <v>36.619999999999997</v>
      </c>
      <c r="L631" t="s">
        <v>17</v>
      </c>
      <c r="M631">
        <v>630</v>
      </c>
      <c r="N631" t="s">
        <v>32</v>
      </c>
      <c r="O631" s="3">
        <f>(Sala[[#This Row],[Hora de Salida]]-Sala[[#This Row],[Hora de llegada]])+IF(Sala[[#This Row],[Estado de la Mesa]]="Ocupada",(TEXT((15/(60*24)),"h:mm")),(TEXT(0,"h:mm")))</f>
        <v>0.11597222222222223</v>
      </c>
      <c r="P631" s="43">
        <f>(SUMIF(Cocina[Número de Orden],Sala[[#This Row],[Número de Orden]],Cocina[Tiempo de Preparación]))</f>
        <v>75</v>
      </c>
      <c r="Q631" s="5" t="str">
        <f>TEXT(((SUMIF(Cocina[Número de Orden],Sala[[#This Row],[Número de Orden]],Cocina[Tiempo de Preparación]))/(60*24)),"h:mm")</f>
        <v>1:15</v>
      </c>
      <c r="R631" s="3">
        <f>MAX((Sala[[#This Row],[Tiempo de permanencia]]-Sala[[#This Row],[Tiempo de preparación (h)]]),0)</f>
        <v>6.3888888888888884E-2</v>
      </c>
      <c r="S631" s="8">
        <f>SUMIF(Cocina[Número de Orden],Sala[[#This Row],[Número de Orden]],Cocina[Ganancia bruta])</f>
        <v>182</v>
      </c>
      <c r="T631" s="8">
        <f>SUMIF(Cocina[Número de Orden],Sala[[#This Row],[Número de Orden]],Cocina[Costo Unitario])</f>
        <v>44</v>
      </c>
      <c r="U631" s="2">
        <f>Sala[[#This Row],[Fecha de Salida]]</f>
        <v>45022</v>
      </c>
      <c r="V631" s="7" t="str">
        <f>TEXT(Sala[[#This Row],[Fecha factura]],"dddd")</f>
        <v>jueves</v>
      </c>
      <c r="W631" t="str">
        <f>IF(Sala[[#This Row],[Tiempo de degustación]]&gt;0,"Sí","No")</f>
        <v>Sí</v>
      </c>
      <c r="X631" t="str">
        <f>IF(Sala[[#This Row],[Cobrada]]="Sí",Sala[[#This Row],[Método de Pago]],"Impago")</f>
        <v>Tarjeta de débito</v>
      </c>
      <c r="Y631">
        <f>IF(Sala[[#This Row],[Cobrada]]="Sí",Sala[[#This Row],[Propina]],0)</f>
        <v>36.619999999999997</v>
      </c>
      <c r="Z631">
        <f>(IF(Sala[[#This Row],[Cobrada]]="Sí",Sala[[#This Row],[Monto total]],0))+Sala[[#This Row],[Propina real]]</f>
        <v>218.62</v>
      </c>
    </row>
    <row r="632" spans="1:26" x14ac:dyDescent="0.25">
      <c r="A632">
        <v>6</v>
      </c>
      <c r="B632" t="s">
        <v>375</v>
      </c>
      <c r="C632">
        <v>1</v>
      </c>
      <c r="D632" s="2">
        <v>45022</v>
      </c>
      <c r="E632" s="3">
        <v>1.4583333333333334E-2</v>
      </c>
      <c r="F632" s="2">
        <v>45022</v>
      </c>
      <c r="G632" s="3">
        <v>0.11874999999999999</v>
      </c>
      <c r="H632" s="1" t="s">
        <v>20</v>
      </c>
      <c r="I632" t="s">
        <v>25</v>
      </c>
      <c r="J632" t="s">
        <v>601</v>
      </c>
      <c r="K632" s="9">
        <v>39.71</v>
      </c>
      <c r="L632" t="s">
        <v>9</v>
      </c>
      <c r="M632">
        <v>631</v>
      </c>
      <c r="N632" t="s">
        <v>14</v>
      </c>
      <c r="O632" s="3">
        <f>(Sala[[#This Row],[Hora de Salida]]-Sala[[#This Row],[Hora de llegada]])+IF(Sala[[#This Row],[Estado de la Mesa]]="Ocupada",(TEXT((15/(60*24)),"h:mm")),(TEXT(0,"h:mm")))</f>
        <v>0.10416666666666666</v>
      </c>
      <c r="P632" s="43">
        <f>(SUMIF(Cocina[Número de Orden],Sala[[#This Row],[Número de Orden]],Cocina[Tiempo de Preparación]))</f>
        <v>46</v>
      </c>
      <c r="Q632" s="5" t="str">
        <f>TEXT(((SUMIF(Cocina[Número de Orden],Sala[[#This Row],[Número de Orden]],Cocina[Tiempo de Preparación]))/(60*24)),"h:mm")</f>
        <v>0:46</v>
      </c>
      <c r="R632" s="3">
        <f>MAX((Sala[[#This Row],[Tiempo de permanencia]]-Sala[[#This Row],[Tiempo de preparación (h)]]),0)</f>
        <v>7.2222222222222215E-2</v>
      </c>
      <c r="S632" s="8">
        <f>SUMIF(Cocina[Número de Orden],Sala[[#This Row],[Número de Orden]],Cocina[Ganancia bruta])</f>
        <v>66</v>
      </c>
      <c r="T632" s="8">
        <f>SUMIF(Cocina[Número de Orden],Sala[[#This Row],[Número de Orden]],Cocina[Costo Unitario])</f>
        <v>13</v>
      </c>
      <c r="U632" s="2">
        <f>Sala[[#This Row],[Fecha de Salida]]</f>
        <v>45022</v>
      </c>
      <c r="V632" s="7" t="str">
        <f>TEXT(Sala[[#This Row],[Fecha factura]],"dddd")</f>
        <v>jueves</v>
      </c>
      <c r="W632" t="str">
        <f>IF(Sala[[#This Row],[Tiempo de degustación]]&gt;0,"Sí","No")</f>
        <v>Sí</v>
      </c>
      <c r="X632" t="str">
        <f>IF(Sala[[#This Row],[Cobrada]]="Sí",Sala[[#This Row],[Método de Pago]],"Impago")</f>
        <v>Tarjeta de crédito</v>
      </c>
      <c r="Y632">
        <f>IF(Sala[[#This Row],[Cobrada]]="Sí",Sala[[#This Row],[Propina]],0)</f>
        <v>39.71</v>
      </c>
      <c r="Z632">
        <f>(IF(Sala[[#This Row],[Cobrada]]="Sí",Sala[[#This Row],[Monto total]],0))+Sala[[#This Row],[Propina real]]</f>
        <v>105.71000000000001</v>
      </c>
    </row>
    <row r="633" spans="1:26" x14ac:dyDescent="0.25">
      <c r="A633">
        <v>16</v>
      </c>
      <c r="B633" t="s">
        <v>525</v>
      </c>
      <c r="C633">
        <v>2</v>
      </c>
      <c r="D633" s="2">
        <v>45022</v>
      </c>
      <c r="E633" s="3">
        <v>1.0416666666666666E-2</v>
      </c>
      <c r="F633" s="2">
        <v>45022</v>
      </c>
      <c r="G633" s="3">
        <v>0.12152777777777778</v>
      </c>
      <c r="H633" s="1" t="s">
        <v>7</v>
      </c>
      <c r="I633" t="s">
        <v>12</v>
      </c>
      <c r="J633" t="s">
        <v>601</v>
      </c>
      <c r="K633" s="9">
        <v>22.41</v>
      </c>
      <c r="L633" t="s">
        <v>17</v>
      </c>
      <c r="M633">
        <v>632</v>
      </c>
      <c r="N633" t="s">
        <v>44</v>
      </c>
      <c r="O633" s="3">
        <f>(Sala[[#This Row],[Hora de Salida]]-Sala[[#This Row],[Hora de llegada]])+IF(Sala[[#This Row],[Estado de la Mesa]]="Ocupada",(TEXT((15/(60*24)),"h:mm")),(TEXT(0,"h:mm")))</f>
        <v>0.1111111111111111</v>
      </c>
      <c r="P633" s="43">
        <f>(SUMIF(Cocina[Número de Orden],Sala[[#This Row],[Número de Orden]],Cocina[Tiempo de Preparación]))</f>
        <v>88</v>
      </c>
      <c r="Q633" s="5" t="str">
        <f>TEXT(((SUMIF(Cocina[Número de Orden],Sala[[#This Row],[Número de Orden]],Cocina[Tiempo de Preparación]))/(60*24)),"h:mm")</f>
        <v>1:28</v>
      </c>
      <c r="R633" s="3">
        <f>MAX((Sala[[#This Row],[Tiempo de permanencia]]-Sala[[#This Row],[Tiempo de preparación (h)]]),0)</f>
        <v>4.9999999999999996E-2</v>
      </c>
      <c r="S633" s="8">
        <f>SUMIF(Cocina[Número de Orden],Sala[[#This Row],[Número de Orden]],Cocina[Ganancia bruta])</f>
        <v>129</v>
      </c>
      <c r="T633" s="8">
        <f>SUMIF(Cocina[Número de Orden],Sala[[#This Row],[Número de Orden]],Cocina[Costo Unitario])</f>
        <v>39</v>
      </c>
      <c r="U633" s="2">
        <f>Sala[[#This Row],[Fecha de Salida]]</f>
        <v>45022</v>
      </c>
      <c r="V633" s="7" t="str">
        <f>TEXT(Sala[[#This Row],[Fecha factura]],"dddd")</f>
        <v>jueves</v>
      </c>
      <c r="W633" t="str">
        <f>IF(Sala[[#This Row],[Tiempo de degustación]]&gt;0,"Sí","No")</f>
        <v>Sí</v>
      </c>
      <c r="X633" t="str">
        <f>IF(Sala[[#This Row],[Cobrada]]="Sí",Sala[[#This Row],[Método de Pago]],"Impago")</f>
        <v>Tarjeta de crédito</v>
      </c>
      <c r="Y633">
        <f>IF(Sala[[#This Row],[Cobrada]]="Sí",Sala[[#This Row],[Propina]],0)</f>
        <v>22.41</v>
      </c>
      <c r="Z633">
        <f>(IF(Sala[[#This Row],[Cobrada]]="Sí",Sala[[#This Row],[Monto total]],0))+Sala[[#This Row],[Propina real]]</f>
        <v>151.41</v>
      </c>
    </row>
    <row r="634" spans="1:26" x14ac:dyDescent="0.25">
      <c r="A634">
        <v>16</v>
      </c>
      <c r="B634" t="s">
        <v>526</v>
      </c>
      <c r="C634">
        <v>5</v>
      </c>
      <c r="D634" s="2">
        <v>45022</v>
      </c>
      <c r="E634" s="3">
        <v>0.15486111111111112</v>
      </c>
      <c r="F634" s="2">
        <v>45022</v>
      </c>
      <c r="G634" s="3">
        <v>0.22777777777777777</v>
      </c>
      <c r="H634" s="1" t="s">
        <v>7</v>
      </c>
      <c r="I634" t="s">
        <v>8</v>
      </c>
      <c r="J634" t="s">
        <v>601</v>
      </c>
      <c r="K634" s="9">
        <v>11.19</v>
      </c>
      <c r="L634" t="s">
        <v>9</v>
      </c>
      <c r="M634">
        <v>633</v>
      </c>
      <c r="N634" t="s">
        <v>32</v>
      </c>
      <c r="O634" s="3">
        <f>(Sala[[#This Row],[Hora de Salida]]-Sala[[#This Row],[Hora de llegada]])+IF(Sala[[#This Row],[Estado de la Mesa]]="Ocupada",(TEXT((15/(60*24)),"h:mm")),(TEXT(0,"h:mm")))</f>
        <v>7.2916666666666657E-2</v>
      </c>
      <c r="P634" s="43">
        <f>(SUMIF(Cocina[Número de Orden],Sala[[#This Row],[Número de Orden]],Cocina[Tiempo de Preparación]))</f>
        <v>149</v>
      </c>
      <c r="Q634" s="5" t="str">
        <f>TEXT(((SUMIF(Cocina[Número de Orden],Sala[[#This Row],[Número de Orden]],Cocina[Tiempo de Preparación]))/(60*24)),"h:mm")</f>
        <v>2:29</v>
      </c>
      <c r="R634" s="3">
        <f>MAX((Sala[[#This Row],[Tiempo de permanencia]]-Sala[[#This Row],[Tiempo de preparación (h)]]),0)</f>
        <v>0</v>
      </c>
      <c r="S634" s="8">
        <f>SUMIF(Cocina[Número de Orden],Sala[[#This Row],[Número de Orden]],Cocina[Ganancia bruta])</f>
        <v>236</v>
      </c>
      <c r="T634" s="8">
        <f>SUMIF(Cocina[Número de Orden],Sala[[#This Row],[Número de Orden]],Cocina[Costo Unitario])</f>
        <v>55</v>
      </c>
      <c r="U634" s="2">
        <f>Sala[[#This Row],[Fecha de Salida]]</f>
        <v>45022</v>
      </c>
      <c r="V634" s="7" t="str">
        <f>TEXT(Sala[[#This Row],[Fecha factura]],"dddd")</f>
        <v>jueves</v>
      </c>
      <c r="W634" t="str">
        <f>IF(Sala[[#This Row],[Tiempo de degustación]]&gt;0,"Sí","No")</f>
        <v>No</v>
      </c>
      <c r="X634" t="str">
        <f>IF(Sala[[#This Row],[Cobrada]]="Sí",Sala[[#This Row],[Método de Pago]],"Impago")</f>
        <v>Impago</v>
      </c>
      <c r="Y634">
        <f>IF(Sala[[#This Row],[Cobrada]]="Sí",Sala[[#This Row],[Propina]],0)</f>
        <v>0</v>
      </c>
      <c r="Z634">
        <f>(IF(Sala[[#This Row],[Cobrada]]="Sí",Sala[[#This Row],[Monto total]],0))+Sala[[#This Row],[Propina real]]</f>
        <v>0</v>
      </c>
    </row>
    <row r="635" spans="1:26" x14ac:dyDescent="0.25">
      <c r="A635">
        <v>2</v>
      </c>
      <c r="B635" t="s">
        <v>390</v>
      </c>
      <c r="C635">
        <v>1</v>
      </c>
      <c r="D635" s="2">
        <v>45022</v>
      </c>
      <c r="E635" s="3">
        <v>2.0833333333333333E-3</v>
      </c>
      <c r="F635" s="2">
        <v>45022</v>
      </c>
      <c r="G635" s="3">
        <v>0.15</v>
      </c>
      <c r="H635" s="1" t="s">
        <v>11</v>
      </c>
      <c r="I635" t="s">
        <v>12</v>
      </c>
      <c r="J635" t="s">
        <v>601</v>
      </c>
      <c r="K635" s="9">
        <v>29.25</v>
      </c>
      <c r="L635" t="s">
        <v>9</v>
      </c>
      <c r="M635">
        <v>634</v>
      </c>
      <c r="N635" t="s">
        <v>29</v>
      </c>
      <c r="O635" s="3">
        <f>(Sala[[#This Row],[Hora de Salida]]-Sala[[#This Row],[Hora de llegada]])+IF(Sala[[#This Row],[Estado de la Mesa]]="Ocupada",(TEXT((15/(60*24)),"h:mm")),(TEXT(0,"h:mm")))</f>
        <v>0.14791666666666667</v>
      </c>
      <c r="P635" s="43">
        <f>(SUMIF(Cocina[Número de Orden],Sala[[#This Row],[Número de Orden]],Cocina[Tiempo de Preparación]))</f>
        <v>157</v>
      </c>
      <c r="Q635" s="5" t="str">
        <f>TEXT(((SUMIF(Cocina[Número de Orden],Sala[[#This Row],[Número de Orden]],Cocina[Tiempo de Preparación]))/(60*24)),"h:mm")</f>
        <v>2:37</v>
      </c>
      <c r="R635" s="3">
        <f>MAX((Sala[[#This Row],[Tiempo de permanencia]]-Sala[[#This Row],[Tiempo de preparación (h)]]),0)</f>
        <v>3.888888888888889E-2</v>
      </c>
      <c r="S635" s="8">
        <f>SUMIF(Cocina[Número de Orden],Sala[[#This Row],[Número de Orden]],Cocina[Ganancia bruta])</f>
        <v>344</v>
      </c>
      <c r="T635" s="8">
        <f>SUMIF(Cocina[Número de Orden],Sala[[#This Row],[Número de Orden]],Cocina[Costo Unitario])</f>
        <v>74</v>
      </c>
      <c r="U635" s="2">
        <f>Sala[[#This Row],[Fecha de Salida]]</f>
        <v>45022</v>
      </c>
      <c r="V635" s="7" t="str">
        <f>TEXT(Sala[[#This Row],[Fecha factura]],"dddd")</f>
        <v>jueves</v>
      </c>
      <c r="W635" t="str">
        <f>IF(Sala[[#This Row],[Tiempo de degustación]]&gt;0,"Sí","No")</f>
        <v>Sí</v>
      </c>
      <c r="X635" t="str">
        <f>IF(Sala[[#This Row],[Cobrada]]="Sí",Sala[[#This Row],[Método de Pago]],"Impago")</f>
        <v>Tarjeta de crédito</v>
      </c>
      <c r="Y635">
        <f>IF(Sala[[#This Row],[Cobrada]]="Sí",Sala[[#This Row],[Propina]],0)</f>
        <v>29.25</v>
      </c>
      <c r="Z635">
        <f>(IF(Sala[[#This Row],[Cobrada]]="Sí",Sala[[#This Row],[Monto total]],0))+Sala[[#This Row],[Propina real]]</f>
        <v>373.25</v>
      </c>
    </row>
    <row r="636" spans="1:26" x14ac:dyDescent="0.25">
      <c r="A636">
        <v>5</v>
      </c>
      <c r="B636" t="s">
        <v>527</v>
      </c>
      <c r="C636">
        <v>2</v>
      </c>
      <c r="D636" s="2">
        <v>45022</v>
      </c>
      <c r="E636" s="3">
        <v>1.1805555555555555E-2</v>
      </c>
      <c r="F636" s="2">
        <v>45022</v>
      </c>
      <c r="G636" s="3">
        <v>0.12777777777777777</v>
      </c>
      <c r="H636" s="1" t="s">
        <v>16</v>
      </c>
      <c r="I636" t="s">
        <v>8</v>
      </c>
      <c r="J636" t="s">
        <v>601</v>
      </c>
      <c r="K636" s="9">
        <v>22.15</v>
      </c>
      <c r="L636" t="s">
        <v>17</v>
      </c>
      <c r="M636">
        <v>635</v>
      </c>
      <c r="N636" t="s">
        <v>593</v>
      </c>
      <c r="O636" s="3">
        <f>(Sala[[#This Row],[Hora de Salida]]-Sala[[#This Row],[Hora de llegada]])+IF(Sala[[#This Row],[Estado de la Mesa]]="Ocupada",(TEXT((15/(60*24)),"h:mm")),(TEXT(0,"h:mm")))</f>
        <v>0.11597222222222221</v>
      </c>
      <c r="P636" s="43">
        <f>(SUMIF(Cocina[Número de Orden],Sala[[#This Row],[Número de Orden]],Cocina[Tiempo de Preparación]))</f>
        <v>25</v>
      </c>
      <c r="Q636" s="5" t="str">
        <f>TEXT(((SUMIF(Cocina[Número de Orden],Sala[[#This Row],[Número de Orden]],Cocina[Tiempo de Preparación]))/(60*24)),"h:mm")</f>
        <v>0:25</v>
      </c>
      <c r="R636" s="3">
        <f>MAX((Sala[[#This Row],[Tiempo de permanencia]]-Sala[[#This Row],[Tiempo de preparación (h)]]),0)</f>
        <v>9.8611111111111094E-2</v>
      </c>
      <c r="S636" s="8">
        <f>SUMIF(Cocina[Número de Orden],Sala[[#This Row],[Número de Orden]],Cocina[Ganancia bruta])</f>
        <v>58</v>
      </c>
      <c r="T636" s="8">
        <f>SUMIF(Cocina[Número de Orden],Sala[[#This Row],[Número de Orden]],Cocina[Costo Unitario])</f>
        <v>17</v>
      </c>
      <c r="U636" s="2">
        <f>Sala[[#This Row],[Fecha de Salida]]</f>
        <v>45022</v>
      </c>
      <c r="V636" s="7" t="str">
        <f>TEXT(Sala[[#This Row],[Fecha factura]],"dddd")</f>
        <v>jueves</v>
      </c>
      <c r="W636" t="str">
        <f>IF(Sala[[#This Row],[Tiempo de degustación]]&gt;0,"Sí","No")</f>
        <v>Sí</v>
      </c>
      <c r="X636" t="str">
        <f>IF(Sala[[#This Row],[Cobrada]]="Sí",Sala[[#This Row],[Método de Pago]],"Impago")</f>
        <v>Tarjeta de crédito</v>
      </c>
      <c r="Y636">
        <f>IF(Sala[[#This Row],[Cobrada]]="Sí",Sala[[#This Row],[Propina]],0)</f>
        <v>22.15</v>
      </c>
      <c r="Z636">
        <f>(IF(Sala[[#This Row],[Cobrada]]="Sí",Sala[[#This Row],[Monto total]],0))+Sala[[#This Row],[Propina real]]</f>
        <v>80.150000000000006</v>
      </c>
    </row>
    <row r="637" spans="1:26" x14ac:dyDescent="0.25">
      <c r="A637">
        <v>14</v>
      </c>
      <c r="B637" t="s">
        <v>528</v>
      </c>
      <c r="C637">
        <v>3</v>
      </c>
      <c r="D637" s="2">
        <v>45022</v>
      </c>
      <c r="E637" s="3">
        <v>0.14930555555555555</v>
      </c>
      <c r="F637" s="2">
        <v>45022</v>
      </c>
      <c r="G637" s="3">
        <v>0.24166666666666667</v>
      </c>
      <c r="H637" s="1" t="s">
        <v>20</v>
      </c>
      <c r="I637" t="s">
        <v>25</v>
      </c>
      <c r="J637" t="s">
        <v>600</v>
      </c>
      <c r="K637" s="9">
        <v>32.86</v>
      </c>
      <c r="L637" t="s">
        <v>17</v>
      </c>
      <c r="M637">
        <v>636</v>
      </c>
      <c r="N637" t="s">
        <v>44</v>
      </c>
      <c r="O637" s="3">
        <f>(Sala[[#This Row],[Hora de Salida]]-Sala[[#This Row],[Hora de llegada]])+IF(Sala[[#This Row],[Estado de la Mesa]]="Ocupada",(TEXT((15/(60*24)),"h:mm")),(TEXT(0,"h:mm")))</f>
        <v>9.2361111111111116E-2</v>
      </c>
      <c r="P637" s="43">
        <f>(SUMIF(Cocina[Número de Orden],Sala[[#This Row],[Número de Orden]],Cocina[Tiempo de Preparación]))</f>
        <v>151</v>
      </c>
      <c r="Q637" s="5" t="str">
        <f>TEXT(((SUMIF(Cocina[Número de Orden],Sala[[#This Row],[Número de Orden]],Cocina[Tiempo de Preparación]))/(60*24)),"h:mm")</f>
        <v>2:31</v>
      </c>
      <c r="R637" s="3">
        <f>MAX((Sala[[#This Row],[Tiempo de permanencia]]-Sala[[#This Row],[Tiempo de preparación (h)]]),0)</f>
        <v>0</v>
      </c>
      <c r="S637" s="8">
        <f>SUMIF(Cocina[Número de Orden],Sala[[#This Row],[Número de Orden]],Cocina[Ganancia bruta])</f>
        <v>126</v>
      </c>
      <c r="T637" s="8">
        <f>SUMIF(Cocina[Número de Orden],Sala[[#This Row],[Número de Orden]],Cocina[Costo Unitario])</f>
        <v>38</v>
      </c>
      <c r="U637" s="2">
        <f>Sala[[#This Row],[Fecha de Salida]]</f>
        <v>45022</v>
      </c>
      <c r="V637" s="7" t="str">
        <f>TEXT(Sala[[#This Row],[Fecha factura]],"dddd")</f>
        <v>jueves</v>
      </c>
      <c r="W637" t="str">
        <f>IF(Sala[[#This Row],[Tiempo de degustación]]&gt;0,"Sí","No")</f>
        <v>No</v>
      </c>
      <c r="X637" t="str">
        <f>IF(Sala[[#This Row],[Cobrada]]="Sí",Sala[[#This Row],[Método de Pago]],"Impago")</f>
        <v>Impago</v>
      </c>
      <c r="Y637">
        <f>IF(Sala[[#This Row],[Cobrada]]="Sí",Sala[[#This Row],[Propina]],0)</f>
        <v>0</v>
      </c>
      <c r="Z637">
        <f>(IF(Sala[[#This Row],[Cobrada]]="Sí",Sala[[#This Row],[Monto total]],0))+Sala[[#This Row],[Propina real]]</f>
        <v>0</v>
      </c>
    </row>
    <row r="638" spans="1:26" x14ac:dyDescent="0.25">
      <c r="A638">
        <v>6</v>
      </c>
      <c r="B638" t="s">
        <v>529</v>
      </c>
      <c r="C638">
        <v>3</v>
      </c>
      <c r="D638" s="2">
        <v>45022</v>
      </c>
      <c r="E638" s="3">
        <v>7.9861111111111105E-2</v>
      </c>
      <c r="F638" s="2">
        <v>45022</v>
      </c>
      <c r="G638" s="3">
        <v>0.18888888888888888</v>
      </c>
      <c r="H638" s="1" t="s">
        <v>23</v>
      </c>
      <c r="I638" t="s">
        <v>8</v>
      </c>
      <c r="J638" t="s">
        <v>601</v>
      </c>
      <c r="K638" s="9">
        <v>36.58</v>
      </c>
      <c r="L638" t="s">
        <v>9</v>
      </c>
      <c r="M638">
        <v>637</v>
      </c>
      <c r="N638" t="s">
        <v>44</v>
      </c>
      <c r="O638" s="3">
        <f>(Sala[[#This Row],[Hora de Salida]]-Sala[[#This Row],[Hora de llegada]])+IF(Sala[[#This Row],[Estado de la Mesa]]="Ocupada",(TEXT((15/(60*24)),"h:mm")),(TEXT(0,"h:mm")))</f>
        <v>0.10902777777777778</v>
      </c>
      <c r="P638" s="43">
        <f>(SUMIF(Cocina[Número de Orden],Sala[[#This Row],[Número de Orden]],Cocina[Tiempo de Preparación]))</f>
        <v>61</v>
      </c>
      <c r="Q638" s="5" t="str">
        <f>TEXT(((SUMIF(Cocina[Número de Orden],Sala[[#This Row],[Número de Orden]],Cocina[Tiempo de Preparación]))/(60*24)),"h:mm")</f>
        <v>1:01</v>
      </c>
      <c r="R638" s="3">
        <f>MAX((Sala[[#This Row],[Tiempo de permanencia]]-Sala[[#This Row],[Tiempo de preparación (h)]]),0)</f>
        <v>6.6666666666666666E-2</v>
      </c>
      <c r="S638" s="8">
        <f>SUMIF(Cocina[Número de Orden],Sala[[#This Row],[Número de Orden]],Cocina[Ganancia bruta])</f>
        <v>117</v>
      </c>
      <c r="T638" s="8">
        <f>SUMIF(Cocina[Número de Orden],Sala[[#This Row],[Número de Orden]],Cocina[Costo Unitario])</f>
        <v>55</v>
      </c>
      <c r="U638" s="2">
        <f>Sala[[#This Row],[Fecha de Salida]]</f>
        <v>45022</v>
      </c>
      <c r="V638" s="7" t="str">
        <f>TEXT(Sala[[#This Row],[Fecha factura]],"dddd")</f>
        <v>jueves</v>
      </c>
      <c r="W638" t="str">
        <f>IF(Sala[[#This Row],[Tiempo de degustación]]&gt;0,"Sí","No")</f>
        <v>Sí</v>
      </c>
      <c r="X638" t="str">
        <f>IF(Sala[[#This Row],[Cobrada]]="Sí",Sala[[#This Row],[Método de Pago]],"Impago")</f>
        <v>Tarjeta de crédito</v>
      </c>
      <c r="Y638">
        <f>IF(Sala[[#This Row],[Cobrada]]="Sí",Sala[[#This Row],[Propina]],0)</f>
        <v>36.58</v>
      </c>
      <c r="Z638">
        <f>(IF(Sala[[#This Row],[Cobrada]]="Sí",Sala[[#This Row],[Monto total]],0))+Sala[[#This Row],[Propina real]]</f>
        <v>153.57999999999998</v>
      </c>
    </row>
    <row r="639" spans="1:26" x14ac:dyDescent="0.25">
      <c r="A639">
        <v>16</v>
      </c>
      <c r="B639" t="s">
        <v>195</v>
      </c>
      <c r="C639">
        <v>6</v>
      </c>
      <c r="D639" s="2">
        <v>45022</v>
      </c>
      <c r="E639" s="3">
        <v>3.7499999999999999E-2</v>
      </c>
      <c r="F639" s="2">
        <v>45022</v>
      </c>
      <c r="G639" s="3">
        <v>9.4444444444444442E-2</v>
      </c>
      <c r="H639" s="1" t="s">
        <v>7</v>
      </c>
      <c r="I639" t="s">
        <v>25</v>
      </c>
      <c r="J639" t="s">
        <v>601</v>
      </c>
      <c r="K639" s="9">
        <v>30.71</v>
      </c>
      <c r="L639" t="s">
        <v>28</v>
      </c>
      <c r="M639">
        <v>638</v>
      </c>
      <c r="N639" t="s">
        <v>59</v>
      </c>
      <c r="O639" s="3">
        <f>(Sala[[#This Row],[Hora de Salida]]-Sala[[#This Row],[Hora de llegada]])+IF(Sala[[#This Row],[Estado de la Mesa]]="Ocupada",(TEXT((15/(60*24)),"h:mm")),(TEXT(0,"h:mm")))</f>
        <v>6.7361111111111108E-2</v>
      </c>
      <c r="P639" s="43">
        <f>(SUMIF(Cocina[Número de Orden],Sala[[#This Row],[Número de Orden]],Cocina[Tiempo de Preparación]))</f>
        <v>44</v>
      </c>
      <c r="Q639" s="5" t="str">
        <f>TEXT(((SUMIF(Cocina[Número de Orden],Sala[[#This Row],[Número de Orden]],Cocina[Tiempo de Preparación]))/(60*24)),"h:mm")</f>
        <v>0:44</v>
      </c>
      <c r="R639" s="3">
        <f>MAX((Sala[[#This Row],[Tiempo de permanencia]]-Sala[[#This Row],[Tiempo de preparación (h)]]),0)</f>
        <v>3.680555555555555E-2</v>
      </c>
      <c r="S639" s="8">
        <f>SUMIF(Cocina[Número de Orden],Sala[[#This Row],[Número de Orden]],Cocina[Ganancia bruta])</f>
        <v>90</v>
      </c>
      <c r="T639" s="8">
        <f>SUMIF(Cocina[Número de Orden],Sala[[#This Row],[Número de Orden]],Cocina[Costo Unitario])</f>
        <v>18</v>
      </c>
      <c r="U639" s="2">
        <f>Sala[[#This Row],[Fecha de Salida]]</f>
        <v>45022</v>
      </c>
      <c r="V639" s="7" t="str">
        <f>TEXT(Sala[[#This Row],[Fecha factura]],"dddd")</f>
        <v>jueves</v>
      </c>
      <c r="W639" t="str">
        <f>IF(Sala[[#This Row],[Tiempo de degustación]]&gt;0,"Sí","No")</f>
        <v>Sí</v>
      </c>
      <c r="X639" t="str">
        <f>IF(Sala[[#This Row],[Cobrada]]="Sí",Sala[[#This Row],[Método de Pago]],"Impago")</f>
        <v>Tarjeta de crédito</v>
      </c>
      <c r="Y639">
        <f>IF(Sala[[#This Row],[Cobrada]]="Sí",Sala[[#This Row],[Propina]],0)</f>
        <v>30.71</v>
      </c>
      <c r="Z639">
        <f>(IF(Sala[[#This Row],[Cobrada]]="Sí",Sala[[#This Row],[Monto total]],0))+Sala[[#This Row],[Propina real]]</f>
        <v>120.71000000000001</v>
      </c>
    </row>
    <row r="640" spans="1:26" x14ac:dyDescent="0.25">
      <c r="A640">
        <v>8</v>
      </c>
      <c r="B640" t="s">
        <v>530</v>
      </c>
      <c r="C640">
        <v>4</v>
      </c>
      <c r="D640" s="2">
        <v>45022</v>
      </c>
      <c r="E640" s="3">
        <v>9.5138888888888884E-2</v>
      </c>
      <c r="F640" s="2">
        <v>45022</v>
      </c>
      <c r="G640" s="3">
        <v>0.22152777777777777</v>
      </c>
      <c r="H640" s="1" t="s">
        <v>16</v>
      </c>
      <c r="I640" t="s">
        <v>25</v>
      </c>
      <c r="J640" t="s">
        <v>601</v>
      </c>
      <c r="K640" s="9">
        <v>18.97</v>
      </c>
      <c r="L640" t="s">
        <v>9</v>
      </c>
      <c r="M640">
        <v>639</v>
      </c>
      <c r="N640" t="s">
        <v>594</v>
      </c>
      <c r="O640" s="3">
        <f>(Sala[[#This Row],[Hora de Salida]]-Sala[[#This Row],[Hora de llegada]])+IF(Sala[[#This Row],[Estado de la Mesa]]="Ocupada",(TEXT((15/(60*24)),"h:mm")),(TEXT(0,"h:mm")))</f>
        <v>0.12638888888888888</v>
      </c>
      <c r="P640" s="43">
        <f>(SUMIF(Cocina[Número de Orden],Sala[[#This Row],[Número de Orden]],Cocina[Tiempo de Preparación]))</f>
        <v>136</v>
      </c>
      <c r="Q640" s="5" t="str">
        <f>TEXT(((SUMIF(Cocina[Número de Orden],Sala[[#This Row],[Número de Orden]],Cocina[Tiempo de Preparación]))/(60*24)),"h:mm")</f>
        <v>2:16</v>
      </c>
      <c r="R640" s="3">
        <f>MAX((Sala[[#This Row],[Tiempo de permanencia]]-Sala[[#This Row],[Tiempo de preparación (h)]]),0)</f>
        <v>3.1944444444444442E-2</v>
      </c>
      <c r="S640" s="8">
        <f>SUMIF(Cocina[Número de Orden],Sala[[#This Row],[Número de Orden]],Cocina[Ganancia bruta])</f>
        <v>152</v>
      </c>
      <c r="T640" s="8">
        <f>SUMIF(Cocina[Número de Orden],Sala[[#This Row],[Número de Orden]],Cocina[Costo Unitario])</f>
        <v>45</v>
      </c>
      <c r="U640" s="2">
        <f>Sala[[#This Row],[Fecha de Salida]]</f>
        <v>45022</v>
      </c>
      <c r="V640" s="7" t="str">
        <f>TEXT(Sala[[#This Row],[Fecha factura]],"dddd")</f>
        <v>jueves</v>
      </c>
      <c r="W640" t="str">
        <f>IF(Sala[[#This Row],[Tiempo de degustación]]&gt;0,"Sí","No")</f>
        <v>Sí</v>
      </c>
      <c r="X640" t="str">
        <f>IF(Sala[[#This Row],[Cobrada]]="Sí",Sala[[#This Row],[Método de Pago]],"Impago")</f>
        <v>Tarjeta de crédito</v>
      </c>
      <c r="Y640">
        <f>IF(Sala[[#This Row],[Cobrada]]="Sí",Sala[[#This Row],[Propina]],0)</f>
        <v>18.97</v>
      </c>
      <c r="Z640">
        <f>(IF(Sala[[#This Row],[Cobrada]]="Sí",Sala[[#This Row],[Monto total]],0))+Sala[[#This Row],[Propina real]]</f>
        <v>170.97</v>
      </c>
    </row>
    <row r="641" spans="1:26" x14ac:dyDescent="0.25">
      <c r="A641">
        <v>14</v>
      </c>
      <c r="B641" t="s">
        <v>531</v>
      </c>
      <c r="C641">
        <v>3</v>
      </c>
      <c r="D641" s="2">
        <v>45022</v>
      </c>
      <c r="E641" s="3">
        <v>2.8472222222222222E-2</v>
      </c>
      <c r="F641" s="2">
        <v>45022</v>
      </c>
      <c r="G641" s="3">
        <v>7.6388888888888895E-2</v>
      </c>
      <c r="H641" s="1" t="s">
        <v>7</v>
      </c>
      <c r="I641" t="s">
        <v>8</v>
      </c>
      <c r="J641" t="s">
        <v>600</v>
      </c>
      <c r="K641" s="9">
        <v>49.29</v>
      </c>
      <c r="L641" t="s">
        <v>17</v>
      </c>
      <c r="M641">
        <v>640</v>
      </c>
      <c r="N641" t="s">
        <v>29</v>
      </c>
      <c r="O641" s="3">
        <f>(Sala[[#This Row],[Hora de Salida]]-Sala[[#This Row],[Hora de llegada]])+IF(Sala[[#This Row],[Estado de la Mesa]]="Ocupada",(TEXT((15/(60*24)),"h:mm")),(TEXT(0,"h:mm")))</f>
        <v>4.7916666666666677E-2</v>
      </c>
      <c r="P641" s="43">
        <f>(SUMIF(Cocina[Número de Orden],Sala[[#This Row],[Número de Orden]],Cocina[Tiempo de Preparación]))</f>
        <v>75</v>
      </c>
      <c r="Q641" s="5" t="str">
        <f>TEXT(((SUMIF(Cocina[Número de Orden],Sala[[#This Row],[Número de Orden]],Cocina[Tiempo de Preparación]))/(60*24)),"h:mm")</f>
        <v>1:15</v>
      </c>
      <c r="R641" s="3">
        <f>MAX((Sala[[#This Row],[Tiempo de permanencia]]-Sala[[#This Row],[Tiempo de preparación (h)]]),0)</f>
        <v>0</v>
      </c>
      <c r="S641" s="8">
        <f>SUMIF(Cocina[Número de Orden],Sala[[#This Row],[Número de Orden]],Cocina[Ganancia bruta])</f>
        <v>219</v>
      </c>
      <c r="T641" s="8">
        <f>SUMIF(Cocina[Número de Orden],Sala[[#This Row],[Número de Orden]],Cocina[Costo Unitario])</f>
        <v>48</v>
      </c>
      <c r="U641" s="2">
        <f>Sala[[#This Row],[Fecha de Salida]]</f>
        <v>45022</v>
      </c>
      <c r="V641" s="7" t="str">
        <f>TEXT(Sala[[#This Row],[Fecha factura]],"dddd")</f>
        <v>jueves</v>
      </c>
      <c r="W641" t="str">
        <f>IF(Sala[[#This Row],[Tiempo de degustación]]&gt;0,"Sí","No")</f>
        <v>No</v>
      </c>
      <c r="X641" t="str">
        <f>IF(Sala[[#This Row],[Cobrada]]="Sí",Sala[[#This Row],[Método de Pago]],"Impago")</f>
        <v>Impago</v>
      </c>
      <c r="Y641">
        <f>IF(Sala[[#This Row],[Cobrada]]="Sí",Sala[[#This Row],[Propina]],0)</f>
        <v>0</v>
      </c>
      <c r="Z641">
        <f>(IF(Sala[[#This Row],[Cobrada]]="Sí",Sala[[#This Row],[Monto total]],0))+Sala[[#This Row],[Propina real]]</f>
        <v>0</v>
      </c>
    </row>
    <row r="642" spans="1:26" x14ac:dyDescent="0.25">
      <c r="A642">
        <v>2</v>
      </c>
      <c r="B642" t="s">
        <v>532</v>
      </c>
      <c r="C642">
        <v>4</v>
      </c>
      <c r="D642" s="2">
        <v>45022</v>
      </c>
      <c r="E642" s="3">
        <v>4.7222222222222221E-2</v>
      </c>
      <c r="F642" s="2">
        <v>45022</v>
      </c>
      <c r="G642" s="3">
        <v>0.16111111111111112</v>
      </c>
      <c r="H642" s="1" t="s">
        <v>11</v>
      </c>
      <c r="I642" t="s">
        <v>8</v>
      </c>
      <c r="J642" t="s">
        <v>600</v>
      </c>
      <c r="K642" s="9">
        <v>39.68</v>
      </c>
      <c r="L642" t="s">
        <v>9</v>
      </c>
      <c r="M642">
        <v>641</v>
      </c>
      <c r="N642" t="s">
        <v>44</v>
      </c>
      <c r="O642" s="3">
        <f>(Sala[[#This Row],[Hora de Salida]]-Sala[[#This Row],[Hora de llegada]])+IF(Sala[[#This Row],[Estado de la Mesa]]="Ocupada",(TEXT((15/(60*24)),"h:mm")),(TEXT(0,"h:mm")))</f>
        <v>0.1138888888888889</v>
      </c>
      <c r="P642" s="43">
        <f>(SUMIF(Cocina[Número de Orden],Sala[[#This Row],[Número de Orden]],Cocina[Tiempo de Preparación]))</f>
        <v>74</v>
      </c>
      <c r="Q642" s="5" t="str">
        <f>TEXT(((SUMIF(Cocina[Número de Orden],Sala[[#This Row],[Número de Orden]],Cocina[Tiempo de Preparación]))/(60*24)),"h:mm")</f>
        <v>1:14</v>
      </c>
      <c r="R642" s="3">
        <f>MAX((Sala[[#This Row],[Tiempo de permanencia]]-Sala[[#This Row],[Tiempo de preparación (h)]]),0)</f>
        <v>6.2500000000000014E-2</v>
      </c>
      <c r="S642" s="8">
        <f>SUMIF(Cocina[Número de Orden],Sala[[#This Row],[Número de Orden]],Cocina[Ganancia bruta])</f>
        <v>208</v>
      </c>
      <c r="T642" s="8">
        <f>SUMIF(Cocina[Número de Orden],Sala[[#This Row],[Número de Orden]],Cocina[Costo Unitario])</f>
        <v>46</v>
      </c>
      <c r="U642" s="2">
        <f>Sala[[#This Row],[Fecha de Salida]]</f>
        <v>45022</v>
      </c>
      <c r="V642" s="7" t="str">
        <f>TEXT(Sala[[#This Row],[Fecha factura]],"dddd")</f>
        <v>jueves</v>
      </c>
      <c r="W642" t="str">
        <f>IF(Sala[[#This Row],[Tiempo de degustación]]&gt;0,"Sí","No")</f>
        <v>Sí</v>
      </c>
      <c r="X642" t="str">
        <f>IF(Sala[[#This Row],[Cobrada]]="Sí",Sala[[#This Row],[Método de Pago]],"Impago")</f>
        <v>Tarjeta de débito</v>
      </c>
      <c r="Y642">
        <f>IF(Sala[[#This Row],[Cobrada]]="Sí",Sala[[#This Row],[Propina]],0)</f>
        <v>39.68</v>
      </c>
      <c r="Z642">
        <f>(IF(Sala[[#This Row],[Cobrada]]="Sí",Sala[[#This Row],[Monto total]],0))+Sala[[#This Row],[Propina real]]</f>
        <v>247.68</v>
      </c>
    </row>
    <row r="643" spans="1:26" x14ac:dyDescent="0.25">
      <c r="A643">
        <v>15</v>
      </c>
      <c r="B643" t="s">
        <v>533</v>
      </c>
      <c r="C643">
        <v>1</v>
      </c>
      <c r="D643" s="2">
        <v>45022</v>
      </c>
      <c r="E643" s="3">
        <v>0.10833333333333334</v>
      </c>
      <c r="F643" s="2">
        <v>45022</v>
      </c>
      <c r="G643" s="3">
        <v>0.22500000000000001</v>
      </c>
      <c r="H643" s="1" t="s">
        <v>16</v>
      </c>
      <c r="I643" t="s">
        <v>8</v>
      </c>
      <c r="J643" t="s">
        <v>601</v>
      </c>
      <c r="K643" s="9">
        <v>11.11</v>
      </c>
      <c r="L643" t="s">
        <v>28</v>
      </c>
      <c r="M643">
        <v>642</v>
      </c>
      <c r="N643" t="s">
        <v>59</v>
      </c>
      <c r="O643" s="3">
        <f>(Sala[[#This Row],[Hora de Salida]]-Sala[[#This Row],[Hora de llegada]])+IF(Sala[[#This Row],[Estado de la Mesa]]="Ocupada",(TEXT((15/(60*24)),"h:mm")),(TEXT(0,"h:mm")))</f>
        <v>0.12708333333333333</v>
      </c>
      <c r="P643" s="43">
        <f>(SUMIF(Cocina[Número de Orden],Sala[[#This Row],[Número de Orden]],Cocina[Tiempo de Preparación]))</f>
        <v>81</v>
      </c>
      <c r="Q643" s="5" t="str">
        <f>TEXT(((SUMIF(Cocina[Número de Orden],Sala[[#This Row],[Número de Orden]],Cocina[Tiempo de Preparación]))/(60*24)),"h:mm")</f>
        <v>1:21</v>
      </c>
      <c r="R643" s="3">
        <f>MAX((Sala[[#This Row],[Tiempo de permanencia]]-Sala[[#This Row],[Tiempo de preparación (h)]]),0)</f>
        <v>7.0833333333333331E-2</v>
      </c>
      <c r="S643" s="8">
        <f>SUMIF(Cocina[Número de Orden],Sala[[#This Row],[Número de Orden]],Cocina[Ganancia bruta])</f>
        <v>176</v>
      </c>
      <c r="T643" s="8">
        <f>SUMIF(Cocina[Número de Orden],Sala[[#This Row],[Número de Orden]],Cocina[Costo Unitario])</f>
        <v>45</v>
      </c>
      <c r="U643" s="2">
        <f>Sala[[#This Row],[Fecha de Salida]]</f>
        <v>45022</v>
      </c>
      <c r="V643" s="7" t="str">
        <f>TEXT(Sala[[#This Row],[Fecha factura]],"dddd")</f>
        <v>jueves</v>
      </c>
      <c r="W643" t="str">
        <f>IF(Sala[[#This Row],[Tiempo de degustación]]&gt;0,"Sí","No")</f>
        <v>Sí</v>
      </c>
      <c r="X643" t="str">
        <f>IF(Sala[[#This Row],[Cobrada]]="Sí",Sala[[#This Row],[Método de Pago]],"Impago")</f>
        <v>Tarjeta de crédito</v>
      </c>
      <c r="Y643">
        <f>IF(Sala[[#This Row],[Cobrada]]="Sí",Sala[[#This Row],[Propina]],0)</f>
        <v>11.11</v>
      </c>
      <c r="Z643">
        <f>(IF(Sala[[#This Row],[Cobrada]]="Sí",Sala[[#This Row],[Monto total]],0))+Sala[[#This Row],[Propina real]]</f>
        <v>187.11</v>
      </c>
    </row>
    <row r="644" spans="1:26" x14ac:dyDescent="0.25">
      <c r="A644">
        <v>17</v>
      </c>
      <c r="B644" t="s">
        <v>534</v>
      </c>
      <c r="C644">
        <v>2</v>
      </c>
      <c r="D644" s="2">
        <v>45022</v>
      </c>
      <c r="E644" s="3">
        <v>1.1805555555555555E-2</v>
      </c>
      <c r="F644" s="2">
        <v>45022</v>
      </c>
      <c r="G644" s="3">
        <v>8.0555555555555561E-2</v>
      </c>
      <c r="H644" s="1" t="s">
        <v>16</v>
      </c>
      <c r="I644" t="s">
        <v>12</v>
      </c>
      <c r="J644" t="s">
        <v>600</v>
      </c>
      <c r="K644" s="9">
        <v>28.81</v>
      </c>
      <c r="L644" t="s">
        <v>28</v>
      </c>
      <c r="M644">
        <v>643</v>
      </c>
      <c r="N644" t="s">
        <v>34</v>
      </c>
      <c r="O644" s="3">
        <f>(Sala[[#This Row],[Hora de Salida]]-Sala[[#This Row],[Hora de llegada]])+IF(Sala[[#This Row],[Estado de la Mesa]]="Ocupada",(TEXT((15/(60*24)),"h:mm")),(TEXT(0,"h:mm")))</f>
        <v>7.9166666666666677E-2</v>
      </c>
      <c r="P644" s="43">
        <f>(SUMIF(Cocina[Número de Orden],Sala[[#This Row],[Número de Orden]],Cocina[Tiempo de Preparación]))</f>
        <v>18</v>
      </c>
      <c r="Q644" s="5" t="str">
        <f>TEXT(((SUMIF(Cocina[Número de Orden],Sala[[#This Row],[Número de Orden]],Cocina[Tiempo de Preparación]))/(60*24)),"h:mm")</f>
        <v>0:18</v>
      </c>
      <c r="R644" s="3">
        <f>MAX((Sala[[#This Row],[Tiempo de permanencia]]-Sala[[#This Row],[Tiempo de preparación (h)]]),0)</f>
        <v>6.666666666666668E-2</v>
      </c>
      <c r="S644" s="8">
        <f>SUMIF(Cocina[Número de Orden],Sala[[#This Row],[Número de Orden]],Cocina[Ganancia bruta])</f>
        <v>33</v>
      </c>
      <c r="T644" s="8">
        <f>SUMIF(Cocina[Número de Orden],Sala[[#This Row],[Número de Orden]],Cocina[Costo Unitario])</f>
        <v>20</v>
      </c>
      <c r="U644" s="2">
        <f>Sala[[#This Row],[Fecha de Salida]]</f>
        <v>45022</v>
      </c>
      <c r="V644" s="7" t="str">
        <f>TEXT(Sala[[#This Row],[Fecha factura]],"dddd")</f>
        <v>jueves</v>
      </c>
      <c r="W644" t="str">
        <f>IF(Sala[[#This Row],[Tiempo de degustación]]&gt;0,"Sí","No")</f>
        <v>Sí</v>
      </c>
      <c r="X644" t="str">
        <f>IF(Sala[[#This Row],[Cobrada]]="Sí",Sala[[#This Row],[Método de Pago]],"Impago")</f>
        <v>Tarjeta de débito</v>
      </c>
      <c r="Y644">
        <f>IF(Sala[[#This Row],[Cobrada]]="Sí",Sala[[#This Row],[Propina]],0)</f>
        <v>28.81</v>
      </c>
      <c r="Z644">
        <f>(IF(Sala[[#This Row],[Cobrada]]="Sí",Sala[[#This Row],[Monto total]],0))+Sala[[#This Row],[Propina real]]</f>
        <v>61.81</v>
      </c>
    </row>
    <row r="645" spans="1:26" x14ac:dyDescent="0.25">
      <c r="A645">
        <v>9</v>
      </c>
      <c r="B645" t="s">
        <v>535</v>
      </c>
      <c r="C645">
        <v>6</v>
      </c>
      <c r="D645" s="2">
        <v>45022</v>
      </c>
      <c r="E645" s="3">
        <v>0.15555555555555556</v>
      </c>
      <c r="F645" s="2">
        <v>45022</v>
      </c>
      <c r="G645" s="3">
        <v>0.2986111111111111</v>
      </c>
      <c r="H645" s="1" t="s">
        <v>11</v>
      </c>
      <c r="I645" t="s">
        <v>8</v>
      </c>
      <c r="J645" t="s">
        <v>600</v>
      </c>
      <c r="K645" s="9">
        <v>13.86</v>
      </c>
      <c r="L645" t="s">
        <v>9</v>
      </c>
      <c r="M645">
        <v>644</v>
      </c>
      <c r="N645" t="s">
        <v>44</v>
      </c>
      <c r="O645" s="3">
        <f>(Sala[[#This Row],[Hora de Salida]]-Sala[[#This Row],[Hora de llegada]])+IF(Sala[[#This Row],[Estado de la Mesa]]="Ocupada",(TEXT((15/(60*24)),"h:mm")),(TEXT(0,"h:mm")))</f>
        <v>0.14305555555555555</v>
      </c>
      <c r="P645" s="43">
        <f>(SUMIF(Cocina[Número de Orden],Sala[[#This Row],[Número de Orden]],Cocina[Tiempo de Preparación]))</f>
        <v>51</v>
      </c>
      <c r="Q645" s="5" t="str">
        <f>TEXT(((SUMIF(Cocina[Número de Orden],Sala[[#This Row],[Número de Orden]],Cocina[Tiempo de Preparación]))/(60*24)),"h:mm")</f>
        <v>0:51</v>
      </c>
      <c r="R645" s="3">
        <f>MAX((Sala[[#This Row],[Tiempo de permanencia]]-Sala[[#This Row],[Tiempo de preparación (h)]]),0)</f>
        <v>0.10763888888888888</v>
      </c>
      <c r="S645" s="8">
        <f>SUMIF(Cocina[Número de Orden],Sala[[#This Row],[Número de Orden]],Cocina[Ganancia bruta])</f>
        <v>93</v>
      </c>
      <c r="T645" s="8">
        <f>SUMIF(Cocina[Número de Orden],Sala[[#This Row],[Número de Orden]],Cocina[Costo Unitario])</f>
        <v>19</v>
      </c>
      <c r="U645" s="2">
        <f>Sala[[#This Row],[Fecha de Salida]]</f>
        <v>45022</v>
      </c>
      <c r="V645" s="7" t="str">
        <f>TEXT(Sala[[#This Row],[Fecha factura]],"dddd")</f>
        <v>jueves</v>
      </c>
      <c r="W645" t="str">
        <f>IF(Sala[[#This Row],[Tiempo de degustación]]&gt;0,"Sí","No")</f>
        <v>Sí</v>
      </c>
      <c r="X645" t="str">
        <f>IF(Sala[[#This Row],[Cobrada]]="Sí",Sala[[#This Row],[Método de Pago]],"Impago")</f>
        <v>Tarjeta de débito</v>
      </c>
      <c r="Y645">
        <f>IF(Sala[[#This Row],[Cobrada]]="Sí",Sala[[#This Row],[Propina]],0)</f>
        <v>13.86</v>
      </c>
      <c r="Z645">
        <f>(IF(Sala[[#This Row],[Cobrada]]="Sí",Sala[[#This Row],[Monto total]],0))+Sala[[#This Row],[Propina real]]</f>
        <v>106.86</v>
      </c>
    </row>
    <row r="646" spans="1:26" x14ac:dyDescent="0.25">
      <c r="A646">
        <v>6</v>
      </c>
      <c r="B646" t="s">
        <v>385</v>
      </c>
      <c r="C646">
        <v>6</v>
      </c>
      <c r="D646" s="2">
        <v>45022</v>
      </c>
      <c r="E646" s="3">
        <v>0.11805555555555555</v>
      </c>
      <c r="F646" s="2">
        <v>45022</v>
      </c>
      <c r="G646" s="3">
        <v>0.2673611111111111</v>
      </c>
      <c r="H646" s="1" t="s">
        <v>7</v>
      </c>
      <c r="I646" t="s">
        <v>25</v>
      </c>
      <c r="J646" t="s">
        <v>13</v>
      </c>
      <c r="K646" s="9">
        <v>40.03</v>
      </c>
      <c r="L646" t="s">
        <v>17</v>
      </c>
      <c r="M646">
        <v>645</v>
      </c>
      <c r="N646" t="s">
        <v>32</v>
      </c>
      <c r="O646" s="3">
        <f>(Sala[[#This Row],[Hora de Salida]]-Sala[[#This Row],[Hora de llegada]])+IF(Sala[[#This Row],[Estado de la Mesa]]="Ocupada",(TEXT((15/(60*24)),"h:mm")),(TEXT(0,"h:mm")))</f>
        <v>0.14930555555555555</v>
      </c>
      <c r="P646" s="43">
        <f>(SUMIF(Cocina[Número de Orden],Sala[[#This Row],[Número de Orden]],Cocina[Tiempo de Preparación]))</f>
        <v>97</v>
      </c>
      <c r="Q646" s="5" t="str">
        <f>TEXT(((SUMIF(Cocina[Número de Orden],Sala[[#This Row],[Número de Orden]],Cocina[Tiempo de Preparación]))/(60*24)),"h:mm")</f>
        <v>1:37</v>
      </c>
      <c r="R646" s="3">
        <f>MAX((Sala[[#This Row],[Tiempo de permanencia]]-Sala[[#This Row],[Tiempo de preparación (h)]]),0)</f>
        <v>8.1944444444444445E-2</v>
      </c>
      <c r="S646" s="8">
        <f>SUMIF(Cocina[Número de Orden],Sala[[#This Row],[Número de Orden]],Cocina[Ganancia bruta])</f>
        <v>180</v>
      </c>
      <c r="T646" s="8">
        <f>SUMIF(Cocina[Número de Orden],Sala[[#This Row],[Número de Orden]],Cocina[Costo Unitario])</f>
        <v>36</v>
      </c>
      <c r="U646" s="2">
        <f>Sala[[#This Row],[Fecha de Salida]]</f>
        <v>45022</v>
      </c>
      <c r="V646" s="7" t="str">
        <f>TEXT(Sala[[#This Row],[Fecha factura]],"dddd")</f>
        <v>jueves</v>
      </c>
      <c r="W646" t="str">
        <f>IF(Sala[[#This Row],[Tiempo de degustación]]&gt;0,"Sí","No")</f>
        <v>Sí</v>
      </c>
      <c r="X646" t="str">
        <f>IF(Sala[[#This Row],[Cobrada]]="Sí",Sala[[#This Row],[Método de Pago]],"Impago")</f>
        <v>Efectivo</v>
      </c>
      <c r="Y646">
        <f>IF(Sala[[#This Row],[Cobrada]]="Sí",Sala[[#This Row],[Propina]],0)</f>
        <v>40.03</v>
      </c>
      <c r="Z646">
        <f>(IF(Sala[[#This Row],[Cobrada]]="Sí",Sala[[#This Row],[Monto total]],0))+Sala[[#This Row],[Propina real]]</f>
        <v>220.03</v>
      </c>
    </row>
    <row r="647" spans="1:26" x14ac:dyDescent="0.25">
      <c r="A647">
        <v>12</v>
      </c>
      <c r="B647" t="s">
        <v>80</v>
      </c>
      <c r="C647">
        <v>2</v>
      </c>
      <c r="D647" s="2">
        <v>45022</v>
      </c>
      <c r="E647" s="3">
        <v>0.16597222222222222</v>
      </c>
      <c r="F647" s="2">
        <v>45022</v>
      </c>
      <c r="G647" s="3">
        <v>0.27638888888888891</v>
      </c>
      <c r="H647" s="1" t="s">
        <v>16</v>
      </c>
      <c r="I647" t="s">
        <v>8</v>
      </c>
      <c r="J647" t="s">
        <v>600</v>
      </c>
      <c r="K647" s="9">
        <v>12.59</v>
      </c>
      <c r="L647" t="s">
        <v>17</v>
      </c>
      <c r="M647">
        <v>646</v>
      </c>
      <c r="N647" t="s">
        <v>32</v>
      </c>
      <c r="O647" s="3">
        <f>(Sala[[#This Row],[Hora de Salida]]-Sala[[#This Row],[Hora de llegada]])+IF(Sala[[#This Row],[Estado de la Mesa]]="Ocupada",(TEXT((15/(60*24)),"h:mm")),(TEXT(0,"h:mm")))</f>
        <v>0.11041666666666669</v>
      </c>
      <c r="P647" s="43">
        <f>(SUMIF(Cocina[Número de Orden],Sala[[#This Row],[Número de Orden]],Cocina[Tiempo de Preparación]))</f>
        <v>36</v>
      </c>
      <c r="Q647" s="5" t="str">
        <f>TEXT(((SUMIF(Cocina[Número de Orden],Sala[[#This Row],[Número de Orden]],Cocina[Tiempo de Preparación]))/(60*24)),"h:mm")</f>
        <v>0:36</v>
      </c>
      <c r="R647" s="3">
        <f>MAX((Sala[[#This Row],[Tiempo de permanencia]]-Sala[[#This Row],[Tiempo de preparación (h)]]),0)</f>
        <v>8.5416666666666696E-2</v>
      </c>
      <c r="S647" s="8">
        <f>SUMIF(Cocina[Número de Orden],Sala[[#This Row],[Número de Orden]],Cocina[Ganancia bruta])</f>
        <v>70</v>
      </c>
      <c r="T647" s="8">
        <f>SUMIF(Cocina[Número de Orden],Sala[[#This Row],[Número de Orden]],Cocina[Costo Unitario])</f>
        <v>21</v>
      </c>
      <c r="U647" s="2">
        <f>Sala[[#This Row],[Fecha de Salida]]</f>
        <v>45022</v>
      </c>
      <c r="V647" s="7" t="str">
        <f>TEXT(Sala[[#This Row],[Fecha factura]],"dddd")</f>
        <v>jueves</v>
      </c>
      <c r="W647" t="str">
        <f>IF(Sala[[#This Row],[Tiempo de degustación]]&gt;0,"Sí","No")</f>
        <v>Sí</v>
      </c>
      <c r="X647" t="str">
        <f>IF(Sala[[#This Row],[Cobrada]]="Sí",Sala[[#This Row],[Método de Pago]],"Impago")</f>
        <v>Tarjeta de débito</v>
      </c>
      <c r="Y647">
        <f>IF(Sala[[#This Row],[Cobrada]]="Sí",Sala[[#This Row],[Propina]],0)</f>
        <v>12.59</v>
      </c>
      <c r="Z647">
        <f>(IF(Sala[[#This Row],[Cobrada]]="Sí",Sala[[#This Row],[Monto total]],0))+Sala[[#This Row],[Propina real]]</f>
        <v>82.59</v>
      </c>
    </row>
    <row r="648" spans="1:26" x14ac:dyDescent="0.25">
      <c r="A648">
        <v>12</v>
      </c>
      <c r="B648" t="s">
        <v>536</v>
      </c>
      <c r="C648">
        <v>2</v>
      </c>
      <c r="D648" s="2">
        <v>45022</v>
      </c>
      <c r="E648" s="3">
        <v>0.12152777777777778</v>
      </c>
      <c r="F648" s="2">
        <v>45022</v>
      </c>
      <c r="G648" s="3">
        <v>0.2673611111111111</v>
      </c>
      <c r="H648" s="1" t="s">
        <v>16</v>
      </c>
      <c r="I648" t="s">
        <v>8</v>
      </c>
      <c r="J648" t="s">
        <v>601</v>
      </c>
      <c r="K648" s="9">
        <v>42.79</v>
      </c>
      <c r="L648" t="s">
        <v>9</v>
      </c>
      <c r="M648">
        <v>647</v>
      </c>
      <c r="N648" t="s">
        <v>32</v>
      </c>
      <c r="O648" s="3">
        <f>(Sala[[#This Row],[Hora de Salida]]-Sala[[#This Row],[Hora de llegada]])+IF(Sala[[#This Row],[Estado de la Mesa]]="Ocupada",(TEXT((15/(60*24)),"h:mm")),(TEXT(0,"h:mm")))</f>
        <v>0.14583333333333331</v>
      </c>
      <c r="P648" s="43">
        <f>(SUMIF(Cocina[Número de Orden],Sala[[#This Row],[Número de Orden]],Cocina[Tiempo de Preparación]))</f>
        <v>39</v>
      </c>
      <c r="Q648" s="5" t="str">
        <f>TEXT(((SUMIF(Cocina[Número de Orden],Sala[[#This Row],[Número de Orden]],Cocina[Tiempo de Preparación]))/(60*24)),"h:mm")</f>
        <v>0:39</v>
      </c>
      <c r="R648" s="3">
        <f>MAX((Sala[[#This Row],[Tiempo de permanencia]]-Sala[[#This Row],[Tiempo de preparación (h)]]),0)</f>
        <v>0.11874999999999998</v>
      </c>
      <c r="S648" s="8">
        <f>SUMIF(Cocina[Número de Orden],Sala[[#This Row],[Número de Orden]],Cocina[Ganancia bruta])</f>
        <v>98</v>
      </c>
      <c r="T648" s="8">
        <f>SUMIF(Cocina[Número de Orden],Sala[[#This Row],[Número de Orden]],Cocina[Costo Unitario])</f>
        <v>29</v>
      </c>
      <c r="U648" s="2">
        <f>Sala[[#This Row],[Fecha de Salida]]</f>
        <v>45022</v>
      </c>
      <c r="V648" s="7" t="str">
        <f>TEXT(Sala[[#This Row],[Fecha factura]],"dddd")</f>
        <v>jueves</v>
      </c>
      <c r="W648" t="str">
        <f>IF(Sala[[#This Row],[Tiempo de degustación]]&gt;0,"Sí","No")</f>
        <v>Sí</v>
      </c>
      <c r="X648" t="str">
        <f>IF(Sala[[#This Row],[Cobrada]]="Sí",Sala[[#This Row],[Método de Pago]],"Impago")</f>
        <v>Tarjeta de crédito</v>
      </c>
      <c r="Y648">
        <f>IF(Sala[[#This Row],[Cobrada]]="Sí",Sala[[#This Row],[Propina]],0)</f>
        <v>42.79</v>
      </c>
      <c r="Z648">
        <f>(IF(Sala[[#This Row],[Cobrada]]="Sí",Sala[[#This Row],[Monto total]],0))+Sala[[#This Row],[Propina real]]</f>
        <v>140.79</v>
      </c>
    </row>
    <row r="649" spans="1:26" x14ac:dyDescent="0.25">
      <c r="A649">
        <v>9</v>
      </c>
      <c r="B649" t="s">
        <v>97</v>
      </c>
      <c r="C649">
        <v>1</v>
      </c>
      <c r="D649" s="2">
        <v>45022</v>
      </c>
      <c r="E649" s="3">
        <v>0.12430555555555556</v>
      </c>
      <c r="F649" s="2">
        <v>45022</v>
      </c>
      <c r="G649" s="3">
        <v>0.2048611111111111</v>
      </c>
      <c r="H649" s="1" t="s">
        <v>16</v>
      </c>
      <c r="I649" t="s">
        <v>25</v>
      </c>
      <c r="J649" t="s">
        <v>601</v>
      </c>
      <c r="K649" s="9">
        <v>17.43</v>
      </c>
      <c r="L649" t="s">
        <v>17</v>
      </c>
      <c r="M649">
        <v>648</v>
      </c>
      <c r="N649" t="s">
        <v>18</v>
      </c>
      <c r="O649" s="3">
        <f>(Sala[[#This Row],[Hora de Salida]]-Sala[[#This Row],[Hora de llegada]])+IF(Sala[[#This Row],[Estado de la Mesa]]="Ocupada",(TEXT((15/(60*24)),"h:mm")),(TEXT(0,"h:mm")))</f>
        <v>8.0555555555555547E-2</v>
      </c>
      <c r="P649" s="43">
        <f>(SUMIF(Cocina[Número de Orden],Sala[[#This Row],[Número de Orden]],Cocina[Tiempo de Preparación]))</f>
        <v>47</v>
      </c>
      <c r="Q649" s="5" t="str">
        <f>TEXT(((SUMIF(Cocina[Número de Orden],Sala[[#This Row],[Número de Orden]],Cocina[Tiempo de Preparación]))/(60*24)),"h:mm")</f>
        <v>0:47</v>
      </c>
      <c r="R649" s="3">
        <f>MAX((Sala[[#This Row],[Tiempo de permanencia]]-Sala[[#This Row],[Tiempo de preparación (h)]]),0)</f>
        <v>4.7916666666666656E-2</v>
      </c>
      <c r="S649" s="8">
        <f>SUMIF(Cocina[Número de Orden],Sala[[#This Row],[Número de Orden]],Cocina[Ganancia bruta])</f>
        <v>56</v>
      </c>
      <c r="T649" s="8">
        <f>SUMIF(Cocina[Número de Orden],Sala[[#This Row],[Número de Orden]],Cocina[Costo Unitario])</f>
        <v>16</v>
      </c>
      <c r="U649" s="2">
        <f>Sala[[#This Row],[Fecha de Salida]]</f>
        <v>45022</v>
      </c>
      <c r="V649" s="7" t="str">
        <f>TEXT(Sala[[#This Row],[Fecha factura]],"dddd")</f>
        <v>jueves</v>
      </c>
      <c r="W649" t="str">
        <f>IF(Sala[[#This Row],[Tiempo de degustación]]&gt;0,"Sí","No")</f>
        <v>Sí</v>
      </c>
      <c r="X649" t="str">
        <f>IF(Sala[[#This Row],[Cobrada]]="Sí",Sala[[#This Row],[Método de Pago]],"Impago")</f>
        <v>Tarjeta de crédito</v>
      </c>
      <c r="Y649">
        <f>IF(Sala[[#This Row],[Cobrada]]="Sí",Sala[[#This Row],[Propina]],0)</f>
        <v>17.43</v>
      </c>
      <c r="Z649">
        <f>(IF(Sala[[#This Row],[Cobrada]]="Sí",Sala[[#This Row],[Monto total]],0))+Sala[[#This Row],[Propina real]]</f>
        <v>73.430000000000007</v>
      </c>
    </row>
    <row r="650" spans="1:26" x14ac:dyDescent="0.25">
      <c r="A650">
        <v>9</v>
      </c>
      <c r="B650" t="s">
        <v>537</v>
      </c>
      <c r="C650">
        <v>1</v>
      </c>
      <c r="D650" s="2">
        <v>45022</v>
      </c>
      <c r="E650" s="3">
        <v>3.8194444444444448E-2</v>
      </c>
      <c r="F650" s="2">
        <v>45022</v>
      </c>
      <c r="G650" s="3">
        <v>0.15625</v>
      </c>
      <c r="H650" s="1" t="s">
        <v>20</v>
      </c>
      <c r="I650" t="s">
        <v>8</v>
      </c>
      <c r="J650" t="s">
        <v>13</v>
      </c>
      <c r="K650" s="9">
        <v>15.98</v>
      </c>
      <c r="L650" t="s">
        <v>28</v>
      </c>
      <c r="M650">
        <v>649</v>
      </c>
      <c r="N650" t="s">
        <v>21</v>
      </c>
      <c r="O650" s="3">
        <f>(Sala[[#This Row],[Hora de Salida]]-Sala[[#This Row],[Hora de llegada]])+IF(Sala[[#This Row],[Estado de la Mesa]]="Ocupada",(TEXT((15/(60*24)),"h:mm")),(TEXT(0,"h:mm")))</f>
        <v>0.12847222222222221</v>
      </c>
      <c r="P650" s="43">
        <f>(SUMIF(Cocina[Número de Orden],Sala[[#This Row],[Número de Orden]],Cocina[Tiempo de Preparación]))</f>
        <v>109</v>
      </c>
      <c r="Q650" s="5" t="str">
        <f>TEXT(((SUMIF(Cocina[Número de Orden],Sala[[#This Row],[Número de Orden]],Cocina[Tiempo de Preparación]))/(60*24)),"h:mm")</f>
        <v>1:49</v>
      </c>
      <c r="R650" s="3">
        <f>MAX((Sala[[#This Row],[Tiempo de permanencia]]-Sala[[#This Row],[Tiempo de preparación (h)]]),0)</f>
        <v>5.2777777777777771E-2</v>
      </c>
      <c r="S650" s="8">
        <f>SUMIF(Cocina[Número de Orden],Sala[[#This Row],[Número de Orden]],Cocina[Ganancia bruta])</f>
        <v>256</v>
      </c>
      <c r="T650" s="8">
        <f>SUMIF(Cocina[Número de Orden],Sala[[#This Row],[Número de Orden]],Cocina[Costo Unitario])</f>
        <v>60</v>
      </c>
      <c r="U650" s="2">
        <f>Sala[[#This Row],[Fecha de Salida]]</f>
        <v>45022</v>
      </c>
      <c r="V650" s="7" t="str">
        <f>TEXT(Sala[[#This Row],[Fecha factura]],"dddd")</f>
        <v>jueves</v>
      </c>
      <c r="W650" t="str">
        <f>IF(Sala[[#This Row],[Tiempo de degustación]]&gt;0,"Sí","No")</f>
        <v>Sí</v>
      </c>
      <c r="X650" t="str">
        <f>IF(Sala[[#This Row],[Cobrada]]="Sí",Sala[[#This Row],[Método de Pago]],"Impago")</f>
        <v>Efectivo</v>
      </c>
      <c r="Y650">
        <f>IF(Sala[[#This Row],[Cobrada]]="Sí",Sala[[#This Row],[Propina]],0)</f>
        <v>15.98</v>
      </c>
      <c r="Z650">
        <f>(IF(Sala[[#This Row],[Cobrada]]="Sí",Sala[[#This Row],[Monto total]],0))+Sala[[#This Row],[Propina real]]</f>
        <v>271.98</v>
      </c>
    </row>
    <row r="651" spans="1:26" x14ac:dyDescent="0.25">
      <c r="A651">
        <v>11</v>
      </c>
      <c r="B651" t="s">
        <v>474</v>
      </c>
      <c r="C651">
        <v>3</v>
      </c>
      <c r="D651" s="2">
        <v>45023</v>
      </c>
      <c r="E651" s="3">
        <v>0.14791666666666667</v>
      </c>
      <c r="F651" s="2">
        <v>45023</v>
      </c>
      <c r="G651" s="3">
        <v>0.20972222222222223</v>
      </c>
      <c r="H651" s="1" t="s">
        <v>7</v>
      </c>
      <c r="I651" t="s">
        <v>8</v>
      </c>
      <c r="J651" t="s">
        <v>600</v>
      </c>
      <c r="K651" s="9">
        <v>38.21</v>
      </c>
      <c r="L651" t="s">
        <v>17</v>
      </c>
      <c r="M651">
        <v>650</v>
      </c>
      <c r="N651" t="s">
        <v>59</v>
      </c>
      <c r="O651" s="3">
        <f>(Sala[[#This Row],[Hora de Salida]]-Sala[[#This Row],[Hora de llegada]])+IF(Sala[[#This Row],[Estado de la Mesa]]="Ocupada",(TEXT((15/(60*24)),"h:mm")),(TEXT(0,"h:mm")))</f>
        <v>6.1805555555555558E-2</v>
      </c>
      <c r="P651" s="43">
        <f>(SUMIF(Cocina[Número de Orden],Sala[[#This Row],[Número de Orden]],Cocina[Tiempo de Preparación]))</f>
        <v>76</v>
      </c>
      <c r="Q651" s="5" t="str">
        <f>TEXT(((SUMIF(Cocina[Número de Orden],Sala[[#This Row],[Número de Orden]],Cocina[Tiempo de Preparación]))/(60*24)),"h:mm")</f>
        <v>1:16</v>
      </c>
      <c r="R651" s="3">
        <f>MAX((Sala[[#This Row],[Tiempo de permanencia]]-Sala[[#This Row],[Tiempo de preparación (h)]]),0)</f>
        <v>9.0277777777777804E-3</v>
      </c>
      <c r="S651" s="8">
        <f>SUMIF(Cocina[Número de Orden],Sala[[#This Row],[Número de Orden]],Cocina[Ganancia bruta])</f>
        <v>237</v>
      </c>
      <c r="T651" s="8">
        <f>SUMIF(Cocina[Número de Orden],Sala[[#This Row],[Número de Orden]],Cocina[Costo Unitario])</f>
        <v>70</v>
      </c>
      <c r="U651" s="2">
        <f>Sala[[#This Row],[Fecha de Salida]]</f>
        <v>45023</v>
      </c>
      <c r="V651" s="7" t="str">
        <f>TEXT(Sala[[#This Row],[Fecha factura]],"dddd")</f>
        <v>viernes</v>
      </c>
      <c r="W651" t="str">
        <f>IF(Sala[[#This Row],[Tiempo de degustación]]&gt;0,"Sí","No")</f>
        <v>Sí</v>
      </c>
      <c r="X651" t="str">
        <f>IF(Sala[[#This Row],[Cobrada]]="Sí",Sala[[#This Row],[Método de Pago]],"Impago")</f>
        <v>Tarjeta de débito</v>
      </c>
      <c r="Y651">
        <f>IF(Sala[[#This Row],[Cobrada]]="Sí",Sala[[#This Row],[Propina]],0)</f>
        <v>38.21</v>
      </c>
      <c r="Z651">
        <f>(IF(Sala[[#This Row],[Cobrada]]="Sí",Sala[[#This Row],[Monto total]],0))+Sala[[#This Row],[Propina real]]</f>
        <v>275.20999999999998</v>
      </c>
    </row>
    <row r="652" spans="1:26" x14ac:dyDescent="0.25">
      <c r="A652">
        <v>16</v>
      </c>
      <c r="B652" t="s">
        <v>538</v>
      </c>
      <c r="C652">
        <v>4</v>
      </c>
      <c r="D652" s="2">
        <v>45023</v>
      </c>
      <c r="E652" s="3">
        <v>8.611111111111111E-2</v>
      </c>
      <c r="F652" s="2">
        <v>45023</v>
      </c>
      <c r="G652" s="3">
        <v>0.2388888888888889</v>
      </c>
      <c r="H652" s="1" t="s">
        <v>23</v>
      </c>
      <c r="I652" t="s">
        <v>25</v>
      </c>
      <c r="J652" t="s">
        <v>601</v>
      </c>
      <c r="K652" s="9">
        <v>20.27</v>
      </c>
      <c r="L652" t="s">
        <v>17</v>
      </c>
      <c r="M652">
        <v>651</v>
      </c>
      <c r="N652" t="s">
        <v>59</v>
      </c>
      <c r="O652" s="3">
        <f>(Sala[[#This Row],[Hora de Salida]]-Sala[[#This Row],[Hora de llegada]])+IF(Sala[[#This Row],[Estado de la Mesa]]="Ocupada",(TEXT((15/(60*24)),"h:mm")),(TEXT(0,"h:mm")))</f>
        <v>0.15277777777777779</v>
      </c>
      <c r="P652" s="43">
        <f>(SUMIF(Cocina[Número de Orden],Sala[[#This Row],[Número de Orden]],Cocina[Tiempo de Preparación]))</f>
        <v>88</v>
      </c>
      <c r="Q652" s="5" t="str">
        <f>TEXT(((SUMIF(Cocina[Número de Orden],Sala[[#This Row],[Número de Orden]],Cocina[Tiempo de Preparación]))/(60*24)),"h:mm")</f>
        <v>1:28</v>
      </c>
      <c r="R652" s="3">
        <f>MAX((Sala[[#This Row],[Tiempo de permanencia]]-Sala[[#This Row],[Tiempo de preparación (h)]]),0)</f>
        <v>9.1666666666666674E-2</v>
      </c>
      <c r="S652" s="8">
        <f>SUMIF(Cocina[Número de Orden],Sala[[#This Row],[Número de Orden]],Cocina[Ganancia bruta])</f>
        <v>209</v>
      </c>
      <c r="T652" s="8">
        <f>SUMIF(Cocina[Número de Orden],Sala[[#This Row],[Número de Orden]],Cocina[Costo Unitario])</f>
        <v>58</v>
      </c>
      <c r="U652" s="2">
        <f>Sala[[#This Row],[Fecha de Salida]]</f>
        <v>45023</v>
      </c>
      <c r="V652" s="7" t="str">
        <f>TEXT(Sala[[#This Row],[Fecha factura]],"dddd")</f>
        <v>viernes</v>
      </c>
      <c r="W652" t="str">
        <f>IF(Sala[[#This Row],[Tiempo de degustación]]&gt;0,"Sí","No")</f>
        <v>Sí</v>
      </c>
      <c r="X652" t="str">
        <f>IF(Sala[[#This Row],[Cobrada]]="Sí",Sala[[#This Row],[Método de Pago]],"Impago")</f>
        <v>Tarjeta de crédito</v>
      </c>
      <c r="Y652">
        <f>IF(Sala[[#This Row],[Cobrada]]="Sí",Sala[[#This Row],[Propina]],0)</f>
        <v>20.27</v>
      </c>
      <c r="Z652">
        <f>(IF(Sala[[#This Row],[Cobrada]]="Sí",Sala[[#This Row],[Monto total]],0))+Sala[[#This Row],[Propina real]]</f>
        <v>229.27</v>
      </c>
    </row>
    <row r="653" spans="1:26" x14ac:dyDescent="0.25">
      <c r="A653">
        <v>14</v>
      </c>
      <c r="B653" t="s">
        <v>482</v>
      </c>
      <c r="C653">
        <v>5</v>
      </c>
      <c r="D653" s="2">
        <v>45023</v>
      </c>
      <c r="E653" s="3">
        <v>4.1666666666666666E-3</v>
      </c>
      <c r="F653" s="2">
        <v>45023</v>
      </c>
      <c r="G653" s="3">
        <v>0.10138888888888889</v>
      </c>
      <c r="H653" s="1" t="s">
        <v>16</v>
      </c>
      <c r="I653" t="s">
        <v>8</v>
      </c>
      <c r="J653" t="s">
        <v>600</v>
      </c>
      <c r="K653" s="9">
        <v>23.26</v>
      </c>
      <c r="L653" t="s">
        <v>28</v>
      </c>
      <c r="M653">
        <v>652</v>
      </c>
      <c r="N653" t="s">
        <v>34</v>
      </c>
      <c r="O653" s="3">
        <f>(Sala[[#This Row],[Hora de Salida]]-Sala[[#This Row],[Hora de llegada]])+IF(Sala[[#This Row],[Estado de la Mesa]]="Ocupada",(TEXT((15/(60*24)),"h:mm")),(TEXT(0,"h:mm")))</f>
        <v>0.1076388888888889</v>
      </c>
      <c r="P653" s="43">
        <f>(SUMIF(Cocina[Número de Orden],Sala[[#This Row],[Número de Orden]],Cocina[Tiempo de Preparación]))</f>
        <v>50</v>
      </c>
      <c r="Q653" s="5" t="str">
        <f>TEXT(((SUMIF(Cocina[Número de Orden],Sala[[#This Row],[Número de Orden]],Cocina[Tiempo de Preparación]))/(60*24)),"h:mm")</f>
        <v>0:50</v>
      </c>
      <c r="R653" s="3">
        <f>MAX((Sala[[#This Row],[Tiempo de permanencia]]-Sala[[#This Row],[Tiempo de preparación (h)]]),0)</f>
        <v>7.2916666666666671E-2</v>
      </c>
      <c r="S653" s="8">
        <f>SUMIF(Cocina[Número de Orden],Sala[[#This Row],[Número de Orden]],Cocina[Ganancia bruta])</f>
        <v>170</v>
      </c>
      <c r="T653" s="8">
        <f>SUMIF(Cocina[Número de Orden],Sala[[#This Row],[Número de Orden]],Cocina[Costo Unitario])</f>
        <v>41</v>
      </c>
      <c r="U653" s="2">
        <f>Sala[[#This Row],[Fecha de Salida]]</f>
        <v>45023</v>
      </c>
      <c r="V653" s="7" t="str">
        <f>TEXT(Sala[[#This Row],[Fecha factura]],"dddd")</f>
        <v>viernes</v>
      </c>
      <c r="W653" t="str">
        <f>IF(Sala[[#This Row],[Tiempo de degustación]]&gt;0,"Sí","No")</f>
        <v>Sí</v>
      </c>
      <c r="X653" t="str">
        <f>IF(Sala[[#This Row],[Cobrada]]="Sí",Sala[[#This Row],[Método de Pago]],"Impago")</f>
        <v>Tarjeta de débito</v>
      </c>
      <c r="Y653">
        <f>IF(Sala[[#This Row],[Cobrada]]="Sí",Sala[[#This Row],[Propina]],0)</f>
        <v>23.26</v>
      </c>
      <c r="Z653">
        <f>(IF(Sala[[#This Row],[Cobrada]]="Sí",Sala[[#This Row],[Monto total]],0))+Sala[[#This Row],[Propina real]]</f>
        <v>193.26</v>
      </c>
    </row>
    <row r="654" spans="1:26" x14ac:dyDescent="0.25">
      <c r="A654">
        <v>13</v>
      </c>
      <c r="B654" t="s">
        <v>539</v>
      </c>
      <c r="C654">
        <v>5</v>
      </c>
      <c r="D654" s="2">
        <v>45023</v>
      </c>
      <c r="E654" s="3">
        <v>0.10486111111111111</v>
      </c>
      <c r="F654" s="2">
        <v>45023</v>
      </c>
      <c r="G654" s="3">
        <v>0.18055555555555555</v>
      </c>
      <c r="H654" s="1" t="s">
        <v>11</v>
      </c>
      <c r="I654" t="s">
        <v>8</v>
      </c>
      <c r="J654" t="s">
        <v>601</v>
      </c>
      <c r="K654" s="9">
        <v>34.33</v>
      </c>
      <c r="L654" t="s">
        <v>17</v>
      </c>
      <c r="M654">
        <v>653</v>
      </c>
      <c r="N654" t="s">
        <v>29</v>
      </c>
      <c r="O654" s="3">
        <f>(Sala[[#This Row],[Hora de Salida]]-Sala[[#This Row],[Hora de llegada]])+IF(Sala[[#This Row],[Estado de la Mesa]]="Ocupada",(TEXT((15/(60*24)),"h:mm")),(TEXT(0,"h:mm")))</f>
        <v>7.5694444444444439E-2</v>
      </c>
      <c r="P654" s="43">
        <f>(SUMIF(Cocina[Número de Orden],Sala[[#This Row],[Número de Orden]],Cocina[Tiempo de Preparación]))</f>
        <v>150</v>
      </c>
      <c r="Q654" s="5" t="str">
        <f>TEXT(((SUMIF(Cocina[Número de Orden],Sala[[#This Row],[Número de Orden]],Cocina[Tiempo de Preparación]))/(60*24)),"h:mm")</f>
        <v>2:30</v>
      </c>
      <c r="R654" s="3">
        <f>MAX((Sala[[#This Row],[Tiempo de permanencia]]-Sala[[#This Row],[Tiempo de preparación (h)]]),0)</f>
        <v>0</v>
      </c>
      <c r="S654" s="8">
        <f>SUMIF(Cocina[Número de Orden],Sala[[#This Row],[Número de Orden]],Cocina[Ganancia bruta])</f>
        <v>244</v>
      </c>
      <c r="T654" s="8">
        <f>SUMIF(Cocina[Número de Orden],Sala[[#This Row],[Número de Orden]],Cocina[Costo Unitario])</f>
        <v>55</v>
      </c>
      <c r="U654" s="2">
        <f>Sala[[#This Row],[Fecha de Salida]]</f>
        <v>45023</v>
      </c>
      <c r="V654" s="7" t="str">
        <f>TEXT(Sala[[#This Row],[Fecha factura]],"dddd")</f>
        <v>viernes</v>
      </c>
      <c r="W654" t="str">
        <f>IF(Sala[[#This Row],[Tiempo de degustación]]&gt;0,"Sí","No")</f>
        <v>No</v>
      </c>
      <c r="X654" t="str">
        <f>IF(Sala[[#This Row],[Cobrada]]="Sí",Sala[[#This Row],[Método de Pago]],"Impago")</f>
        <v>Impago</v>
      </c>
      <c r="Y654">
        <f>IF(Sala[[#This Row],[Cobrada]]="Sí",Sala[[#This Row],[Propina]],0)</f>
        <v>0</v>
      </c>
      <c r="Z654">
        <f>(IF(Sala[[#This Row],[Cobrada]]="Sí",Sala[[#This Row],[Monto total]],0))+Sala[[#This Row],[Propina real]]</f>
        <v>0</v>
      </c>
    </row>
    <row r="655" spans="1:26" x14ac:dyDescent="0.25">
      <c r="A655">
        <v>12</v>
      </c>
      <c r="B655" t="s">
        <v>540</v>
      </c>
      <c r="C655">
        <v>5</v>
      </c>
      <c r="D655" s="2">
        <v>45023</v>
      </c>
      <c r="E655" s="3">
        <v>1.3888888888888889E-3</v>
      </c>
      <c r="F655" s="2">
        <v>45023</v>
      </c>
      <c r="G655" s="3">
        <v>7.2222222222222215E-2</v>
      </c>
      <c r="H655" s="1" t="s">
        <v>20</v>
      </c>
      <c r="I655" t="s">
        <v>25</v>
      </c>
      <c r="J655" t="s">
        <v>601</v>
      </c>
      <c r="K655" s="9">
        <v>23.98</v>
      </c>
      <c r="L655" t="s">
        <v>28</v>
      </c>
      <c r="M655">
        <v>654</v>
      </c>
      <c r="N655" t="s">
        <v>34</v>
      </c>
      <c r="O655" s="3">
        <f>(Sala[[#This Row],[Hora de Salida]]-Sala[[#This Row],[Hora de llegada]])+IF(Sala[[#This Row],[Estado de la Mesa]]="Ocupada",(TEXT((15/(60*24)),"h:mm")),(TEXT(0,"h:mm")))</f>
        <v>8.1250000000000003E-2</v>
      </c>
      <c r="P655" s="43">
        <f>(SUMIF(Cocina[Número de Orden],Sala[[#This Row],[Número de Orden]],Cocina[Tiempo de Preparación]))</f>
        <v>44</v>
      </c>
      <c r="Q655" s="5" t="str">
        <f>TEXT(((SUMIF(Cocina[Número de Orden],Sala[[#This Row],[Número de Orden]],Cocina[Tiempo de Preparación]))/(60*24)),"h:mm")</f>
        <v>0:44</v>
      </c>
      <c r="R655" s="3">
        <f>MAX((Sala[[#This Row],[Tiempo de permanencia]]-Sala[[#This Row],[Tiempo de preparación (h)]]),0)</f>
        <v>5.0694444444444445E-2</v>
      </c>
      <c r="S655" s="8">
        <f>SUMIF(Cocina[Número de Orden],Sala[[#This Row],[Número de Orden]],Cocina[Ganancia bruta])</f>
        <v>42</v>
      </c>
      <c r="T655" s="8">
        <f>SUMIF(Cocina[Número de Orden],Sala[[#This Row],[Número de Orden]],Cocina[Costo Unitario])</f>
        <v>25</v>
      </c>
      <c r="U655" s="2">
        <f>Sala[[#This Row],[Fecha de Salida]]</f>
        <v>45023</v>
      </c>
      <c r="V655" s="7" t="str">
        <f>TEXT(Sala[[#This Row],[Fecha factura]],"dddd")</f>
        <v>viernes</v>
      </c>
      <c r="W655" t="str">
        <f>IF(Sala[[#This Row],[Tiempo de degustación]]&gt;0,"Sí","No")</f>
        <v>Sí</v>
      </c>
      <c r="X655" t="str">
        <f>IF(Sala[[#This Row],[Cobrada]]="Sí",Sala[[#This Row],[Método de Pago]],"Impago")</f>
        <v>Tarjeta de crédito</v>
      </c>
      <c r="Y655">
        <f>IF(Sala[[#This Row],[Cobrada]]="Sí",Sala[[#This Row],[Propina]],0)</f>
        <v>23.98</v>
      </c>
      <c r="Z655">
        <f>(IF(Sala[[#This Row],[Cobrada]]="Sí",Sala[[#This Row],[Monto total]],0))+Sala[[#This Row],[Propina real]]</f>
        <v>65.98</v>
      </c>
    </row>
    <row r="656" spans="1:26" x14ac:dyDescent="0.25">
      <c r="A656">
        <v>5</v>
      </c>
      <c r="B656" t="s">
        <v>541</v>
      </c>
      <c r="C656">
        <v>4</v>
      </c>
      <c r="D656" s="2">
        <v>45023</v>
      </c>
      <c r="E656" s="3">
        <v>5.2083333333333336E-2</v>
      </c>
      <c r="F656" s="2">
        <v>45023</v>
      </c>
      <c r="G656" s="3">
        <v>0.20069444444444445</v>
      </c>
      <c r="H656" s="1" t="s">
        <v>20</v>
      </c>
      <c r="I656" t="s">
        <v>8</v>
      </c>
      <c r="J656" t="s">
        <v>13</v>
      </c>
      <c r="K656" s="9">
        <v>21.7</v>
      </c>
      <c r="L656" t="s">
        <v>9</v>
      </c>
      <c r="M656">
        <v>655</v>
      </c>
      <c r="N656" t="s">
        <v>18</v>
      </c>
      <c r="O656" s="3">
        <f>(Sala[[#This Row],[Hora de Salida]]-Sala[[#This Row],[Hora de llegada]])+IF(Sala[[#This Row],[Estado de la Mesa]]="Ocupada",(TEXT((15/(60*24)),"h:mm")),(TEXT(0,"h:mm")))</f>
        <v>0.14861111111111111</v>
      </c>
      <c r="P656" s="43">
        <f>(SUMIF(Cocina[Número de Orden],Sala[[#This Row],[Número de Orden]],Cocina[Tiempo de Preparación]))</f>
        <v>36</v>
      </c>
      <c r="Q656" s="5" t="str">
        <f>TEXT(((SUMIF(Cocina[Número de Orden],Sala[[#This Row],[Número de Orden]],Cocina[Tiempo de Preparación]))/(60*24)),"h:mm")</f>
        <v>0:36</v>
      </c>
      <c r="R656" s="3">
        <f>MAX((Sala[[#This Row],[Tiempo de permanencia]]-Sala[[#This Row],[Tiempo de preparación (h)]]),0)</f>
        <v>0.12361111111111112</v>
      </c>
      <c r="S656" s="8">
        <f>SUMIF(Cocina[Número de Orden],Sala[[#This Row],[Número de Orden]],Cocina[Ganancia bruta])</f>
        <v>93</v>
      </c>
      <c r="T656" s="8">
        <f>SUMIF(Cocina[Número de Orden],Sala[[#This Row],[Número de Orden]],Cocina[Costo Unitario])</f>
        <v>19</v>
      </c>
      <c r="U656" s="2">
        <f>Sala[[#This Row],[Fecha de Salida]]</f>
        <v>45023</v>
      </c>
      <c r="V656" s="7" t="str">
        <f>TEXT(Sala[[#This Row],[Fecha factura]],"dddd")</f>
        <v>viernes</v>
      </c>
      <c r="W656" t="str">
        <f>IF(Sala[[#This Row],[Tiempo de degustación]]&gt;0,"Sí","No")</f>
        <v>Sí</v>
      </c>
      <c r="X656" t="str">
        <f>IF(Sala[[#This Row],[Cobrada]]="Sí",Sala[[#This Row],[Método de Pago]],"Impago")</f>
        <v>Efectivo</v>
      </c>
      <c r="Y656">
        <f>IF(Sala[[#This Row],[Cobrada]]="Sí",Sala[[#This Row],[Propina]],0)</f>
        <v>21.7</v>
      </c>
      <c r="Z656">
        <f>(IF(Sala[[#This Row],[Cobrada]]="Sí",Sala[[#This Row],[Monto total]],0))+Sala[[#This Row],[Propina real]]</f>
        <v>114.7</v>
      </c>
    </row>
    <row r="657" spans="1:26" x14ac:dyDescent="0.25">
      <c r="A657">
        <v>19</v>
      </c>
      <c r="B657" t="s">
        <v>542</v>
      </c>
      <c r="C657">
        <v>6</v>
      </c>
      <c r="D657" s="2">
        <v>45023</v>
      </c>
      <c r="E657" s="3">
        <v>0.15</v>
      </c>
      <c r="F657" s="2">
        <v>45023</v>
      </c>
      <c r="G657" s="3">
        <v>0.27777777777777779</v>
      </c>
      <c r="H657" s="1" t="s">
        <v>11</v>
      </c>
      <c r="I657" t="s">
        <v>25</v>
      </c>
      <c r="J657" t="s">
        <v>601</v>
      </c>
      <c r="K657" s="9">
        <v>31.23</v>
      </c>
      <c r="L657" t="s">
        <v>9</v>
      </c>
      <c r="M657">
        <v>656</v>
      </c>
      <c r="N657" t="s">
        <v>59</v>
      </c>
      <c r="O657" s="3">
        <f>(Sala[[#This Row],[Hora de Salida]]-Sala[[#This Row],[Hora de llegada]])+IF(Sala[[#This Row],[Estado de la Mesa]]="Ocupada",(TEXT((15/(60*24)),"h:mm")),(TEXT(0,"h:mm")))</f>
        <v>0.1277777777777778</v>
      </c>
      <c r="P657" s="43">
        <f>(SUMIF(Cocina[Número de Orden],Sala[[#This Row],[Número de Orden]],Cocina[Tiempo de Preparación]))</f>
        <v>110</v>
      </c>
      <c r="Q657" s="5" t="str">
        <f>TEXT(((SUMIF(Cocina[Número de Orden],Sala[[#This Row],[Número de Orden]],Cocina[Tiempo de Preparación]))/(60*24)),"h:mm")</f>
        <v>1:50</v>
      </c>
      <c r="R657" s="3">
        <f>MAX((Sala[[#This Row],[Tiempo de permanencia]]-Sala[[#This Row],[Tiempo de preparación (h)]]),0)</f>
        <v>5.1388888888888901E-2</v>
      </c>
      <c r="S657" s="8">
        <f>SUMIF(Cocina[Número de Orden],Sala[[#This Row],[Número de Orden]],Cocina[Ganancia bruta])</f>
        <v>157</v>
      </c>
      <c r="T657" s="8">
        <f>SUMIF(Cocina[Número de Orden],Sala[[#This Row],[Número de Orden]],Cocina[Costo Unitario])</f>
        <v>59</v>
      </c>
      <c r="U657" s="2">
        <f>Sala[[#This Row],[Fecha de Salida]]</f>
        <v>45023</v>
      </c>
      <c r="V657" s="7" t="str">
        <f>TEXT(Sala[[#This Row],[Fecha factura]],"dddd")</f>
        <v>viernes</v>
      </c>
      <c r="W657" t="str">
        <f>IF(Sala[[#This Row],[Tiempo de degustación]]&gt;0,"Sí","No")</f>
        <v>Sí</v>
      </c>
      <c r="X657" t="str">
        <f>IF(Sala[[#This Row],[Cobrada]]="Sí",Sala[[#This Row],[Método de Pago]],"Impago")</f>
        <v>Tarjeta de crédito</v>
      </c>
      <c r="Y657">
        <f>IF(Sala[[#This Row],[Cobrada]]="Sí",Sala[[#This Row],[Propina]],0)</f>
        <v>31.23</v>
      </c>
      <c r="Z657">
        <f>(IF(Sala[[#This Row],[Cobrada]]="Sí",Sala[[#This Row],[Monto total]],0))+Sala[[#This Row],[Propina real]]</f>
        <v>188.23</v>
      </c>
    </row>
    <row r="658" spans="1:26" x14ac:dyDescent="0.25">
      <c r="A658">
        <v>1</v>
      </c>
      <c r="B658" t="s">
        <v>543</v>
      </c>
      <c r="C658">
        <v>2</v>
      </c>
      <c r="D658" s="2">
        <v>45023</v>
      </c>
      <c r="E658" s="3">
        <v>3.5416666666666666E-2</v>
      </c>
      <c r="F658" s="2">
        <v>45023</v>
      </c>
      <c r="G658" s="3">
        <v>0.17152777777777778</v>
      </c>
      <c r="H658" s="1" t="s">
        <v>11</v>
      </c>
      <c r="I658" t="s">
        <v>8</v>
      </c>
      <c r="J658" t="s">
        <v>13</v>
      </c>
      <c r="K658" s="9">
        <v>44.2</v>
      </c>
      <c r="L658" t="s">
        <v>9</v>
      </c>
      <c r="M658">
        <v>657</v>
      </c>
      <c r="N658" t="s">
        <v>47</v>
      </c>
      <c r="O658" s="3">
        <f>(Sala[[#This Row],[Hora de Salida]]-Sala[[#This Row],[Hora de llegada]])+IF(Sala[[#This Row],[Estado de la Mesa]]="Ocupada",(TEXT((15/(60*24)),"h:mm")),(TEXT(0,"h:mm")))</f>
        <v>0.13611111111111113</v>
      </c>
      <c r="P658" s="43">
        <f>(SUMIF(Cocina[Número de Orden],Sala[[#This Row],[Número de Orden]],Cocina[Tiempo de Preparación]))</f>
        <v>134</v>
      </c>
      <c r="Q658" s="5" t="str">
        <f>TEXT(((SUMIF(Cocina[Número de Orden],Sala[[#This Row],[Número de Orden]],Cocina[Tiempo de Preparación]))/(60*24)),"h:mm")</f>
        <v>2:14</v>
      </c>
      <c r="R658" s="3">
        <f>MAX((Sala[[#This Row],[Tiempo de permanencia]]-Sala[[#This Row],[Tiempo de preparación (h)]]),0)</f>
        <v>4.3055555555555569E-2</v>
      </c>
      <c r="S658" s="8">
        <f>SUMIF(Cocina[Número de Orden],Sala[[#This Row],[Número de Orden]],Cocina[Ganancia bruta])</f>
        <v>196</v>
      </c>
      <c r="T658" s="8">
        <f>SUMIF(Cocina[Número de Orden],Sala[[#This Row],[Número de Orden]],Cocina[Costo Unitario])</f>
        <v>60</v>
      </c>
      <c r="U658" s="2">
        <f>Sala[[#This Row],[Fecha de Salida]]</f>
        <v>45023</v>
      </c>
      <c r="V658" s="7" t="str">
        <f>TEXT(Sala[[#This Row],[Fecha factura]],"dddd")</f>
        <v>viernes</v>
      </c>
      <c r="W658" t="str">
        <f>IF(Sala[[#This Row],[Tiempo de degustación]]&gt;0,"Sí","No")</f>
        <v>Sí</v>
      </c>
      <c r="X658" t="str">
        <f>IF(Sala[[#This Row],[Cobrada]]="Sí",Sala[[#This Row],[Método de Pago]],"Impago")</f>
        <v>Efectivo</v>
      </c>
      <c r="Y658">
        <f>IF(Sala[[#This Row],[Cobrada]]="Sí",Sala[[#This Row],[Propina]],0)</f>
        <v>44.2</v>
      </c>
      <c r="Z658">
        <f>(IF(Sala[[#This Row],[Cobrada]]="Sí",Sala[[#This Row],[Monto total]],0))+Sala[[#This Row],[Propina real]]</f>
        <v>240.2</v>
      </c>
    </row>
    <row r="659" spans="1:26" x14ac:dyDescent="0.25">
      <c r="A659">
        <v>19</v>
      </c>
      <c r="B659" t="s">
        <v>544</v>
      </c>
      <c r="C659">
        <v>5</v>
      </c>
      <c r="D659" s="2">
        <v>45023</v>
      </c>
      <c r="E659" s="3">
        <v>7.1527777777777773E-2</v>
      </c>
      <c r="F659" s="2">
        <v>45023</v>
      </c>
      <c r="G659" s="3">
        <v>0.20972222222222223</v>
      </c>
      <c r="H659" s="1" t="s">
        <v>20</v>
      </c>
      <c r="I659" t="s">
        <v>12</v>
      </c>
      <c r="J659" t="s">
        <v>13</v>
      </c>
      <c r="K659" s="9">
        <v>31.27</v>
      </c>
      <c r="L659" t="s">
        <v>9</v>
      </c>
      <c r="M659">
        <v>658</v>
      </c>
      <c r="N659" t="s">
        <v>18</v>
      </c>
      <c r="O659" s="3">
        <f>(Sala[[#This Row],[Hora de Salida]]-Sala[[#This Row],[Hora de llegada]])+IF(Sala[[#This Row],[Estado de la Mesa]]="Ocupada",(TEXT((15/(60*24)),"h:mm")),(TEXT(0,"h:mm")))</f>
        <v>0.13819444444444445</v>
      </c>
      <c r="P659" s="43">
        <f>(SUMIF(Cocina[Número de Orden],Sala[[#This Row],[Número de Orden]],Cocina[Tiempo de Preparación]))</f>
        <v>48</v>
      </c>
      <c r="Q659" s="5" t="str">
        <f>TEXT(((SUMIF(Cocina[Número de Orden],Sala[[#This Row],[Número de Orden]],Cocina[Tiempo de Preparación]))/(60*24)),"h:mm")</f>
        <v>0:48</v>
      </c>
      <c r="R659" s="3">
        <f>MAX((Sala[[#This Row],[Tiempo de permanencia]]-Sala[[#This Row],[Tiempo de preparación (h)]]),0)</f>
        <v>0.10486111111111113</v>
      </c>
      <c r="S659" s="8">
        <f>SUMIF(Cocina[Número de Orden],Sala[[#This Row],[Número de Orden]],Cocina[Ganancia bruta])</f>
        <v>86</v>
      </c>
      <c r="T659" s="8">
        <f>SUMIF(Cocina[Número de Orden],Sala[[#This Row],[Número de Orden]],Cocina[Costo Unitario])</f>
        <v>35</v>
      </c>
      <c r="U659" s="2">
        <f>Sala[[#This Row],[Fecha de Salida]]</f>
        <v>45023</v>
      </c>
      <c r="V659" s="7" t="str">
        <f>TEXT(Sala[[#This Row],[Fecha factura]],"dddd")</f>
        <v>viernes</v>
      </c>
      <c r="W659" t="str">
        <f>IF(Sala[[#This Row],[Tiempo de degustación]]&gt;0,"Sí","No")</f>
        <v>Sí</v>
      </c>
      <c r="X659" t="str">
        <f>IF(Sala[[#This Row],[Cobrada]]="Sí",Sala[[#This Row],[Método de Pago]],"Impago")</f>
        <v>Efectivo</v>
      </c>
      <c r="Y659">
        <f>IF(Sala[[#This Row],[Cobrada]]="Sí",Sala[[#This Row],[Propina]],0)</f>
        <v>31.27</v>
      </c>
      <c r="Z659">
        <f>(IF(Sala[[#This Row],[Cobrada]]="Sí",Sala[[#This Row],[Monto total]],0))+Sala[[#This Row],[Propina real]]</f>
        <v>117.27</v>
      </c>
    </row>
    <row r="660" spans="1:26" x14ac:dyDescent="0.25">
      <c r="A660">
        <v>9</v>
      </c>
      <c r="B660" t="s">
        <v>272</v>
      </c>
      <c r="C660">
        <v>4</v>
      </c>
      <c r="D660" s="2">
        <v>45023</v>
      </c>
      <c r="E660" s="3">
        <v>0.11805555555555555</v>
      </c>
      <c r="F660" s="2">
        <v>45023</v>
      </c>
      <c r="G660" s="3">
        <v>0.16875000000000001</v>
      </c>
      <c r="H660" s="1" t="s">
        <v>23</v>
      </c>
      <c r="I660" t="s">
        <v>8</v>
      </c>
      <c r="J660" t="s">
        <v>601</v>
      </c>
      <c r="K660" s="9">
        <v>35.24</v>
      </c>
      <c r="L660" t="s">
        <v>28</v>
      </c>
      <c r="M660">
        <v>659</v>
      </c>
      <c r="N660" t="s">
        <v>593</v>
      </c>
      <c r="O660" s="3">
        <f>(Sala[[#This Row],[Hora de Salida]]-Sala[[#This Row],[Hora de llegada]])+IF(Sala[[#This Row],[Estado de la Mesa]]="Ocupada",(TEXT((15/(60*24)),"h:mm")),(TEXT(0,"h:mm")))</f>
        <v>6.1111111111111123E-2</v>
      </c>
      <c r="P660" s="43">
        <f>(SUMIF(Cocina[Número de Orden],Sala[[#This Row],[Número de Orden]],Cocina[Tiempo de Preparación]))</f>
        <v>31</v>
      </c>
      <c r="Q660" s="5" t="str">
        <f>TEXT(((SUMIF(Cocina[Número de Orden],Sala[[#This Row],[Número de Orden]],Cocina[Tiempo de Preparación]))/(60*24)),"h:mm")</f>
        <v>0:31</v>
      </c>
      <c r="R660" s="3">
        <f>MAX((Sala[[#This Row],[Tiempo de permanencia]]-Sala[[#This Row],[Tiempo de preparación (h)]]),0)</f>
        <v>3.9583333333333345E-2</v>
      </c>
      <c r="S660" s="8">
        <f>SUMIF(Cocina[Número de Orden],Sala[[#This Row],[Número de Orden]],Cocina[Ganancia bruta])</f>
        <v>87</v>
      </c>
      <c r="T660" s="8">
        <f>SUMIF(Cocina[Número de Orden],Sala[[#This Row],[Número de Orden]],Cocina[Costo Unitario])</f>
        <v>17</v>
      </c>
      <c r="U660" s="2">
        <f>Sala[[#This Row],[Fecha de Salida]]</f>
        <v>45023</v>
      </c>
      <c r="V660" s="7" t="str">
        <f>TEXT(Sala[[#This Row],[Fecha factura]],"dddd")</f>
        <v>viernes</v>
      </c>
      <c r="W660" t="str">
        <f>IF(Sala[[#This Row],[Tiempo de degustación]]&gt;0,"Sí","No")</f>
        <v>Sí</v>
      </c>
      <c r="X660" t="str">
        <f>IF(Sala[[#This Row],[Cobrada]]="Sí",Sala[[#This Row],[Método de Pago]],"Impago")</f>
        <v>Tarjeta de crédito</v>
      </c>
      <c r="Y660">
        <f>IF(Sala[[#This Row],[Cobrada]]="Sí",Sala[[#This Row],[Propina]],0)</f>
        <v>35.24</v>
      </c>
      <c r="Z660">
        <f>(IF(Sala[[#This Row],[Cobrada]]="Sí",Sala[[#This Row],[Monto total]],0))+Sala[[#This Row],[Propina real]]</f>
        <v>122.24000000000001</v>
      </c>
    </row>
    <row r="661" spans="1:26" x14ac:dyDescent="0.25">
      <c r="A661">
        <v>19</v>
      </c>
      <c r="B661" t="s">
        <v>545</v>
      </c>
      <c r="C661">
        <v>4</v>
      </c>
      <c r="D661" s="2">
        <v>45023</v>
      </c>
      <c r="E661" s="3">
        <v>8.0555555555555561E-2</v>
      </c>
      <c r="F661" s="2">
        <v>45023</v>
      </c>
      <c r="G661" s="3">
        <v>0.24374999999999999</v>
      </c>
      <c r="H661" s="1" t="s">
        <v>16</v>
      </c>
      <c r="I661" t="s">
        <v>12</v>
      </c>
      <c r="J661" t="s">
        <v>601</v>
      </c>
      <c r="K661" s="9">
        <v>15.91</v>
      </c>
      <c r="L661" t="s">
        <v>9</v>
      </c>
      <c r="M661">
        <v>660</v>
      </c>
      <c r="N661" t="s">
        <v>18</v>
      </c>
      <c r="O661" s="3">
        <f>(Sala[[#This Row],[Hora de Salida]]-Sala[[#This Row],[Hora de llegada]])+IF(Sala[[#This Row],[Estado de la Mesa]]="Ocupada",(TEXT((15/(60*24)),"h:mm")),(TEXT(0,"h:mm")))</f>
        <v>0.16319444444444442</v>
      </c>
      <c r="P661" s="43">
        <f>(SUMIF(Cocina[Número de Orden],Sala[[#This Row],[Número de Orden]],Cocina[Tiempo de Preparación]))</f>
        <v>45</v>
      </c>
      <c r="Q661" s="5" t="str">
        <f>TEXT(((SUMIF(Cocina[Número de Orden],Sala[[#This Row],[Número de Orden]],Cocina[Tiempo de Preparación]))/(60*24)),"h:mm")</f>
        <v>0:45</v>
      </c>
      <c r="R661" s="3">
        <f>MAX((Sala[[#This Row],[Tiempo de permanencia]]-Sala[[#This Row],[Tiempo de preparación (h)]]),0)</f>
        <v>0.13194444444444442</v>
      </c>
      <c r="S661" s="8">
        <f>SUMIF(Cocina[Número de Orden],Sala[[#This Row],[Número de Orden]],Cocina[Ganancia bruta])</f>
        <v>208</v>
      </c>
      <c r="T661" s="8">
        <f>SUMIF(Cocina[Número de Orden],Sala[[#This Row],[Número de Orden]],Cocina[Costo Unitario])</f>
        <v>54</v>
      </c>
      <c r="U661" s="2">
        <f>Sala[[#This Row],[Fecha de Salida]]</f>
        <v>45023</v>
      </c>
      <c r="V661" s="7" t="str">
        <f>TEXT(Sala[[#This Row],[Fecha factura]],"dddd")</f>
        <v>viernes</v>
      </c>
      <c r="W661" t="str">
        <f>IF(Sala[[#This Row],[Tiempo de degustación]]&gt;0,"Sí","No")</f>
        <v>Sí</v>
      </c>
      <c r="X661" t="str">
        <f>IF(Sala[[#This Row],[Cobrada]]="Sí",Sala[[#This Row],[Método de Pago]],"Impago")</f>
        <v>Tarjeta de crédito</v>
      </c>
      <c r="Y661">
        <f>IF(Sala[[#This Row],[Cobrada]]="Sí",Sala[[#This Row],[Propina]],0)</f>
        <v>15.91</v>
      </c>
      <c r="Z661">
        <f>(IF(Sala[[#This Row],[Cobrada]]="Sí",Sala[[#This Row],[Monto total]],0))+Sala[[#This Row],[Propina real]]</f>
        <v>223.91</v>
      </c>
    </row>
    <row r="662" spans="1:26" x14ac:dyDescent="0.25">
      <c r="A662">
        <v>16</v>
      </c>
      <c r="B662" t="s">
        <v>149</v>
      </c>
      <c r="C662">
        <v>4</v>
      </c>
      <c r="D662" s="2">
        <v>45023</v>
      </c>
      <c r="E662" s="3">
        <v>0.14027777777777778</v>
      </c>
      <c r="F662" s="2">
        <v>45023</v>
      </c>
      <c r="G662" s="3">
        <v>0.28611111111111109</v>
      </c>
      <c r="H662" s="1" t="s">
        <v>23</v>
      </c>
      <c r="I662" t="s">
        <v>25</v>
      </c>
      <c r="J662" t="s">
        <v>601</v>
      </c>
      <c r="K662" s="9">
        <v>32.54</v>
      </c>
      <c r="L662" t="s">
        <v>28</v>
      </c>
      <c r="M662">
        <v>661</v>
      </c>
      <c r="N662" t="s">
        <v>59</v>
      </c>
      <c r="O662" s="3">
        <f>(Sala[[#This Row],[Hora de Salida]]-Sala[[#This Row],[Hora de llegada]])+IF(Sala[[#This Row],[Estado de la Mesa]]="Ocupada",(TEXT((15/(60*24)),"h:mm")),(TEXT(0,"h:mm")))</f>
        <v>0.15624999999999997</v>
      </c>
      <c r="P662" s="43">
        <f>(SUMIF(Cocina[Número de Orden],Sala[[#This Row],[Número de Orden]],Cocina[Tiempo de Preparación]))</f>
        <v>135</v>
      </c>
      <c r="Q662" s="5" t="str">
        <f>TEXT(((SUMIF(Cocina[Número de Orden],Sala[[#This Row],[Número de Orden]],Cocina[Tiempo de Preparación]))/(60*24)),"h:mm")</f>
        <v>2:15</v>
      </c>
      <c r="R662" s="3">
        <f>MAX((Sala[[#This Row],[Tiempo de permanencia]]-Sala[[#This Row],[Tiempo de preparación (h)]]),0)</f>
        <v>6.2499999999999972E-2</v>
      </c>
      <c r="S662" s="8">
        <f>SUMIF(Cocina[Número de Orden],Sala[[#This Row],[Número de Orden]],Cocina[Ganancia bruta])</f>
        <v>206</v>
      </c>
      <c r="T662" s="8">
        <f>SUMIF(Cocina[Número de Orden],Sala[[#This Row],[Número de Orden]],Cocina[Costo Unitario])</f>
        <v>64</v>
      </c>
      <c r="U662" s="2">
        <f>Sala[[#This Row],[Fecha de Salida]]</f>
        <v>45023</v>
      </c>
      <c r="V662" s="7" t="str">
        <f>TEXT(Sala[[#This Row],[Fecha factura]],"dddd")</f>
        <v>viernes</v>
      </c>
      <c r="W662" t="str">
        <f>IF(Sala[[#This Row],[Tiempo de degustación]]&gt;0,"Sí","No")</f>
        <v>Sí</v>
      </c>
      <c r="X662" t="str">
        <f>IF(Sala[[#This Row],[Cobrada]]="Sí",Sala[[#This Row],[Método de Pago]],"Impago")</f>
        <v>Tarjeta de crédito</v>
      </c>
      <c r="Y662">
        <f>IF(Sala[[#This Row],[Cobrada]]="Sí",Sala[[#This Row],[Propina]],0)</f>
        <v>32.54</v>
      </c>
      <c r="Z662">
        <f>(IF(Sala[[#This Row],[Cobrada]]="Sí",Sala[[#This Row],[Monto total]],0))+Sala[[#This Row],[Propina real]]</f>
        <v>238.54</v>
      </c>
    </row>
    <row r="663" spans="1:26" x14ac:dyDescent="0.25">
      <c r="A663">
        <v>15</v>
      </c>
      <c r="B663" t="s">
        <v>546</v>
      </c>
      <c r="C663">
        <v>4</v>
      </c>
      <c r="D663" s="2">
        <v>45023</v>
      </c>
      <c r="E663" s="3">
        <v>8.4027777777777785E-2</v>
      </c>
      <c r="F663" s="2">
        <v>45023</v>
      </c>
      <c r="G663" s="3">
        <v>0.20972222222222223</v>
      </c>
      <c r="H663" s="1" t="s">
        <v>11</v>
      </c>
      <c r="I663" t="s">
        <v>8</v>
      </c>
      <c r="J663" t="s">
        <v>601</v>
      </c>
      <c r="K663" s="9">
        <v>11.64</v>
      </c>
      <c r="L663" t="s">
        <v>17</v>
      </c>
      <c r="M663">
        <v>662</v>
      </c>
      <c r="N663" t="s">
        <v>32</v>
      </c>
      <c r="O663" s="3">
        <f>(Sala[[#This Row],[Hora de Salida]]-Sala[[#This Row],[Hora de llegada]])+IF(Sala[[#This Row],[Estado de la Mesa]]="Ocupada",(TEXT((15/(60*24)),"h:mm")),(TEXT(0,"h:mm")))</f>
        <v>0.12569444444444444</v>
      </c>
      <c r="P663" s="43">
        <f>(SUMIF(Cocina[Número de Orden],Sala[[#This Row],[Número de Orden]],Cocina[Tiempo de Preparación]))</f>
        <v>85</v>
      </c>
      <c r="Q663" s="5" t="str">
        <f>TEXT(((SUMIF(Cocina[Número de Orden],Sala[[#This Row],[Número de Orden]],Cocina[Tiempo de Preparación]))/(60*24)),"h:mm")</f>
        <v>1:25</v>
      </c>
      <c r="R663" s="3">
        <f>MAX((Sala[[#This Row],[Tiempo de permanencia]]-Sala[[#This Row],[Tiempo de preparación (h)]]),0)</f>
        <v>6.6666666666666666E-2</v>
      </c>
      <c r="S663" s="8">
        <f>SUMIF(Cocina[Número de Orden],Sala[[#This Row],[Número de Orden]],Cocina[Ganancia bruta])</f>
        <v>133</v>
      </c>
      <c r="T663" s="8">
        <f>SUMIF(Cocina[Número de Orden],Sala[[#This Row],[Número de Orden]],Cocina[Costo Unitario])</f>
        <v>51</v>
      </c>
      <c r="U663" s="2">
        <f>Sala[[#This Row],[Fecha de Salida]]</f>
        <v>45023</v>
      </c>
      <c r="V663" s="7" t="str">
        <f>TEXT(Sala[[#This Row],[Fecha factura]],"dddd")</f>
        <v>viernes</v>
      </c>
      <c r="W663" t="str">
        <f>IF(Sala[[#This Row],[Tiempo de degustación]]&gt;0,"Sí","No")</f>
        <v>Sí</v>
      </c>
      <c r="X663" t="str">
        <f>IF(Sala[[#This Row],[Cobrada]]="Sí",Sala[[#This Row],[Método de Pago]],"Impago")</f>
        <v>Tarjeta de crédito</v>
      </c>
      <c r="Y663">
        <f>IF(Sala[[#This Row],[Cobrada]]="Sí",Sala[[#This Row],[Propina]],0)</f>
        <v>11.64</v>
      </c>
      <c r="Z663">
        <f>(IF(Sala[[#This Row],[Cobrada]]="Sí",Sala[[#This Row],[Monto total]],0))+Sala[[#This Row],[Propina real]]</f>
        <v>144.63999999999999</v>
      </c>
    </row>
    <row r="664" spans="1:26" x14ac:dyDescent="0.25">
      <c r="A664">
        <v>3</v>
      </c>
      <c r="B664" t="s">
        <v>547</v>
      </c>
      <c r="C664">
        <v>1</v>
      </c>
      <c r="D664" s="2">
        <v>45023</v>
      </c>
      <c r="E664" s="3">
        <v>4.791666666666667E-2</v>
      </c>
      <c r="F664" s="2">
        <v>45023</v>
      </c>
      <c r="G664" s="3">
        <v>0.15763888888888888</v>
      </c>
      <c r="H664" s="1" t="s">
        <v>11</v>
      </c>
      <c r="I664" t="s">
        <v>8</v>
      </c>
      <c r="J664" t="s">
        <v>13</v>
      </c>
      <c r="K664" s="9">
        <v>41.8</v>
      </c>
      <c r="L664" t="s">
        <v>28</v>
      </c>
      <c r="M664">
        <v>663</v>
      </c>
      <c r="N664" t="s">
        <v>594</v>
      </c>
      <c r="O664" s="3">
        <f>(Sala[[#This Row],[Hora de Salida]]-Sala[[#This Row],[Hora de llegada]])+IF(Sala[[#This Row],[Estado de la Mesa]]="Ocupada",(TEXT((15/(60*24)),"h:mm")),(TEXT(0,"h:mm")))</f>
        <v>0.12013888888888889</v>
      </c>
      <c r="P664" s="43">
        <f>(SUMIF(Cocina[Número de Orden],Sala[[#This Row],[Número de Orden]],Cocina[Tiempo de Preparación]))</f>
        <v>87</v>
      </c>
      <c r="Q664" s="5" t="str">
        <f>TEXT(((SUMIF(Cocina[Número de Orden],Sala[[#This Row],[Número de Orden]],Cocina[Tiempo de Preparación]))/(60*24)),"h:mm")</f>
        <v>1:27</v>
      </c>
      <c r="R664" s="3">
        <f>MAX((Sala[[#This Row],[Tiempo de permanencia]]-Sala[[#This Row],[Tiempo de preparación (h)]]),0)</f>
        <v>5.9722222222222225E-2</v>
      </c>
      <c r="S664" s="8">
        <f>SUMIF(Cocina[Número de Orden],Sala[[#This Row],[Número de Orden]],Cocina[Ganancia bruta])</f>
        <v>114</v>
      </c>
      <c r="T664" s="8">
        <f>SUMIF(Cocina[Número de Orden],Sala[[#This Row],[Número de Orden]],Cocina[Costo Unitario])</f>
        <v>39</v>
      </c>
      <c r="U664" s="2">
        <f>Sala[[#This Row],[Fecha de Salida]]</f>
        <v>45023</v>
      </c>
      <c r="V664" s="7" t="str">
        <f>TEXT(Sala[[#This Row],[Fecha factura]],"dddd")</f>
        <v>viernes</v>
      </c>
      <c r="W664" t="str">
        <f>IF(Sala[[#This Row],[Tiempo de degustación]]&gt;0,"Sí","No")</f>
        <v>Sí</v>
      </c>
      <c r="X664" t="str">
        <f>IF(Sala[[#This Row],[Cobrada]]="Sí",Sala[[#This Row],[Método de Pago]],"Impago")</f>
        <v>Efectivo</v>
      </c>
      <c r="Y664">
        <f>IF(Sala[[#This Row],[Cobrada]]="Sí",Sala[[#This Row],[Propina]],0)</f>
        <v>41.8</v>
      </c>
      <c r="Z664">
        <f>(IF(Sala[[#This Row],[Cobrada]]="Sí",Sala[[#This Row],[Monto total]],0))+Sala[[#This Row],[Propina real]]</f>
        <v>155.80000000000001</v>
      </c>
    </row>
    <row r="665" spans="1:26" x14ac:dyDescent="0.25">
      <c r="A665">
        <v>20</v>
      </c>
      <c r="B665" t="s">
        <v>548</v>
      </c>
      <c r="C665">
        <v>6</v>
      </c>
      <c r="D665" s="2">
        <v>45023</v>
      </c>
      <c r="E665" s="3">
        <v>6.5972222222222224E-2</v>
      </c>
      <c r="F665" s="2">
        <v>45023</v>
      </c>
      <c r="G665" s="3">
        <v>0.16180555555555556</v>
      </c>
      <c r="H665" s="1" t="s">
        <v>23</v>
      </c>
      <c r="I665" t="s">
        <v>12</v>
      </c>
      <c r="J665" t="s">
        <v>600</v>
      </c>
      <c r="K665" s="9">
        <v>31.27</v>
      </c>
      <c r="L665" t="s">
        <v>9</v>
      </c>
      <c r="M665">
        <v>664</v>
      </c>
      <c r="N665" t="s">
        <v>14</v>
      </c>
      <c r="O665" s="3">
        <f>(Sala[[#This Row],[Hora de Salida]]-Sala[[#This Row],[Hora de llegada]])+IF(Sala[[#This Row],[Estado de la Mesa]]="Ocupada",(TEXT((15/(60*24)),"h:mm")),(TEXT(0,"h:mm")))</f>
        <v>9.583333333333334E-2</v>
      </c>
      <c r="P665" s="43">
        <f>(SUMIF(Cocina[Número de Orden],Sala[[#This Row],[Número de Orden]],Cocina[Tiempo de Preparación]))</f>
        <v>99</v>
      </c>
      <c r="Q665" s="5" t="str">
        <f>TEXT(((SUMIF(Cocina[Número de Orden],Sala[[#This Row],[Número de Orden]],Cocina[Tiempo de Preparación]))/(60*24)),"h:mm")</f>
        <v>1:39</v>
      </c>
      <c r="R665" s="3">
        <f>MAX((Sala[[#This Row],[Tiempo de permanencia]]-Sala[[#This Row],[Tiempo de preparación (h)]]),0)</f>
        <v>2.7083333333333334E-2</v>
      </c>
      <c r="S665" s="8">
        <f>SUMIF(Cocina[Número de Orden],Sala[[#This Row],[Número de Orden]],Cocina[Ganancia bruta])</f>
        <v>122</v>
      </c>
      <c r="T665" s="8">
        <f>SUMIF(Cocina[Número de Orden],Sala[[#This Row],[Número de Orden]],Cocina[Costo Unitario])</f>
        <v>34</v>
      </c>
      <c r="U665" s="2">
        <f>Sala[[#This Row],[Fecha de Salida]]</f>
        <v>45023</v>
      </c>
      <c r="V665" s="7" t="str">
        <f>TEXT(Sala[[#This Row],[Fecha factura]],"dddd")</f>
        <v>viernes</v>
      </c>
      <c r="W665" t="str">
        <f>IF(Sala[[#This Row],[Tiempo de degustación]]&gt;0,"Sí","No")</f>
        <v>Sí</v>
      </c>
      <c r="X665" t="str">
        <f>IF(Sala[[#This Row],[Cobrada]]="Sí",Sala[[#This Row],[Método de Pago]],"Impago")</f>
        <v>Tarjeta de débito</v>
      </c>
      <c r="Y665">
        <f>IF(Sala[[#This Row],[Cobrada]]="Sí",Sala[[#This Row],[Propina]],0)</f>
        <v>31.27</v>
      </c>
      <c r="Z665">
        <f>(IF(Sala[[#This Row],[Cobrada]]="Sí",Sala[[#This Row],[Monto total]],0))+Sala[[#This Row],[Propina real]]</f>
        <v>153.27000000000001</v>
      </c>
    </row>
    <row r="666" spans="1:26" x14ac:dyDescent="0.25">
      <c r="A666">
        <v>6</v>
      </c>
      <c r="B666" t="s">
        <v>274</v>
      </c>
      <c r="C666">
        <v>1</v>
      </c>
      <c r="D666" s="2">
        <v>45023</v>
      </c>
      <c r="E666" s="3">
        <v>8.6805555555555552E-2</v>
      </c>
      <c r="F666" s="2">
        <v>45023</v>
      </c>
      <c r="G666" s="3">
        <v>0.24722222222222223</v>
      </c>
      <c r="H666" s="1" t="s">
        <v>20</v>
      </c>
      <c r="I666" t="s">
        <v>8</v>
      </c>
      <c r="J666" t="s">
        <v>601</v>
      </c>
      <c r="K666" s="9">
        <v>25.32</v>
      </c>
      <c r="L666" t="s">
        <v>28</v>
      </c>
      <c r="M666">
        <v>665</v>
      </c>
      <c r="N666" t="s">
        <v>32</v>
      </c>
      <c r="O666" s="3">
        <f>(Sala[[#This Row],[Hora de Salida]]-Sala[[#This Row],[Hora de llegada]])+IF(Sala[[#This Row],[Estado de la Mesa]]="Ocupada",(TEXT((15/(60*24)),"h:mm")),(TEXT(0,"h:mm")))</f>
        <v>0.17083333333333334</v>
      </c>
      <c r="P666" s="43">
        <f>(SUMIF(Cocina[Número de Orden],Sala[[#This Row],[Número de Orden]],Cocina[Tiempo de Preparación]))</f>
        <v>40</v>
      </c>
      <c r="Q666" s="5" t="str">
        <f>TEXT(((SUMIF(Cocina[Número de Orden],Sala[[#This Row],[Número de Orden]],Cocina[Tiempo de Preparación]))/(60*24)),"h:mm")</f>
        <v>0:40</v>
      </c>
      <c r="R666" s="3">
        <f>MAX((Sala[[#This Row],[Tiempo de permanencia]]-Sala[[#This Row],[Tiempo de preparación (h)]]),0)</f>
        <v>0.14305555555555555</v>
      </c>
      <c r="S666" s="8">
        <f>SUMIF(Cocina[Número de Orden],Sala[[#This Row],[Número de Orden]],Cocina[Ganancia bruta])</f>
        <v>129</v>
      </c>
      <c r="T666" s="8">
        <f>SUMIF(Cocina[Número de Orden],Sala[[#This Row],[Número de Orden]],Cocina[Costo Unitario])</f>
        <v>31</v>
      </c>
      <c r="U666" s="2">
        <f>Sala[[#This Row],[Fecha de Salida]]</f>
        <v>45023</v>
      </c>
      <c r="V666" s="7" t="str">
        <f>TEXT(Sala[[#This Row],[Fecha factura]],"dddd")</f>
        <v>viernes</v>
      </c>
      <c r="W666" t="str">
        <f>IF(Sala[[#This Row],[Tiempo de degustación]]&gt;0,"Sí","No")</f>
        <v>Sí</v>
      </c>
      <c r="X666" t="str">
        <f>IF(Sala[[#This Row],[Cobrada]]="Sí",Sala[[#This Row],[Método de Pago]],"Impago")</f>
        <v>Tarjeta de crédito</v>
      </c>
      <c r="Y666">
        <f>IF(Sala[[#This Row],[Cobrada]]="Sí",Sala[[#This Row],[Propina]],0)</f>
        <v>25.32</v>
      </c>
      <c r="Z666">
        <f>(IF(Sala[[#This Row],[Cobrada]]="Sí",Sala[[#This Row],[Monto total]],0))+Sala[[#This Row],[Propina real]]</f>
        <v>154.32</v>
      </c>
    </row>
    <row r="667" spans="1:26" x14ac:dyDescent="0.25">
      <c r="A667">
        <v>8</v>
      </c>
      <c r="B667" t="s">
        <v>549</v>
      </c>
      <c r="C667">
        <v>4</v>
      </c>
      <c r="D667" s="2">
        <v>45023</v>
      </c>
      <c r="E667" s="3">
        <v>4.4444444444444446E-2</v>
      </c>
      <c r="F667" s="2">
        <v>45023</v>
      </c>
      <c r="G667" s="3">
        <v>0.20624999999999999</v>
      </c>
      <c r="H667" s="1" t="s">
        <v>16</v>
      </c>
      <c r="I667" t="s">
        <v>8</v>
      </c>
      <c r="J667" t="s">
        <v>601</v>
      </c>
      <c r="K667" s="9">
        <v>11.86</v>
      </c>
      <c r="L667" t="s">
        <v>17</v>
      </c>
      <c r="M667">
        <v>666</v>
      </c>
      <c r="N667" t="s">
        <v>21</v>
      </c>
      <c r="O667" s="3">
        <f>(Sala[[#This Row],[Hora de Salida]]-Sala[[#This Row],[Hora de llegada]])+IF(Sala[[#This Row],[Estado de la Mesa]]="Ocupada",(TEXT((15/(60*24)),"h:mm")),(TEXT(0,"h:mm")))</f>
        <v>0.16180555555555554</v>
      </c>
      <c r="P667" s="43">
        <f>(SUMIF(Cocina[Número de Orden],Sala[[#This Row],[Número de Orden]],Cocina[Tiempo de Preparación]))</f>
        <v>27</v>
      </c>
      <c r="Q667" s="5" t="str">
        <f>TEXT(((SUMIF(Cocina[Número de Orden],Sala[[#This Row],[Número de Orden]],Cocina[Tiempo de Preparación]))/(60*24)),"h:mm")</f>
        <v>0:27</v>
      </c>
      <c r="R667" s="3">
        <f>MAX((Sala[[#This Row],[Tiempo de permanencia]]-Sala[[#This Row],[Tiempo de preparación (h)]]),0)</f>
        <v>0.14305555555555555</v>
      </c>
      <c r="S667" s="8">
        <f>SUMIF(Cocina[Número de Orden],Sala[[#This Row],[Número de Orden]],Cocina[Ganancia bruta])</f>
        <v>40</v>
      </c>
      <c r="T667" s="8">
        <f>SUMIF(Cocina[Número de Orden],Sala[[#This Row],[Número de Orden]],Cocina[Costo Unitario])</f>
        <v>12</v>
      </c>
      <c r="U667" s="2">
        <f>Sala[[#This Row],[Fecha de Salida]]</f>
        <v>45023</v>
      </c>
      <c r="V667" s="7" t="str">
        <f>TEXT(Sala[[#This Row],[Fecha factura]],"dddd")</f>
        <v>viernes</v>
      </c>
      <c r="W667" t="str">
        <f>IF(Sala[[#This Row],[Tiempo de degustación]]&gt;0,"Sí","No")</f>
        <v>Sí</v>
      </c>
      <c r="X667" t="str">
        <f>IF(Sala[[#This Row],[Cobrada]]="Sí",Sala[[#This Row],[Método de Pago]],"Impago")</f>
        <v>Tarjeta de crédito</v>
      </c>
      <c r="Y667">
        <f>IF(Sala[[#This Row],[Cobrada]]="Sí",Sala[[#This Row],[Propina]],0)</f>
        <v>11.86</v>
      </c>
      <c r="Z667">
        <f>(IF(Sala[[#This Row],[Cobrada]]="Sí",Sala[[#This Row],[Monto total]],0))+Sala[[#This Row],[Propina real]]</f>
        <v>51.86</v>
      </c>
    </row>
    <row r="668" spans="1:26" x14ac:dyDescent="0.25">
      <c r="A668">
        <v>6</v>
      </c>
      <c r="B668" t="s">
        <v>550</v>
      </c>
      <c r="C668">
        <v>5</v>
      </c>
      <c r="D668" s="2">
        <v>45023</v>
      </c>
      <c r="E668" s="3">
        <v>0.15208333333333332</v>
      </c>
      <c r="F668" s="2">
        <v>45023</v>
      </c>
      <c r="G668" s="3">
        <v>0.29652777777777778</v>
      </c>
      <c r="H668" s="1" t="s">
        <v>7</v>
      </c>
      <c r="I668" t="s">
        <v>8</v>
      </c>
      <c r="J668" t="s">
        <v>601</v>
      </c>
      <c r="K668" s="9">
        <v>20.49</v>
      </c>
      <c r="L668" t="s">
        <v>9</v>
      </c>
      <c r="M668">
        <v>667</v>
      </c>
      <c r="N668" t="s">
        <v>593</v>
      </c>
      <c r="O668" s="3">
        <f>(Sala[[#This Row],[Hora de Salida]]-Sala[[#This Row],[Hora de llegada]])+IF(Sala[[#This Row],[Estado de la Mesa]]="Ocupada",(TEXT((15/(60*24)),"h:mm")),(TEXT(0,"h:mm")))</f>
        <v>0.14444444444444446</v>
      </c>
      <c r="P668" s="43">
        <f>(SUMIF(Cocina[Número de Orden],Sala[[#This Row],[Número de Orden]],Cocina[Tiempo de Preparación]))</f>
        <v>12</v>
      </c>
      <c r="Q668" s="5" t="str">
        <f>TEXT(((SUMIF(Cocina[Número de Orden],Sala[[#This Row],[Número de Orden]],Cocina[Tiempo de Preparación]))/(60*24)),"h:mm")</f>
        <v>0:12</v>
      </c>
      <c r="R668" s="3">
        <f>MAX((Sala[[#This Row],[Tiempo de permanencia]]-Sala[[#This Row],[Tiempo de preparación (h)]]),0)</f>
        <v>0.13611111111111113</v>
      </c>
      <c r="S668" s="8">
        <f>SUMIF(Cocina[Número de Orden],Sala[[#This Row],[Número de Orden]],Cocina[Ganancia bruta])</f>
        <v>36</v>
      </c>
      <c r="T668" s="8">
        <f>SUMIF(Cocina[Número de Orden],Sala[[#This Row],[Número de Orden]],Cocina[Costo Unitario])</f>
        <v>22</v>
      </c>
      <c r="U668" s="2">
        <f>Sala[[#This Row],[Fecha de Salida]]</f>
        <v>45023</v>
      </c>
      <c r="V668" s="7" t="str">
        <f>TEXT(Sala[[#This Row],[Fecha factura]],"dddd")</f>
        <v>viernes</v>
      </c>
      <c r="W668" t="str">
        <f>IF(Sala[[#This Row],[Tiempo de degustación]]&gt;0,"Sí","No")</f>
        <v>Sí</v>
      </c>
      <c r="X668" t="str">
        <f>IF(Sala[[#This Row],[Cobrada]]="Sí",Sala[[#This Row],[Método de Pago]],"Impago")</f>
        <v>Tarjeta de crédito</v>
      </c>
      <c r="Y668">
        <f>IF(Sala[[#This Row],[Cobrada]]="Sí",Sala[[#This Row],[Propina]],0)</f>
        <v>20.49</v>
      </c>
      <c r="Z668">
        <f>(IF(Sala[[#This Row],[Cobrada]]="Sí",Sala[[#This Row],[Monto total]],0))+Sala[[#This Row],[Propina real]]</f>
        <v>56.489999999999995</v>
      </c>
    </row>
    <row r="669" spans="1:26" x14ac:dyDescent="0.25">
      <c r="A669">
        <v>12</v>
      </c>
      <c r="B669" t="s">
        <v>286</v>
      </c>
      <c r="C669">
        <v>4</v>
      </c>
      <c r="D669" s="2">
        <v>45023</v>
      </c>
      <c r="E669" s="3">
        <v>7.1527777777777773E-2</v>
      </c>
      <c r="F669" s="2">
        <v>45023</v>
      </c>
      <c r="G669" s="3">
        <v>0.19513888888888889</v>
      </c>
      <c r="H669" s="1" t="s">
        <v>11</v>
      </c>
      <c r="I669" t="s">
        <v>12</v>
      </c>
      <c r="J669" t="s">
        <v>601</v>
      </c>
      <c r="K669" s="9">
        <v>18.61</v>
      </c>
      <c r="L669" t="s">
        <v>9</v>
      </c>
      <c r="M669">
        <v>668</v>
      </c>
      <c r="N669" t="s">
        <v>32</v>
      </c>
      <c r="O669" s="3">
        <f>(Sala[[#This Row],[Hora de Salida]]-Sala[[#This Row],[Hora de llegada]])+IF(Sala[[#This Row],[Estado de la Mesa]]="Ocupada",(TEXT((15/(60*24)),"h:mm")),(TEXT(0,"h:mm")))</f>
        <v>0.12361111111111112</v>
      </c>
      <c r="P669" s="43">
        <f>(SUMIF(Cocina[Número de Orden],Sala[[#This Row],[Número de Orden]],Cocina[Tiempo de Preparación]))</f>
        <v>115</v>
      </c>
      <c r="Q669" s="5" t="str">
        <f>TEXT(((SUMIF(Cocina[Número de Orden],Sala[[#This Row],[Número de Orden]],Cocina[Tiempo de Preparación]))/(60*24)),"h:mm")</f>
        <v>1:55</v>
      </c>
      <c r="R669" s="3">
        <f>MAX((Sala[[#This Row],[Tiempo de permanencia]]-Sala[[#This Row],[Tiempo de preparación (h)]]),0)</f>
        <v>4.3750000000000011E-2</v>
      </c>
      <c r="S669" s="8">
        <f>SUMIF(Cocina[Número de Orden],Sala[[#This Row],[Número de Orden]],Cocina[Ganancia bruta])</f>
        <v>201</v>
      </c>
      <c r="T669" s="8">
        <f>SUMIF(Cocina[Número de Orden],Sala[[#This Row],[Número de Orden]],Cocina[Costo Unitario])</f>
        <v>44</v>
      </c>
      <c r="U669" s="2">
        <f>Sala[[#This Row],[Fecha de Salida]]</f>
        <v>45023</v>
      </c>
      <c r="V669" s="7" t="str">
        <f>TEXT(Sala[[#This Row],[Fecha factura]],"dddd")</f>
        <v>viernes</v>
      </c>
      <c r="W669" t="str">
        <f>IF(Sala[[#This Row],[Tiempo de degustación]]&gt;0,"Sí","No")</f>
        <v>Sí</v>
      </c>
      <c r="X669" t="str">
        <f>IF(Sala[[#This Row],[Cobrada]]="Sí",Sala[[#This Row],[Método de Pago]],"Impago")</f>
        <v>Tarjeta de crédito</v>
      </c>
      <c r="Y669">
        <f>IF(Sala[[#This Row],[Cobrada]]="Sí",Sala[[#This Row],[Propina]],0)</f>
        <v>18.61</v>
      </c>
      <c r="Z669">
        <f>(IF(Sala[[#This Row],[Cobrada]]="Sí",Sala[[#This Row],[Monto total]],0))+Sala[[#This Row],[Propina real]]</f>
        <v>219.61</v>
      </c>
    </row>
    <row r="670" spans="1:26" x14ac:dyDescent="0.25">
      <c r="A670">
        <v>10</v>
      </c>
      <c r="B670" t="s">
        <v>551</v>
      </c>
      <c r="C670">
        <v>4</v>
      </c>
      <c r="D670" s="2">
        <v>45023</v>
      </c>
      <c r="E670" s="3">
        <v>4.2361111111111113E-2</v>
      </c>
      <c r="F670" s="2">
        <v>45023</v>
      </c>
      <c r="G670" s="3">
        <v>0.19027777777777777</v>
      </c>
      <c r="H670" s="1" t="s">
        <v>7</v>
      </c>
      <c r="I670" t="s">
        <v>8</v>
      </c>
      <c r="J670" t="s">
        <v>601</v>
      </c>
      <c r="K670" s="9">
        <v>10.68</v>
      </c>
      <c r="L670" t="s">
        <v>17</v>
      </c>
      <c r="M670">
        <v>669</v>
      </c>
      <c r="N670" t="s">
        <v>29</v>
      </c>
      <c r="O670" s="3">
        <f>(Sala[[#This Row],[Hora de Salida]]-Sala[[#This Row],[Hora de llegada]])+IF(Sala[[#This Row],[Estado de la Mesa]]="Ocupada",(TEXT((15/(60*24)),"h:mm")),(TEXT(0,"h:mm")))</f>
        <v>0.14791666666666664</v>
      </c>
      <c r="P670" s="43">
        <f>(SUMIF(Cocina[Número de Orden],Sala[[#This Row],[Número de Orden]],Cocina[Tiempo de Preparación]))</f>
        <v>69</v>
      </c>
      <c r="Q670" s="5" t="str">
        <f>TEXT(((SUMIF(Cocina[Número de Orden],Sala[[#This Row],[Número de Orden]],Cocina[Tiempo de Preparación]))/(60*24)),"h:mm")</f>
        <v>1:09</v>
      </c>
      <c r="R670" s="3">
        <f>MAX((Sala[[#This Row],[Tiempo de permanencia]]-Sala[[#This Row],[Tiempo de preparación (h)]]),0)</f>
        <v>9.9999999999999978E-2</v>
      </c>
      <c r="S670" s="8">
        <f>SUMIF(Cocina[Número de Orden],Sala[[#This Row],[Número de Orden]],Cocina[Ganancia bruta])</f>
        <v>181</v>
      </c>
      <c r="T670" s="8">
        <f>SUMIF(Cocina[Número de Orden],Sala[[#This Row],[Número de Orden]],Cocina[Costo Unitario])</f>
        <v>54</v>
      </c>
      <c r="U670" s="2">
        <f>Sala[[#This Row],[Fecha de Salida]]</f>
        <v>45023</v>
      </c>
      <c r="V670" s="7" t="str">
        <f>TEXT(Sala[[#This Row],[Fecha factura]],"dddd")</f>
        <v>viernes</v>
      </c>
      <c r="W670" t="str">
        <f>IF(Sala[[#This Row],[Tiempo de degustación]]&gt;0,"Sí","No")</f>
        <v>Sí</v>
      </c>
      <c r="X670" t="str">
        <f>IF(Sala[[#This Row],[Cobrada]]="Sí",Sala[[#This Row],[Método de Pago]],"Impago")</f>
        <v>Tarjeta de crédito</v>
      </c>
      <c r="Y670">
        <f>IF(Sala[[#This Row],[Cobrada]]="Sí",Sala[[#This Row],[Propina]],0)</f>
        <v>10.68</v>
      </c>
      <c r="Z670">
        <f>(IF(Sala[[#This Row],[Cobrada]]="Sí",Sala[[#This Row],[Monto total]],0))+Sala[[#This Row],[Propina real]]</f>
        <v>191.68</v>
      </c>
    </row>
    <row r="671" spans="1:26" x14ac:dyDescent="0.25">
      <c r="A671">
        <v>16</v>
      </c>
      <c r="B671" t="s">
        <v>552</v>
      </c>
      <c r="C671">
        <v>6</v>
      </c>
      <c r="D671" s="2">
        <v>45023</v>
      </c>
      <c r="E671" s="3">
        <v>7.7777777777777779E-2</v>
      </c>
      <c r="F671" s="2">
        <v>45023</v>
      </c>
      <c r="G671" s="3">
        <v>0.13333333333333333</v>
      </c>
      <c r="H671" s="1" t="s">
        <v>16</v>
      </c>
      <c r="I671" t="s">
        <v>8</v>
      </c>
      <c r="J671" t="s">
        <v>13</v>
      </c>
      <c r="K671" s="9">
        <v>37.93</v>
      </c>
      <c r="L671" t="s">
        <v>28</v>
      </c>
      <c r="M671">
        <v>670</v>
      </c>
      <c r="N671" t="s">
        <v>32</v>
      </c>
      <c r="O671" s="3">
        <f>(Sala[[#This Row],[Hora de Salida]]-Sala[[#This Row],[Hora de llegada]])+IF(Sala[[#This Row],[Estado de la Mesa]]="Ocupada",(TEXT((15/(60*24)),"h:mm")),(TEXT(0,"h:mm")))</f>
        <v>6.5972222222222224E-2</v>
      </c>
      <c r="P671" s="43">
        <f>(SUMIF(Cocina[Número de Orden],Sala[[#This Row],[Número de Orden]],Cocina[Tiempo de Preparación]))</f>
        <v>75</v>
      </c>
      <c r="Q671" s="5" t="str">
        <f>TEXT(((SUMIF(Cocina[Número de Orden],Sala[[#This Row],[Número de Orden]],Cocina[Tiempo de Preparación]))/(60*24)),"h:mm")</f>
        <v>1:15</v>
      </c>
      <c r="R671" s="3">
        <f>MAX((Sala[[#This Row],[Tiempo de permanencia]]-Sala[[#This Row],[Tiempo de preparación (h)]]),0)</f>
        <v>1.3888888888888888E-2</v>
      </c>
      <c r="S671" s="8">
        <f>SUMIF(Cocina[Número de Orden],Sala[[#This Row],[Número de Orden]],Cocina[Ganancia bruta])</f>
        <v>94</v>
      </c>
      <c r="T671" s="8">
        <f>SUMIF(Cocina[Número de Orden],Sala[[#This Row],[Número de Orden]],Cocina[Costo Unitario])</f>
        <v>57</v>
      </c>
      <c r="U671" s="2">
        <f>Sala[[#This Row],[Fecha de Salida]]</f>
        <v>45023</v>
      </c>
      <c r="V671" s="7" t="str">
        <f>TEXT(Sala[[#This Row],[Fecha factura]],"dddd")</f>
        <v>viernes</v>
      </c>
      <c r="W671" t="str">
        <f>IF(Sala[[#This Row],[Tiempo de degustación]]&gt;0,"Sí","No")</f>
        <v>Sí</v>
      </c>
      <c r="X671" t="str">
        <f>IF(Sala[[#This Row],[Cobrada]]="Sí",Sala[[#This Row],[Método de Pago]],"Impago")</f>
        <v>Efectivo</v>
      </c>
      <c r="Y671">
        <f>IF(Sala[[#This Row],[Cobrada]]="Sí",Sala[[#This Row],[Propina]],0)</f>
        <v>37.93</v>
      </c>
      <c r="Z671">
        <f>(IF(Sala[[#This Row],[Cobrada]]="Sí",Sala[[#This Row],[Monto total]],0))+Sala[[#This Row],[Propina real]]</f>
        <v>131.93</v>
      </c>
    </row>
    <row r="672" spans="1:26" x14ac:dyDescent="0.25">
      <c r="A672">
        <v>17</v>
      </c>
      <c r="B672" t="s">
        <v>248</v>
      </c>
      <c r="C672">
        <v>3</v>
      </c>
      <c r="D672" s="2">
        <v>45023</v>
      </c>
      <c r="E672" s="3">
        <v>9.583333333333334E-2</v>
      </c>
      <c r="F672" s="2">
        <v>45023</v>
      </c>
      <c r="G672" s="3">
        <v>0.14583333333333334</v>
      </c>
      <c r="H672" s="1" t="s">
        <v>7</v>
      </c>
      <c r="I672" t="s">
        <v>8</v>
      </c>
      <c r="J672" t="s">
        <v>13</v>
      </c>
      <c r="K672" s="9">
        <v>32.200000000000003</v>
      </c>
      <c r="L672" t="s">
        <v>9</v>
      </c>
      <c r="M672">
        <v>671</v>
      </c>
      <c r="N672" t="s">
        <v>32</v>
      </c>
      <c r="O672" s="3">
        <f>(Sala[[#This Row],[Hora de Salida]]-Sala[[#This Row],[Hora de llegada]])+IF(Sala[[#This Row],[Estado de la Mesa]]="Ocupada",(TEXT((15/(60*24)),"h:mm")),(TEXT(0,"h:mm")))</f>
        <v>0.05</v>
      </c>
      <c r="P672" s="43">
        <f>(SUMIF(Cocina[Número de Orden],Sala[[#This Row],[Número de Orden]],Cocina[Tiempo de Preparación]))</f>
        <v>95</v>
      </c>
      <c r="Q672" s="5" t="str">
        <f>TEXT(((SUMIF(Cocina[Número de Orden],Sala[[#This Row],[Número de Orden]],Cocina[Tiempo de Preparación]))/(60*24)),"h:mm")</f>
        <v>1:35</v>
      </c>
      <c r="R672" s="3">
        <f>MAX((Sala[[#This Row],[Tiempo de permanencia]]-Sala[[#This Row],[Tiempo de preparación (h)]]),0)</f>
        <v>0</v>
      </c>
      <c r="S672" s="8">
        <f>SUMIF(Cocina[Número de Orden],Sala[[#This Row],[Número de Orden]],Cocina[Ganancia bruta])</f>
        <v>184</v>
      </c>
      <c r="T672" s="8">
        <f>SUMIF(Cocina[Número de Orden],Sala[[#This Row],[Número de Orden]],Cocina[Costo Unitario])</f>
        <v>55</v>
      </c>
      <c r="U672" s="2">
        <f>Sala[[#This Row],[Fecha de Salida]]</f>
        <v>45023</v>
      </c>
      <c r="V672" s="7" t="str">
        <f>TEXT(Sala[[#This Row],[Fecha factura]],"dddd")</f>
        <v>viernes</v>
      </c>
      <c r="W672" t="str">
        <f>IF(Sala[[#This Row],[Tiempo de degustación]]&gt;0,"Sí","No")</f>
        <v>No</v>
      </c>
      <c r="X672" t="str">
        <f>IF(Sala[[#This Row],[Cobrada]]="Sí",Sala[[#This Row],[Método de Pago]],"Impago")</f>
        <v>Impago</v>
      </c>
      <c r="Y672">
        <f>IF(Sala[[#This Row],[Cobrada]]="Sí",Sala[[#This Row],[Propina]],0)</f>
        <v>0</v>
      </c>
      <c r="Z672">
        <f>(IF(Sala[[#This Row],[Cobrada]]="Sí",Sala[[#This Row],[Monto total]],0))+Sala[[#This Row],[Propina real]]</f>
        <v>0</v>
      </c>
    </row>
    <row r="673" spans="1:26" x14ac:dyDescent="0.25">
      <c r="A673">
        <v>12</v>
      </c>
      <c r="B673" t="s">
        <v>138</v>
      </c>
      <c r="C673">
        <v>6</v>
      </c>
      <c r="D673" s="2">
        <v>45023</v>
      </c>
      <c r="E673" s="3">
        <v>5.8333333333333334E-2</v>
      </c>
      <c r="F673" s="2">
        <v>45023</v>
      </c>
      <c r="G673" s="3">
        <v>0.16041666666666668</v>
      </c>
      <c r="H673" s="1" t="s">
        <v>23</v>
      </c>
      <c r="I673" t="s">
        <v>25</v>
      </c>
      <c r="J673" t="s">
        <v>601</v>
      </c>
      <c r="K673" s="9">
        <v>29.19</v>
      </c>
      <c r="L673" t="s">
        <v>9</v>
      </c>
      <c r="M673">
        <v>672</v>
      </c>
      <c r="N673" t="s">
        <v>47</v>
      </c>
      <c r="O673" s="3">
        <f>(Sala[[#This Row],[Hora de Salida]]-Sala[[#This Row],[Hora de llegada]])+IF(Sala[[#This Row],[Estado de la Mesa]]="Ocupada",(TEXT((15/(60*24)),"h:mm")),(TEXT(0,"h:mm")))</f>
        <v>0.10208333333333335</v>
      </c>
      <c r="P673" s="43">
        <f>(SUMIF(Cocina[Número de Orden],Sala[[#This Row],[Número de Orden]],Cocina[Tiempo de Preparación]))</f>
        <v>78</v>
      </c>
      <c r="Q673" s="5" t="str">
        <f>TEXT(((SUMIF(Cocina[Número de Orden],Sala[[#This Row],[Número de Orden]],Cocina[Tiempo de Preparación]))/(60*24)),"h:mm")</f>
        <v>1:18</v>
      </c>
      <c r="R673" s="3">
        <f>MAX((Sala[[#This Row],[Tiempo de permanencia]]-Sala[[#This Row],[Tiempo de preparación (h)]]),0)</f>
        <v>4.7916666666666677E-2</v>
      </c>
      <c r="S673" s="8">
        <f>SUMIF(Cocina[Número de Orden],Sala[[#This Row],[Número de Orden]],Cocina[Ganancia bruta])</f>
        <v>157</v>
      </c>
      <c r="T673" s="8">
        <f>SUMIF(Cocina[Número de Orden],Sala[[#This Row],[Número de Orden]],Cocina[Costo Unitario])</f>
        <v>43</v>
      </c>
      <c r="U673" s="2">
        <f>Sala[[#This Row],[Fecha de Salida]]</f>
        <v>45023</v>
      </c>
      <c r="V673" s="7" t="str">
        <f>TEXT(Sala[[#This Row],[Fecha factura]],"dddd")</f>
        <v>viernes</v>
      </c>
      <c r="W673" t="str">
        <f>IF(Sala[[#This Row],[Tiempo de degustación]]&gt;0,"Sí","No")</f>
        <v>Sí</v>
      </c>
      <c r="X673" t="str">
        <f>IF(Sala[[#This Row],[Cobrada]]="Sí",Sala[[#This Row],[Método de Pago]],"Impago")</f>
        <v>Tarjeta de crédito</v>
      </c>
      <c r="Y673">
        <f>IF(Sala[[#This Row],[Cobrada]]="Sí",Sala[[#This Row],[Propina]],0)</f>
        <v>29.19</v>
      </c>
      <c r="Z673">
        <f>(IF(Sala[[#This Row],[Cobrada]]="Sí",Sala[[#This Row],[Monto total]],0))+Sala[[#This Row],[Propina real]]</f>
        <v>186.19</v>
      </c>
    </row>
    <row r="674" spans="1:26" x14ac:dyDescent="0.25">
      <c r="A674">
        <v>20</v>
      </c>
      <c r="B674" t="s">
        <v>204</v>
      </c>
      <c r="C674">
        <v>6</v>
      </c>
      <c r="D674" s="2">
        <v>45023</v>
      </c>
      <c r="E674" s="3">
        <v>2.5694444444444443E-2</v>
      </c>
      <c r="F674" s="2">
        <v>45023</v>
      </c>
      <c r="G674" s="3">
        <v>0.11944444444444445</v>
      </c>
      <c r="H674" s="1" t="s">
        <v>20</v>
      </c>
      <c r="I674" t="s">
        <v>8</v>
      </c>
      <c r="J674" t="s">
        <v>601</v>
      </c>
      <c r="K674" s="9">
        <v>36.5</v>
      </c>
      <c r="L674" t="s">
        <v>9</v>
      </c>
      <c r="M674">
        <v>673</v>
      </c>
      <c r="N674" t="s">
        <v>29</v>
      </c>
      <c r="O674" s="3">
        <f>(Sala[[#This Row],[Hora de Salida]]-Sala[[#This Row],[Hora de llegada]])+IF(Sala[[#This Row],[Estado de la Mesa]]="Ocupada",(TEXT((15/(60*24)),"h:mm")),(TEXT(0,"h:mm")))</f>
        <v>9.375E-2</v>
      </c>
      <c r="P674" s="43">
        <f>(SUMIF(Cocina[Número de Orden],Sala[[#This Row],[Número de Orden]],Cocina[Tiempo de Preparación]))</f>
        <v>93</v>
      </c>
      <c r="Q674" s="5" t="str">
        <f>TEXT(((SUMIF(Cocina[Número de Orden],Sala[[#This Row],[Número de Orden]],Cocina[Tiempo de Preparación]))/(60*24)),"h:mm")</f>
        <v>1:33</v>
      </c>
      <c r="R674" s="3">
        <f>MAX((Sala[[#This Row],[Tiempo de permanencia]]-Sala[[#This Row],[Tiempo de preparación (h)]]),0)</f>
        <v>2.916666666666666E-2</v>
      </c>
      <c r="S674" s="8">
        <f>SUMIF(Cocina[Número de Orden],Sala[[#This Row],[Número de Orden]],Cocina[Ganancia bruta])</f>
        <v>265</v>
      </c>
      <c r="T674" s="8">
        <f>SUMIF(Cocina[Número de Orden],Sala[[#This Row],[Número de Orden]],Cocina[Costo Unitario])</f>
        <v>79</v>
      </c>
      <c r="U674" s="2">
        <f>Sala[[#This Row],[Fecha de Salida]]</f>
        <v>45023</v>
      </c>
      <c r="V674" s="7" t="str">
        <f>TEXT(Sala[[#This Row],[Fecha factura]],"dddd")</f>
        <v>viernes</v>
      </c>
      <c r="W674" t="str">
        <f>IF(Sala[[#This Row],[Tiempo de degustación]]&gt;0,"Sí","No")</f>
        <v>Sí</v>
      </c>
      <c r="X674" t="str">
        <f>IF(Sala[[#This Row],[Cobrada]]="Sí",Sala[[#This Row],[Método de Pago]],"Impago")</f>
        <v>Tarjeta de crédito</v>
      </c>
      <c r="Y674">
        <f>IF(Sala[[#This Row],[Cobrada]]="Sí",Sala[[#This Row],[Propina]],0)</f>
        <v>36.5</v>
      </c>
      <c r="Z674">
        <f>(IF(Sala[[#This Row],[Cobrada]]="Sí",Sala[[#This Row],[Monto total]],0))+Sala[[#This Row],[Propina real]]</f>
        <v>301.5</v>
      </c>
    </row>
    <row r="675" spans="1:26" x14ac:dyDescent="0.25">
      <c r="A675">
        <v>1</v>
      </c>
      <c r="B675" t="s">
        <v>553</v>
      </c>
      <c r="C675">
        <v>3</v>
      </c>
      <c r="D675" s="2">
        <v>45023</v>
      </c>
      <c r="E675" s="3">
        <v>2.0833333333333333E-3</v>
      </c>
      <c r="F675" s="2">
        <v>45023</v>
      </c>
      <c r="G675" s="3">
        <v>6.25E-2</v>
      </c>
      <c r="H675" s="1" t="s">
        <v>20</v>
      </c>
      <c r="I675" t="s">
        <v>25</v>
      </c>
      <c r="J675" t="s">
        <v>601</v>
      </c>
      <c r="K675" s="9">
        <v>41.29</v>
      </c>
      <c r="L675" t="s">
        <v>17</v>
      </c>
      <c r="M675">
        <v>674</v>
      </c>
      <c r="N675" t="s">
        <v>21</v>
      </c>
      <c r="O675" s="3">
        <f>(Sala[[#This Row],[Hora de Salida]]-Sala[[#This Row],[Hora de llegada]])+IF(Sala[[#This Row],[Estado de la Mesa]]="Ocupada",(TEXT((15/(60*24)),"h:mm")),(TEXT(0,"h:mm")))</f>
        <v>6.0416666666666667E-2</v>
      </c>
      <c r="P675" s="43">
        <f>(SUMIF(Cocina[Número de Orden],Sala[[#This Row],[Número de Orden]],Cocina[Tiempo de Preparación]))</f>
        <v>65</v>
      </c>
      <c r="Q675" s="5" t="str">
        <f>TEXT(((SUMIF(Cocina[Número de Orden],Sala[[#This Row],[Número de Orden]],Cocina[Tiempo de Preparación]))/(60*24)),"h:mm")</f>
        <v>1:05</v>
      </c>
      <c r="R675" s="3">
        <f>MAX((Sala[[#This Row],[Tiempo de permanencia]]-Sala[[#This Row],[Tiempo de preparación (h)]]),0)</f>
        <v>1.5277777777777779E-2</v>
      </c>
      <c r="S675" s="8">
        <f>SUMIF(Cocina[Número de Orden],Sala[[#This Row],[Número de Orden]],Cocina[Ganancia bruta])</f>
        <v>207</v>
      </c>
      <c r="T675" s="8">
        <f>SUMIF(Cocina[Número de Orden],Sala[[#This Row],[Número de Orden]],Cocina[Costo Unitario])</f>
        <v>53</v>
      </c>
      <c r="U675" s="2">
        <f>Sala[[#This Row],[Fecha de Salida]]</f>
        <v>45023</v>
      </c>
      <c r="V675" s="7" t="str">
        <f>TEXT(Sala[[#This Row],[Fecha factura]],"dddd")</f>
        <v>viernes</v>
      </c>
      <c r="W675" t="str">
        <f>IF(Sala[[#This Row],[Tiempo de degustación]]&gt;0,"Sí","No")</f>
        <v>Sí</v>
      </c>
      <c r="X675" t="str">
        <f>IF(Sala[[#This Row],[Cobrada]]="Sí",Sala[[#This Row],[Método de Pago]],"Impago")</f>
        <v>Tarjeta de crédito</v>
      </c>
      <c r="Y675">
        <f>IF(Sala[[#This Row],[Cobrada]]="Sí",Sala[[#This Row],[Propina]],0)</f>
        <v>41.29</v>
      </c>
      <c r="Z675">
        <f>(IF(Sala[[#This Row],[Cobrada]]="Sí",Sala[[#This Row],[Monto total]],0))+Sala[[#This Row],[Propina real]]</f>
        <v>248.29</v>
      </c>
    </row>
    <row r="676" spans="1:26" x14ac:dyDescent="0.25">
      <c r="A676">
        <v>5</v>
      </c>
      <c r="B676" t="s">
        <v>554</v>
      </c>
      <c r="C676">
        <v>2</v>
      </c>
      <c r="D676" s="2">
        <v>45023</v>
      </c>
      <c r="E676" s="3">
        <v>3.7499999999999999E-2</v>
      </c>
      <c r="F676" s="2">
        <v>45023</v>
      </c>
      <c r="G676" s="3">
        <v>0.18958333333333333</v>
      </c>
      <c r="H676" s="1" t="s">
        <v>16</v>
      </c>
      <c r="I676" t="s">
        <v>25</v>
      </c>
      <c r="J676" t="s">
        <v>13</v>
      </c>
      <c r="K676" s="9">
        <v>30.74</v>
      </c>
      <c r="L676" t="s">
        <v>9</v>
      </c>
      <c r="M676">
        <v>675</v>
      </c>
      <c r="N676" t="s">
        <v>44</v>
      </c>
      <c r="O676" s="3">
        <f>(Sala[[#This Row],[Hora de Salida]]-Sala[[#This Row],[Hora de llegada]])+IF(Sala[[#This Row],[Estado de la Mesa]]="Ocupada",(TEXT((15/(60*24)),"h:mm")),(TEXT(0,"h:mm")))</f>
        <v>0.15208333333333332</v>
      </c>
      <c r="P676" s="43">
        <f>(SUMIF(Cocina[Número de Orden],Sala[[#This Row],[Número de Orden]],Cocina[Tiempo de Preparación]))</f>
        <v>121</v>
      </c>
      <c r="Q676" s="5" t="str">
        <f>TEXT(((SUMIF(Cocina[Número de Orden],Sala[[#This Row],[Número de Orden]],Cocina[Tiempo de Preparación]))/(60*24)),"h:mm")</f>
        <v>2:01</v>
      </c>
      <c r="R676" s="3">
        <f>MAX((Sala[[#This Row],[Tiempo de permanencia]]-Sala[[#This Row],[Tiempo de preparación (h)]]),0)</f>
        <v>6.8055555555555536E-2</v>
      </c>
      <c r="S676" s="8">
        <f>SUMIF(Cocina[Número de Orden],Sala[[#This Row],[Número de Orden]],Cocina[Ganancia bruta])</f>
        <v>193</v>
      </c>
      <c r="T676" s="8">
        <f>SUMIF(Cocina[Número de Orden],Sala[[#This Row],[Número de Orden]],Cocina[Costo Unitario])</f>
        <v>49</v>
      </c>
      <c r="U676" s="2">
        <f>Sala[[#This Row],[Fecha de Salida]]</f>
        <v>45023</v>
      </c>
      <c r="V676" s="7" t="str">
        <f>TEXT(Sala[[#This Row],[Fecha factura]],"dddd")</f>
        <v>viernes</v>
      </c>
      <c r="W676" t="str">
        <f>IF(Sala[[#This Row],[Tiempo de degustación]]&gt;0,"Sí","No")</f>
        <v>Sí</v>
      </c>
      <c r="X676" t="str">
        <f>IF(Sala[[#This Row],[Cobrada]]="Sí",Sala[[#This Row],[Método de Pago]],"Impago")</f>
        <v>Efectivo</v>
      </c>
      <c r="Y676">
        <f>IF(Sala[[#This Row],[Cobrada]]="Sí",Sala[[#This Row],[Propina]],0)</f>
        <v>30.74</v>
      </c>
      <c r="Z676">
        <f>(IF(Sala[[#This Row],[Cobrada]]="Sí",Sala[[#This Row],[Monto total]],0))+Sala[[#This Row],[Propina real]]</f>
        <v>223.74</v>
      </c>
    </row>
    <row r="677" spans="1:26" x14ac:dyDescent="0.25">
      <c r="A677">
        <v>7</v>
      </c>
      <c r="B677" t="s">
        <v>259</v>
      </c>
      <c r="C677">
        <v>6</v>
      </c>
      <c r="D677" s="2">
        <v>45023</v>
      </c>
      <c r="E677" s="3">
        <v>1.9444444444444445E-2</v>
      </c>
      <c r="F677" s="2">
        <v>45023</v>
      </c>
      <c r="G677" s="3">
        <v>0.15625</v>
      </c>
      <c r="H677" s="1" t="s">
        <v>7</v>
      </c>
      <c r="I677" t="s">
        <v>8</v>
      </c>
      <c r="J677" t="s">
        <v>601</v>
      </c>
      <c r="K677" s="9">
        <v>41.6</v>
      </c>
      <c r="L677" t="s">
        <v>28</v>
      </c>
      <c r="M677">
        <v>676</v>
      </c>
      <c r="N677" t="s">
        <v>44</v>
      </c>
      <c r="O677" s="3">
        <f>(Sala[[#This Row],[Hora de Salida]]-Sala[[#This Row],[Hora de llegada]])+IF(Sala[[#This Row],[Estado de la Mesa]]="Ocupada",(TEXT((15/(60*24)),"h:mm")),(TEXT(0,"h:mm")))</f>
        <v>0.14722222222222223</v>
      </c>
      <c r="P677" s="43">
        <f>(SUMIF(Cocina[Número de Orden],Sala[[#This Row],[Número de Orden]],Cocina[Tiempo de Preparación]))</f>
        <v>121</v>
      </c>
      <c r="Q677" s="5" t="str">
        <f>TEXT(((SUMIF(Cocina[Número de Orden],Sala[[#This Row],[Número de Orden]],Cocina[Tiempo de Preparación]))/(60*24)),"h:mm")</f>
        <v>2:01</v>
      </c>
      <c r="R677" s="3">
        <f>MAX((Sala[[#This Row],[Tiempo de permanencia]]-Sala[[#This Row],[Tiempo de preparación (h)]]),0)</f>
        <v>6.3194444444444442E-2</v>
      </c>
      <c r="S677" s="8">
        <f>SUMIF(Cocina[Número de Orden],Sala[[#This Row],[Número de Orden]],Cocina[Ganancia bruta])</f>
        <v>124</v>
      </c>
      <c r="T677" s="8">
        <f>SUMIF(Cocina[Número de Orden],Sala[[#This Row],[Número de Orden]],Cocina[Costo Unitario])</f>
        <v>62</v>
      </c>
      <c r="U677" s="2">
        <f>Sala[[#This Row],[Fecha de Salida]]</f>
        <v>45023</v>
      </c>
      <c r="V677" s="7" t="str">
        <f>TEXT(Sala[[#This Row],[Fecha factura]],"dddd")</f>
        <v>viernes</v>
      </c>
      <c r="W677" t="str">
        <f>IF(Sala[[#This Row],[Tiempo de degustación]]&gt;0,"Sí","No")</f>
        <v>Sí</v>
      </c>
      <c r="X677" t="str">
        <f>IF(Sala[[#This Row],[Cobrada]]="Sí",Sala[[#This Row],[Método de Pago]],"Impago")</f>
        <v>Tarjeta de crédito</v>
      </c>
      <c r="Y677">
        <f>IF(Sala[[#This Row],[Cobrada]]="Sí",Sala[[#This Row],[Propina]],0)</f>
        <v>41.6</v>
      </c>
      <c r="Z677">
        <f>(IF(Sala[[#This Row],[Cobrada]]="Sí",Sala[[#This Row],[Monto total]],0))+Sala[[#This Row],[Propina real]]</f>
        <v>165.6</v>
      </c>
    </row>
    <row r="678" spans="1:26" x14ac:dyDescent="0.25">
      <c r="A678">
        <v>14</v>
      </c>
      <c r="B678" t="s">
        <v>235</v>
      </c>
      <c r="C678">
        <v>6</v>
      </c>
      <c r="D678" s="2">
        <v>45023</v>
      </c>
      <c r="E678" s="3">
        <v>2.361111111111111E-2</v>
      </c>
      <c r="F678" s="2">
        <v>45023</v>
      </c>
      <c r="G678" s="3">
        <v>0.10902777777777778</v>
      </c>
      <c r="H678" s="1" t="s">
        <v>16</v>
      </c>
      <c r="I678" t="s">
        <v>8</v>
      </c>
      <c r="J678" t="s">
        <v>601</v>
      </c>
      <c r="K678" s="9">
        <v>12.57</v>
      </c>
      <c r="L678" t="s">
        <v>28</v>
      </c>
      <c r="M678">
        <v>677</v>
      </c>
      <c r="N678" t="s">
        <v>32</v>
      </c>
      <c r="O678" s="3">
        <f>(Sala[[#This Row],[Hora de Salida]]-Sala[[#This Row],[Hora de llegada]])+IF(Sala[[#This Row],[Estado de la Mesa]]="Ocupada",(TEXT((15/(60*24)),"h:mm")),(TEXT(0,"h:mm")))</f>
        <v>9.583333333333334E-2</v>
      </c>
      <c r="P678" s="43">
        <f>(SUMIF(Cocina[Número de Orden],Sala[[#This Row],[Número de Orden]],Cocina[Tiempo de Preparación]))</f>
        <v>148</v>
      </c>
      <c r="Q678" s="5" t="str">
        <f>TEXT(((SUMIF(Cocina[Número de Orden],Sala[[#This Row],[Número de Orden]],Cocina[Tiempo de Preparación]))/(60*24)),"h:mm")</f>
        <v>2:28</v>
      </c>
      <c r="R678" s="3">
        <f>MAX((Sala[[#This Row],[Tiempo de permanencia]]-Sala[[#This Row],[Tiempo de preparación (h)]]),0)</f>
        <v>0</v>
      </c>
      <c r="S678" s="8">
        <f>SUMIF(Cocina[Número de Orden],Sala[[#This Row],[Número de Orden]],Cocina[Ganancia bruta])</f>
        <v>144</v>
      </c>
      <c r="T678" s="8">
        <f>SUMIF(Cocina[Número de Orden],Sala[[#This Row],[Número de Orden]],Cocina[Costo Unitario])</f>
        <v>53</v>
      </c>
      <c r="U678" s="2">
        <f>Sala[[#This Row],[Fecha de Salida]]</f>
        <v>45023</v>
      </c>
      <c r="V678" s="7" t="str">
        <f>TEXT(Sala[[#This Row],[Fecha factura]],"dddd")</f>
        <v>viernes</v>
      </c>
      <c r="W678" t="str">
        <f>IF(Sala[[#This Row],[Tiempo de degustación]]&gt;0,"Sí","No")</f>
        <v>No</v>
      </c>
      <c r="X678" t="str">
        <f>IF(Sala[[#This Row],[Cobrada]]="Sí",Sala[[#This Row],[Método de Pago]],"Impago")</f>
        <v>Impago</v>
      </c>
      <c r="Y678">
        <f>IF(Sala[[#This Row],[Cobrada]]="Sí",Sala[[#This Row],[Propina]],0)</f>
        <v>0</v>
      </c>
      <c r="Z678">
        <f>(IF(Sala[[#This Row],[Cobrada]]="Sí",Sala[[#This Row],[Monto total]],0))+Sala[[#This Row],[Propina real]]</f>
        <v>0</v>
      </c>
    </row>
    <row r="679" spans="1:26" x14ac:dyDescent="0.25">
      <c r="A679">
        <v>19</v>
      </c>
      <c r="B679" t="s">
        <v>545</v>
      </c>
      <c r="C679">
        <v>1</v>
      </c>
      <c r="D679" s="2">
        <v>45023</v>
      </c>
      <c r="E679" s="3">
        <v>0.12569444444444444</v>
      </c>
      <c r="F679" s="2">
        <v>45023</v>
      </c>
      <c r="G679" s="3">
        <v>0.22361111111111112</v>
      </c>
      <c r="H679" s="1" t="s">
        <v>7</v>
      </c>
      <c r="I679" t="s">
        <v>8</v>
      </c>
      <c r="J679" t="s">
        <v>601</v>
      </c>
      <c r="K679" s="9">
        <v>26.76</v>
      </c>
      <c r="L679" t="s">
        <v>28</v>
      </c>
      <c r="M679">
        <v>678</v>
      </c>
      <c r="N679" t="s">
        <v>47</v>
      </c>
      <c r="O679" s="3">
        <f>(Sala[[#This Row],[Hora de Salida]]-Sala[[#This Row],[Hora de llegada]])+IF(Sala[[#This Row],[Estado de la Mesa]]="Ocupada",(TEXT((15/(60*24)),"h:mm")),(TEXT(0,"h:mm")))</f>
        <v>0.10833333333333335</v>
      </c>
      <c r="P679" s="43">
        <f>(SUMIF(Cocina[Número de Orden],Sala[[#This Row],[Número de Orden]],Cocina[Tiempo de Preparación]))</f>
        <v>121</v>
      </c>
      <c r="Q679" s="5" t="str">
        <f>TEXT(((SUMIF(Cocina[Número de Orden],Sala[[#This Row],[Número de Orden]],Cocina[Tiempo de Preparación]))/(60*24)),"h:mm")</f>
        <v>2:01</v>
      </c>
      <c r="R679" s="3">
        <f>MAX((Sala[[#This Row],[Tiempo de permanencia]]-Sala[[#This Row],[Tiempo de preparación (h)]]),0)</f>
        <v>2.4305555555555566E-2</v>
      </c>
      <c r="S679" s="8">
        <f>SUMIF(Cocina[Número de Orden],Sala[[#This Row],[Número de Orden]],Cocina[Ganancia bruta])</f>
        <v>204</v>
      </c>
      <c r="T679" s="8">
        <f>SUMIF(Cocina[Número de Orden],Sala[[#This Row],[Número de Orden]],Cocina[Costo Unitario])</f>
        <v>63</v>
      </c>
      <c r="U679" s="2">
        <f>Sala[[#This Row],[Fecha de Salida]]</f>
        <v>45023</v>
      </c>
      <c r="V679" s="7" t="str">
        <f>TEXT(Sala[[#This Row],[Fecha factura]],"dddd")</f>
        <v>viernes</v>
      </c>
      <c r="W679" t="str">
        <f>IF(Sala[[#This Row],[Tiempo de degustación]]&gt;0,"Sí","No")</f>
        <v>Sí</v>
      </c>
      <c r="X679" t="str">
        <f>IF(Sala[[#This Row],[Cobrada]]="Sí",Sala[[#This Row],[Método de Pago]],"Impago")</f>
        <v>Tarjeta de crédito</v>
      </c>
      <c r="Y679">
        <f>IF(Sala[[#This Row],[Cobrada]]="Sí",Sala[[#This Row],[Propina]],0)</f>
        <v>26.76</v>
      </c>
      <c r="Z679">
        <f>(IF(Sala[[#This Row],[Cobrada]]="Sí",Sala[[#This Row],[Monto total]],0))+Sala[[#This Row],[Propina real]]</f>
        <v>230.76</v>
      </c>
    </row>
    <row r="680" spans="1:26" x14ac:dyDescent="0.25">
      <c r="A680">
        <v>9</v>
      </c>
      <c r="B680" t="s">
        <v>167</v>
      </c>
      <c r="C680">
        <v>4</v>
      </c>
      <c r="D680" s="2">
        <v>45023</v>
      </c>
      <c r="E680" s="3">
        <v>1.3888888888888889E-3</v>
      </c>
      <c r="F680" s="2">
        <v>45023</v>
      </c>
      <c r="G680" s="3">
        <v>0.12708333333333333</v>
      </c>
      <c r="H680" s="1" t="s">
        <v>16</v>
      </c>
      <c r="I680" t="s">
        <v>8</v>
      </c>
      <c r="J680" t="s">
        <v>601</v>
      </c>
      <c r="K680" s="9">
        <v>36.43</v>
      </c>
      <c r="L680" t="s">
        <v>28</v>
      </c>
      <c r="M680">
        <v>679</v>
      </c>
      <c r="N680" t="s">
        <v>47</v>
      </c>
      <c r="O680" s="3">
        <f>(Sala[[#This Row],[Hora de Salida]]-Sala[[#This Row],[Hora de llegada]])+IF(Sala[[#This Row],[Estado de la Mesa]]="Ocupada",(TEXT((15/(60*24)),"h:mm")),(TEXT(0,"h:mm")))</f>
        <v>0.1361111111111111</v>
      </c>
      <c r="P680" s="43">
        <f>(SUMIF(Cocina[Número de Orden],Sala[[#This Row],[Número de Orden]],Cocina[Tiempo de Preparación]))</f>
        <v>106</v>
      </c>
      <c r="Q680" s="5" t="str">
        <f>TEXT(((SUMIF(Cocina[Número de Orden],Sala[[#This Row],[Número de Orden]],Cocina[Tiempo de Preparación]))/(60*24)),"h:mm")</f>
        <v>1:46</v>
      </c>
      <c r="R680" s="3">
        <f>MAX((Sala[[#This Row],[Tiempo de permanencia]]-Sala[[#This Row],[Tiempo de preparación (h)]]),0)</f>
        <v>6.2499999999999986E-2</v>
      </c>
      <c r="S680" s="8">
        <f>SUMIF(Cocina[Número de Orden],Sala[[#This Row],[Número de Orden]],Cocina[Ganancia bruta])</f>
        <v>199</v>
      </c>
      <c r="T680" s="8">
        <f>SUMIF(Cocina[Número de Orden],Sala[[#This Row],[Número de Orden]],Cocina[Costo Unitario])</f>
        <v>59</v>
      </c>
      <c r="U680" s="2">
        <f>Sala[[#This Row],[Fecha de Salida]]</f>
        <v>45023</v>
      </c>
      <c r="V680" s="7" t="str">
        <f>TEXT(Sala[[#This Row],[Fecha factura]],"dddd")</f>
        <v>viernes</v>
      </c>
      <c r="W680" t="str">
        <f>IF(Sala[[#This Row],[Tiempo de degustación]]&gt;0,"Sí","No")</f>
        <v>Sí</v>
      </c>
      <c r="X680" t="str">
        <f>IF(Sala[[#This Row],[Cobrada]]="Sí",Sala[[#This Row],[Método de Pago]],"Impago")</f>
        <v>Tarjeta de crédito</v>
      </c>
      <c r="Y680">
        <f>IF(Sala[[#This Row],[Cobrada]]="Sí",Sala[[#This Row],[Propina]],0)</f>
        <v>36.43</v>
      </c>
      <c r="Z680">
        <f>(IF(Sala[[#This Row],[Cobrada]]="Sí",Sala[[#This Row],[Monto total]],0))+Sala[[#This Row],[Propina real]]</f>
        <v>235.43</v>
      </c>
    </row>
    <row r="681" spans="1:26" x14ac:dyDescent="0.25">
      <c r="A681">
        <v>5</v>
      </c>
      <c r="B681" t="s">
        <v>555</v>
      </c>
      <c r="C681">
        <v>4</v>
      </c>
      <c r="D681" s="2">
        <v>45023</v>
      </c>
      <c r="E681" s="3">
        <v>5.7638888888888892E-2</v>
      </c>
      <c r="F681" s="2">
        <v>45023</v>
      </c>
      <c r="G681" s="3">
        <v>0.22222222222222221</v>
      </c>
      <c r="H681" s="1" t="s">
        <v>7</v>
      </c>
      <c r="I681" t="s">
        <v>8</v>
      </c>
      <c r="J681" t="s">
        <v>13</v>
      </c>
      <c r="K681" s="9">
        <v>12.06</v>
      </c>
      <c r="L681" t="s">
        <v>9</v>
      </c>
      <c r="M681">
        <v>680</v>
      </c>
      <c r="N681" t="s">
        <v>21</v>
      </c>
      <c r="O681" s="3">
        <f>(Sala[[#This Row],[Hora de Salida]]-Sala[[#This Row],[Hora de llegada]])+IF(Sala[[#This Row],[Estado de la Mesa]]="Ocupada",(TEXT((15/(60*24)),"h:mm")),(TEXT(0,"h:mm")))</f>
        <v>0.1645833333333333</v>
      </c>
      <c r="P681" s="43">
        <f>(SUMIF(Cocina[Número de Orden],Sala[[#This Row],[Número de Orden]],Cocina[Tiempo de Preparación]))</f>
        <v>111</v>
      </c>
      <c r="Q681" s="5" t="str">
        <f>TEXT(((SUMIF(Cocina[Número de Orden],Sala[[#This Row],[Número de Orden]],Cocina[Tiempo de Preparación]))/(60*24)),"h:mm")</f>
        <v>1:51</v>
      </c>
      <c r="R681" s="3">
        <f>MAX((Sala[[#This Row],[Tiempo de permanencia]]-Sala[[#This Row],[Tiempo de preparación (h)]]),0)</f>
        <v>8.7499999999999967E-2</v>
      </c>
      <c r="S681" s="8">
        <f>SUMIF(Cocina[Número de Orden],Sala[[#This Row],[Número de Orden]],Cocina[Ganancia bruta])</f>
        <v>162</v>
      </c>
      <c r="T681" s="8">
        <f>SUMIF(Cocina[Número de Orden],Sala[[#This Row],[Número de Orden]],Cocina[Costo Unitario])</f>
        <v>42</v>
      </c>
      <c r="U681" s="2">
        <f>Sala[[#This Row],[Fecha de Salida]]</f>
        <v>45023</v>
      </c>
      <c r="V681" s="7" t="str">
        <f>TEXT(Sala[[#This Row],[Fecha factura]],"dddd")</f>
        <v>viernes</v>
      </c>
      <c r="W681" t="str">
        <f>IF(Sala[[#This Row],[Tiempo de degustación]]&gt;0,"Sí","No")</f>
        <v>Sí</v>
      </c>
      <c r="X681" t="str">
        <f>IF(Sala[[#This Row],[Cobrada]]="Sí",Sala[[#This Row],[Método de Pago]],"Impago")</f>
        <v>Efectivo</v>
      </c>
      <c r="Y681">
        <f>IF(Sala[[#This Row],[Cobrada]]="Sí",Sala[[#This Row],[Propina]],0)</f>
        <v>12.06</v>
      </c>
      <c r="Z681">
        <f>(IF(Sala[[#This Row],[Cobrada]]="Sí",Sala[[#This Row],[Monto total]],0))+Sala[[#This Row],[Propina real]]</f>
        <v>174.06</v>
      </c>
    </row>
    <row r="682" spans="1:26" x14ac:dyDescent="0.25">
      <c r="A682">
        <v>2</v>
      </c>
      <c r="B682" t="s">
        <v>131</v>
      </c>
      <c r="C682">
        <v>4</v>
      </c>
      <c r="D682" s="2">
        <v>45023</v>
      </c>
      <c r="E682" s="3">
        <v>0.12222222222222222</v>
      </c>
      <c r="F682" s="2">
        <v>45023</v>
      </c>
      <c r="G682" s="3">
        <v>0.28472222222222221</v>
      </c>
      <c r="H682" s="1" t="s">
        <v>23</v>
      </c>
      <c r="I682" t="s">
        <v>8</v>
      </c>
      <c r="J682" t="s">
        <v>600</v>
      </c>
      <c r="K682" s="9">
        <v>37.07</v>
      </c>
      <c r="L682" t="s">
        <v>17</v>
      </c>
      <c r="M682">
        <v>681</v>
      </c>
      <c r="N682" t="s">
        <v>21</v>
      </c>
      <c r="O682" s="3">
        <f>(Sala[[#This Row],[Hora de Salida]]-Sala[[#This Row],[Hora de llegada]])+IF(Sala[[#This Row],[Estado de la Mesa]]="Ocupada",(TEXT((15/(60*24)),"h:mm")),(TEXT(0,"h:mm")))</f>
        <v>0.16249999999999998</v>
      </c>
      <c r="P682" s="43">
        <f>(SUMIF(Cocina[Número de Orden],Sala[[#This Row],[Número de Orden]],Cocina[Tiempo de Preparación]))</f>
        <v>65</v>
      </c>
      <c r="Q682" s="5" t="str">
        <f>TEXT(((SUMIF(Cocina[Número de Orden],Sala[[#This Row],[Número de Orden]],Cocina[Tiempo de Preparación]))/(60*24)),"h:mm")</f>
        <v>1:05</v>
      </c>
      <c r="R682" s="3">
        <f>MAX((Sala[[#This Row],[Tiempo de permanencia]]-Sala[[#This Row],[Tiempo de preparación (h)]]),0)</f>
        <v>0.11736111111111108</v>
      </c>
      <c r="S682" s="8">
        <f>SUMIF(Cocina[Número de Orden],Sala[[#This Row],[Número de Orden]],Cocina[Ganancia bruta])</f>
        <v>75</v>
      </c>
      <c r="T682" s="8">
        <f>SUMIF(Cocina[Número de Orden],Sala[[#This Row],[Número de Orden]],Cocina[Costo Unitario])</f>
        <v>33</v>
      </c>
      <c r="U682" s="2">
        <f>Sala[[#This Row],[Fecha de Salida]]</f>
        <v>45023</v>
      </c>
      <c r="V682" s="7" t="str">
        <f>TEXT(Sala[[#This Row],[Fecha factura]],"dddd")</f>
        <v>viernes</v>
      </c>
      <c r="W682" t="str">
        <f>IF(Sala[[#This Row],[Tiempo de degustación]]&gt;0,"Sí","No")</f>
        <v>Sí</v>
      </c>
      <c r="X682" t="str">
        <f>IF(Sala[[#This Row],[Cobrada]]="Sí",Sala[[#This Row],[Método de Pago]],"Impago")</f>
        <v>Tarjeta de débito</v>
      </c>
      <c r="Y682">
        <f>IF(Sala[[#This Row],[Cobrada]]="Sí",Sala[[#This Row],[Propina]],0)</f>
        <v>37.07</v>
      </c>
      <c r="Z682">
        <f>(IF(Sala[[#This Row],[Cobrada]]="Sí",Sala[[#This Row],[Monto total]],0))+Sala[[#This Row],[Propina real]]</f>
        <v>112.07</v>
      </c>
    </row>
    <row r="683" spans="1:26" x14ac:dyDescent="0.25">
      <c r="A683">
        <v>1</v>
      </c>
      <c r="B683" t="s">
        <v>124</v>
      </c>
      <c r="C683">
        <v>5</v>
      </c>
      <c r="D683" s="2">
        <v>45023</v>
      </c>
      <c r="E683" s="3">
        <v>5.9722222222222225E-2</v>
      </c>
      <c r="F683" s="2">
        <v>45023</v>
      </c>
      <c r="G683" s="3">
        <v>0.1701388888888889</v>
      </c>
      <c r="H683" s="1" t="s">
        <v>20</v>
      </c>
      <c r="I683" t="s">
        <v>12</v>
      </c>
      <c r="J683" t="s">
        <v>601</v>
      </c>
      <c r="K683" s="9">
        <v>21.04</v>
      </c>
      <c r="L683" t="s">
        <v>28</v>
      </c>
      <c r="M683">
        <v>682</v>
      </c>
      <c r="N683" t="s">
        <v>29</v>
      </c>
      <c r="O683" s="3">
        <f>(Sala[[#This Row],[Hora de Salida]]-Sala[[#This Row],[Hora de llegada]])+IF(Sala[[#This Row],[Estado de la Mesa]]="Ocupada",(TEXT((15/(60*24)),"h:mm")),(TEXT(0,"h:mm")))</f>
        <v>0.12083333333333333</v>
      </c>
      <c r="P683" s="43">
        <f>(SUMIF(Cocina[Número de Orden],Sala[[#This Row],[Número de Orden]],Cocina[Tiempo de Preparación]))</f>
        <v>43</v>
      </c>
      <c r="Q683" s="5" t="str">
        <f>TEXT(((SUMIF(Cocina[Número de Orden],Sala[[#This Row],[Número de Orden]],Cocina[Tiempo de Preparación]))/(60*24)),"h:mm")</f>
        <v>0:43</v>
      </c>
      <c r="R683" s="3">
        <f>MAX((Sala[[#This Row],[Tiempo de permanencia]]-Sala[[#This Row],[Tiempo de preparación (h)]]),0)</f>
        <v>9.0972222222222218E-2</v>
      </c>
      <c r="S683" s="8">
        <f>SUMIF(Cocina[Número de Orden],Sala[[#This Row],[Número de Orden]],Cocina[Ganancia bruta])</f>
        <v>23</v>
      </c>
      <c r="T683" s="8">
        <f>SUMIF(Cocina[Número de Orden],Sala[[#This Row],[Número de Orden]],Cocina[Costo Unitario])</f>
        <v>14</v>
      </c>
      <c r="U683" s="2">
        <f>Sala[[#This Row],[Fecha de Salida]]</f>
        <v>45023</v>
      </c>
      <c r="V683" s="7" t="str">
        <f>TEXT(Sala[[#This Row],[Fecha factura]],"dddd")</f>
        <v>viernes</v>
      </c>
      <c r="W683" t="str">
        <f>IF(Sala[[#This Row],[Tiempo de degustación]]&gt;0,"Sí","No")</f>
        <v>Sí</v>
      </c>
      <c r="X683" t="str">
        <f>IF(Sala[[#This Row],[Cobrada]]="Sí",Sala[[#This Row],[Método de Pago]],"Impago")</f>
        <v>Tarjeta de crédito</v>
      </c>
      <c r="Y683">
        <f>IF(Sala[[#This Row],[Cobrada]]="Sí",Sala[[#This Row],[Propina]],0)</f>
        <v>21.04</v>
      </c>
      <c r="Z683">
        <f>(IF(Sala[[#This Row],[Cobrada]]="Sí",Sala[[#This Row],[Monto total]],0))+Sala[[#This Row],[Propina real]]</f>
        <v>44.04</v>
      </c>
    </row>
    <row r="684" spans="1:26" x14ac:dyDescent="0.25">
      <c r="A684">
        <v>2</v>
      </c>
      <c r="B684" t="s">
        <v>556</v>
      </c>
      <c r="C684">
        <v>6</v>
      </c>
      <c r="D684" s="2">
        <v>45023</v>
      </c>
      <c r="E684" s="3">
        <v>0.16388888888888889</v>
      </c>
      <c r="F684" s="2">
        <v>45023</v>
      </c>
      <c r="G684" s="3">
        <v>0.26527777777777778</v>
      </c>
      <c r="H684" s="1" t="s">
        <v>20</v>
      </c>
      <c r="I684" t="s">
        <v>8</v>
      </c>
      <c r="J684" t="s">
        <v>601</v>
      </c>
      <c r="K684" s="9">
        <v>40.42</v>
      </c>
      <c r="L684" t="s">
        <v>28</v>
      </c>
      <c r="M684">
        <v>683</v>
      </c>
      <c r="N684" t="s">
        <v>14</v>
      </c>
      <c r="O684" s="3">
        <f>(Sala[[#This Row],[Hora de Salida]]-Sala[[#This Row],[Hora de llegada]])+IF(Sala[[#This Row],[Estado de la Mesa]]="Ocupada",(TEXT((15/(60*24)),"h:mm")),(TEXT(0,"h:mm")))</f>
        <v>0.11180555555555556</v>
      </c>
      <c r="P684" s="43">
        <f>(SUMIF(Cocina[Número de Orden],Sala[[#This Row],[Número de Orden]],Cocina[Tiempo de Preparación]))</f>
        <v>82</v>
      </c>
      <c r="Q684" s="5" t="str">
        <f>TEXT(((SUMIF(Cocina[Número de Orden],Sala[[#This Row],[Número de Orden]],Cocina[Tiempo de Preparación]))/(60*24)),"h:mm")</f>
        <v>1:22</v>
      </c>
      <c r="R684" s="3">
        <f>MAX((Sala[[#This Row],[Tiempo de permanencia]]-Sala[[#This Row],[Tiempo de preparación (h)]]),0)</f>
        <v>5.4861111111111117E-2</v>
      </c>
      <c r="S684" s="8">
        <f>SUMIF(Cocina[Número de Orden],Sala[[#This Row],[Número de Orden]],Cocina[Ganancia bruta])</f>
        <v>164</v>
      </c>
      <c r="T684" s="8">
        <f>SUMIF(Cocina[Número de Orden],Sala[[#This Row],[Número de Orden]],Cocina[Costo Unitario])</f>
        <v>69</v>
      </c>
      <c r="U684" s="2">
        <f>Sala[[#This Row],[Fecha de Salida]]</f>
        <v>45023</v>
      </c>
      <c r="V684" s="7" t="str">
        <f>TEXT(Sala[[#This Row],[Fecha factura]],"dddd")</f>
        <v>viernes</v>
      </c>
      <c r="W684" t="str">
        <f>IF(Sala[[#This Row],[Tiempo de degustación]]&gt;0,"Sí","No")</f>
        <v>Sí</v>
      </c>
      <c r="X684" t="str">
        <f>IF(Sala[[#This Row],[Cobrada]]="Sí",Sala[[#This Row],[Método de Pago]],"Impago")</f>
        <v>Tarjeta de crédito</v>
      </c>
      <c r="Y684">
        <f>IF(Sala[[#This Row],[Cobrada]]="Sí",Sala[[#This Row],[Propina]],0)</f>
        <v>40.42</v>
      </c>
      <c r="Z684">
        <f>(IF(Sala[[#This Row],[Cobrada]]="Sí",Sala[[#This Row],[Monto total]],0))+Sala[[#This Row],[Propina real]]</f>
        <v>204.42000000000002</v>
      </c>
    </row>
    <row r="685" spans="1:26" x14ac:dyDescent="0.25">
      <c r="A685">
        <v>10</v>
      </c>
      <c r="B685" t="s">
        <v>557</v>
      </c>
      <c r="C685">
        <v>6</v>
      </c>
      <c r="D685" s="2">
        <v>45023</v>
      </c>
      <c r="E685" s="3">
        <v>0.1451388888888889</v>
      </c>
      <c r="F685" s="2">
        <v>45023</v>
      </c>
      <c r="G685" s="3">
        <v>0.19444444444444445</v>
      </c>
      <c r="H685" s="1" t="s">
        <v>23</v>
      </c>
      <c r="I685" t="s">
        <v>25</v>
      </c>
      <c r="J685" t="s">
        <v>601</v>
      </c>
      <c r="K685" s="9">
        <v>48.15</v>
      </c>
      <c r="L685" t="s">
        <v>28</v>
      </c>
      <c r="M685">
        <v>684</v>
      </c>
      <c r="N685" t="s">
        <v>47</v>
      </c>
      <c r="O685" s="3">
        <f>(Sala[[#This Row],[Hora de Salida]]-Sala[[#This Row],[Hora de llegada]])+IF(Sala[[#This Row],[Estado de la Mesa]]="Ocupada",(TEXT((15/(60*24)),"h:mm")),(TEXT(0,"h:mm")))</f>
        <v>5.9722222222222211E-2</v>
      </c>
      <c r="P685" s="43">
        <f>(SUMIF(Cocina[Número de Orden],Sala[[#This Row],[Número de Orden]],Cocina[Tiempo de Preparación]))</f>
        <v>110</v>
      </c>
      <c r="Q685" s="5" t="str">
        <f>TEXT(((SUMIF(Cocina[Número de Orden],Sala[[#This Row],[Número de Orden]],Cocina[Tiempo de Preparación]))/(60*24)),"h:mm")</f>
        <v>1:50</v>
      </c>
      <c r="R685" s="3">
        <f>MAX((Sala[[#This Row],[Tiempo de permanencia]]-Sala[[#This Row],[Tiempo de preparación (h)]]),0)</f>
        <v>0</v>
      </c>
      <c r="S685" s="8">
        <f>SUMIF(Cocina[Número de Orden],Sala[[#This Row],[Número de Orden]],Cocina[Ganancia bruta])</f>
        <v>180</v>
      </c>
      <c r="T685" s="8">
        <f>SUMIF(Cocina[Número de Orden],Sala[[#This Row],[Número de Orden]],Cocina[Costo Unitario])</f>
        <v>73</v>
      </c>
      <c r="U685" s="2">
        <f>Sala[[#This Row],[Fecha de Salida]]</f>
        <v>45023</v>
      </c>
      <c r="V685" s="7" t="str">
        <f>TEXT(Sala[[#This Row],[Fecha factura]],"dddd")</f>
        <v>viernes</v>
      </c>
      <c r="W685" t="str">
        <f>IF(Sala[[#This Row],[Tiempo de degustación]]&gt;0,"Sí","No")</f>
        <v>No</v>
      </c>
      <c r="X685" t="str">
        <f>IF(Sala[[#This Row],[Cobrada]]="Sí",Sala[[#This Row],[Método de Pago]],"Impago")</f>
        <v>Impago</v>
      </c>
      <c r="Y685">
        <f>IF(Sala[[#This Row],[Cobrada]]="Sí",Sala[[#This Row],[Propina]],0)</f>
        <v>0</v>
      </c>
      <c r="Z685">
        <f>(IF(Sala[[#This Row],[Cobrada]]="Sí",Sala[[#This Row],[Monto total]],0))+Sala[[#This Row],[Propina real]]</f>
        <v>0</v>
      </c>
    </row>
    <row r="686" spans="1:26" x14ac:dyDescent="0.25">
      <c r="A686">
        <v>5</v>
      </c>
      <c r="B686" t="s">
        <v>204</v>
      </c>
      <c r="C686">
        <v>5</v>
      </c>
      <c r="D686" s="2">
        <v>45023</v>
      </c>
      <c r="E686" s="3">
        <v>1.9444444444444445E-2</v>
      </c>
      <c r="F686" s="2">
        <v>45023</v>
      </c>
      <c r="G686" s="3">
        <v>7.1527777777777773E-2</v>
      </c>
      <c r="H686" s="1" t="s">
        <v>16</v>
      </c>
      <c r="I686" t="s">
        <v>8</v>
      </c>
      <c r="J686" t="s">
        <v>600</v>
      </c>
      <c r="K686" s="9">
        <v>19.89</v>
      </c>
      <c r="L686" t="s">
        <v>17</v>
      </c>
      <c r="M686">
        <v>685</v>
      </c>
      <c r="N686" t="s">
        <v>594</v>
      </c>
      <c r="O686" s="3">
        <f>(Sala[[#This Row],[Hora de Salida]]-Sala[[#This Row],[Hora de llegada]])+IF(Sala[[#This Row],[Estado de la Mesa]]="Ocupada",(TEXT((15/(60*24)),"h:mm")),(TEXT(0,"h:mm")))</f>
        <v>5.2083333333333329E-2</v>
      </c>
      <c r="P686" s="43">
        <f>(SUMIF(Cocina[Número de Orden],Sala[[#This Row],[Número de Orden]],Cocina[Tiempo de Preparación]))</f>
        <v>17</v>
      </c>
      <c r="Q686" s="5" t="str">
        <f>TEXT(((SUMIF(Cocina[Número de Orden],Sala[[#This Row],[Número de Orden]],Cocina[Tiempo de Preparación]))/(60*24)),"h:mm")</f>
        <v>0:17</v>
      </c>
      <c r="R686" s="3">
        <f>MAX((Sala[[#This Row],[Tiempo de permanencia]]-Sala[[#This Row],[Tiempo de preparación (h)]]),0)</f>
        <v>4.0277777777777773E-2</v>
      </c>
      <c r="S686" s="8">
        <f>SUMIF(Cocina[Número de Orden],Sala[[#This Row],[Número de Orden]],Cocina[Ganancia bruta])</f>
        <v>54</v>
      </c>
      <c r="T686" s="8">
        <f>SUMIF(Cocina[Número de Orden],Sala[[#This Row],[Número de Orden]],Cocina[Costo Unitario])</f>
        <v>16</v>
      </c>
      <c r="U686" s="2">
        <f>Sala[[#This Row],[Fecha de Salida]]</f>
        <v>45023</v>
      </c>
      <c r="V686" s="7" t="str">
        <f>TEXT(Sala[[#This Row],[Fecha factura]],"dddd")</f>
        <v>viernes</v>
      </c>
      <c r="W686" t="str">
        <f>IF(Sala[[#This Row],[Tiempo de degustación]]&gt;0,"Sí","No")</f>
        <v>Sí</v>
      </c>
      <c r="X686" t="str">
        <f>IF(Sala[[#This Row],[Cobrada]]="Sí",Sala[[#This Row],[Método de Pago]],"Impago")</f>
        <v>Tarjeta de débito</v>
      </c>
      <c r="Y686">
        <f>IF(Sala[[#This Row],[Cobrada]]="Sí",Sala[[#This Row],[Propina]],0)</f>
        <v>19.89</v>
      </c>
      <c r="Z686">
        <f>(IF(Sala[[#This Row],[Cobrada]]="Sí",Sala[[#This Row],[Monto total]],0))+Sala[[#This Row],[Propina real]]</f>
        <v>73.89</v>
      </c>
    </row>
    <row r="687" spans="1:26" x14ac:dyDescent="0.25">
      <c r="A687">
        <v>10</v>
      </c>
      <c r="B687" t="s">
        <v>508</v>
      </c>
      <c r="C687">
        <v>6</v>
      </c>
      <c r="D687" s="2">
        <v>45023</v>
      </c>
      <c r="E687" s="3">
        <v>0.05</v>
      </c>
      <c r="F687" s="2">
        <v>45023</v>
      </c>
      <c r="G687" s="3">
        <v>0.15208333333333332</v>
      </c>
      <c r="H687" s="1" t="s">
        <v>11</v>
      </c>
      <c r="I687" t="s">
        <v>8</v>
      </c>
      <c r="J687" t="s">
        <v>13</v>
      </c>
      <c r="K687" s="9">
        <v>15.83</v>
      </c>
      <c r="L687" t="s">
        <v>9</v>
      </c>
      <c r="M687">
        <v>686</v>
      </c>
      <c r="N687" t="s">
        <v>21</v>
      </c>
      <c r="O687" s="3">
        <f>(Sala[[#This Row],[Hora de Salida]]-Sala[[#This Row],[Hora de llegada]])+IF(Sala[[#This Row],[Estado de la Mesa]]="Ocupada",(TEXT((15/(60*24)),"h:mm")),(TEXT(0,"h:mm")))</f>
        <v>0.10208333333333332</v>
      </c>
      <c r="P687" s="43">
        <f>(SUMIF(Cocina[Número de Orden],Sala[[#This Row],[Número de Orden]],Cocina[Tiempo de Preparación]))</f>
        <v>58</v>
      </c>
      <c r="Q687" s="5" t="str">
        <f>TEXT(((SUMIF(Cocina[Número de Orden],Sala[[#This Row],[Número de Orden]],Cocina[Tiempo de Preparación]))/(60*24)),"h:mm")</f>
        <v>0:58</v>
      </c>
      <c r="R687" s="3">
        <f>MAX((Sala[[#This Row],[Tiempo de permanencia]]-Sala[[#This Row],[Tiempo de preparación (h)]]),0)</f>
        <v>6.1805555555555537E-2</v>
      </c>
      <c r="S687" s="8">
        <f>SUMIF(Cocina[Número de Orden],Sala[[#This Row],[Número de Orden]],Cocina[Ganancia bruta])</f>
        <v>102</v>
      </c>
      <c r="T687" s="8">
        <f>SUMIF(Cocina[Número de Orden],Sala[[#This Row],[Número de Orden]],Cocina[Costo Unitario])</f>
        <v>31</v>
      </c>
      <c r="U687" s="2">
        <f>Sala[[#This Row],[Fecha de Salida]]</f>
        <v>45023</v>
      </c>
      <c r="V687" s="7" t="str">
        <f>TEXT(Sala[[#This Row],[Fecha factura]],"dddd")</f>
        <v>viernes</v>
      </c>
      <c r="W687" t="str">
        <f>IF(Sala[[#This Row],[Tiempo de degustación]]&gt;0,"Sí","No")</f>
        <v>Sí</v>
      </c>
      <c r="X687" t="str">
        <f>IF(Sala[[#This Row],[Cobrada]]="Sí",Sala[[#This Row],[Método de Pago]],"Impago")</f>
        <v>Efectivo</v>
      </c>
      <c r="Y687">
        <f>IF(Sala[[#This Row],[Cobrada]]="Sí",Sala[[#This Row],[Propina]],0)</f>
        <v>15.83</v>
      </c>
      <c r="Z687">
        <f>(IF(Sala[[#This Row],[Cobrada]]="Sí",Sala[[#This Row],[Monto total]],0))+Sala[[#This Row],[Propina real]]</f>
        <v>117.83</v>
      </c>
    </row>
    <row r="688" spans="1:26" x14ac:dyDescent="0.25">
      <c r="A688">
        <v>2</v>
      </c>
      <c r="B688" t="s">
        <v>454</v>
      </c>
      <c r="C688">
        <v>6</v>
      </c>
      <c r="D688" s="2">
        <v>45023</v>
      </c>
      <c r="E688" s="3">
        <v>7.9166666666666663E-2</v>
      </c>
      <c r="F688" s="2">
        <v>45023</v>
      </c>
      <c r="G688" s="3">
        <v>0.23541666666666666</v>
      </c>
      <c r="H688" s="1" t="s">
        <v>23</v>
      </c>
      <c r="I688" t="s">
        <v>8</v>
      </c>
      <c r="J688" t="s">
        <v>13</v>
      </c>
      <c r="K688" s="9">
        <v>10.53</v>
      </c>
      <c r="L688" t="s">
        <v>17</v>
      </c>
      <c r="M688">
        <v>687</v>
      </c>
      <c r="N688" t="s">
        <v>594</v>
      </c>
      <c r="O688" s="3">
        <f>(Sala[[#This Row],[Hora de Salida]]-Sala[[#This Row],[Hora de llegada]])+IF(Sala[[#This Row],[Estado de la Mesa]]="Ocupada",(TEXT((15/(60*24)),"h:mm")),(TEXT(0,"h:mm")))</f>
        <v>0.15625</v>
      </c>
      <c r="P688" s="43">
        <f>(SUMIF(Cocina[Número de Orden],Sala[[#This Row],[Número de Orden]],Cocina[Tiempo de Preparación]))</f>
        <v>29</v>
      </c>
      <c r="Q688" s="5" t="str">
        <f>TEXT(((SUMIF(Cocina[Número de Orden],Sala[[#This Row],[Número de Orden]],Cocina[Tiempo de Preparación]))/(60*24)),"h:mm")</f>
        <v>0:29</v>
      </c>
      <c r="R688" s="3">
        <f>MAX((Sala[[#This Row],[Tiempo de permanencia]]-Sala[[#This Row],[Tiempo de preparación (h)]]),0)</f>
        <v>0.1361111111111111</v>
      </c>
      <c r="S688" s="8">
        <f>SUMIF(Cocina[Número de Orden],Sala[[#This Row],[Número de Orden]],Cocina[Ganancia bruta])</f>
        <v>72</v>
      </c>
      <c r="T688" s="8">
        <f>SUMIF(Cocina[Número de Orden],Sala[[#This Row],[Número de Orden]],Cocina[Costo Unitario])</f>
        <v>22</v>
      </c>
      <c r="U688" s="2">
        <f>Sala[[#This Row],[Fecha de Salida]]</f>
        <v>45023</v>
      </c>
      <c r="V688" s="7" t="str">
        <f>TEXT(Sala[[#This Row],[Fecha factura]],"dddd")</f>
        <v>viernes</v>
      </c>
      <c r="W688" t="str">
        <f>IF(Sala[[#This Row],[Tiempo de degustación]]&gt;0,"Sí","No")</f>
        <v>Sí</v>
      </c>
      <c r="X688" t="str">
        <f>IF(Sala[[#This Row],[Cobrada]]="Sí",Sala[[#This Row],[Método de Pago]],"Impago")</f>
        <v>Efectivo</v>
      </c>
      <c r="Y688">
        <f>IF(Sala[[#This Row],[Cobrada]]="Sí",Sala[[#This Row],[Propina]],0)</f>
        <v>10.53</v>
      </c>
      <c r="Z688">
        <f>(IF(Sala[[#This Row],[Cobrada]]="Sí",Sala[[#This Row],[Monto total]],0))+Sala[[#This Row],[Propina real]]</f>
        <v>82.53</v>
      </c>
    </row>
    <row r="689" spans="1:26" x14ac:dyDescent="0.25">
      <c r="A689">
        <v>3</v>
      </c>
      <c r="B689" t="s">
        <v>558</v>
      </c>
      <c r="C689">
        <v>1</v>
      </c>
      <c r="D689" s="2">
        <v>45023</v>
      </c>
      <c r="E689" s="3">
        <v>0.14305555555555555</v>
      </c>
      <c r="F689" s="2">
        <v>45023</v>
      </c>
      <c r="G689" s="3">
        <v>0.21041666666666667</v>
      </c>
      <c r="H689" s="1" t="s">
        <v>11</v>
      </c>
      <c r="I689" t="s">
        <v>8</v>
      </c>
      <c r="J689" t="s">
        <v>601</v>
      </c>
      <c r="K689" s="9">
        <v>48.7</v>
      </c>
      <c r="L689" t="s">
        <v>28</v>
      </c>
      <c r="M689">
        <v>688</v>
      </c>
      <c r="N689" t="s">
        <v>59</v>
      </c>
      <c r="O689" s="3">
        <f>(Sala[[#This Row],[Hora de Salida]]-Sala[[#This Row],[Hora de llegada]])+IF(Sala[[#This Row],[Estado de la Mesa]]="Ocupada",(TEXT((15/(60*24)),"h:mm")),(TEXT(0,"h:mm")))</f>
        <v>7.7777777777777793E-2</v>
      </c>
      <c r="P689" s="43">
        <f>(SUMIF(Cocina[Número de Orden],Sala[[#This Row],[Número de Orden]],Cocina[Tiempo de Preparación]))</f>
        <v>14</v>
      </c>
      <c r="Q689" s="5" t="str">
        <f>TEXT(((SUMIF(Cocina[Número de Orden],Sala[[#This Row],[Número de Orden]],Cocina[Tiempo de Preparación]))/(60*24)),"h:mm")</f>
        <v>0:14</v>
      </c>
      <c r="R689" s="3">
        <f>MAX((Sala[[#This Row],[Tiempo de permanencia]]-Sala[[#This Row],[Tiempo de preparación (h)]]),0)</f>
        <v>6.8055555555555564E-2</v>
      </c>
      <c r="S689" s="8">
        <f>SUMIF(Cocina[Número de Orden],Sala[[#This Row],[Número de Orden]],Cocina[Ganancia bruta])</f>
        <v>29</v>
      </c>
      <c r="T689" s="8">
        <f>SUMIF(Cocina[Número de Orden],Sala[[#This Row],[Número de Orden]],Cocina[Costo Unitario])</f>
        <v>17</v>
      </c>
      <c r="U689" s="2">
        <f>Sala[[#This Row],[Fecha de Salida]]</f>
        <v>45023</v>
      </c>
      <c r="V689" s="7" t="str">
        <f>TEXT(Sala[[#This Row],[Fecha factura]],"dddd")</f>
        <v>viernes</v>
      </c>
      <c r="W689" t="str">
        <f>IF(Sala[[#This Row],[Tiempo de degustación]]&gt;0,"Sí","No")</f>
        <v>Sí</v>
      </c>
      <c r="X689" t="str">
        <f>IF(Sala[[#This Row],[Cobrada]]="Sí",Sala[[#This Row],[Método de Pago]],"Impago")</f>
        <v>Tarjeta de crédito</v>
      </c>
      <c r="Y689">
        <f>IF(Sala[[#This Row],[Cobrada]]="Sí",Sala[[#This Row],[Propina]],0)</f>
        <v>48.7</v>
      </c>
      <c r="Z689">
        <f>(IF(Sala[[#This Row],[Cobrada]]="Sí",Sala[[#This Row],[Monto total]],0))+Sala[[#This Row],[Propina real]]</f>
        <v>77.7</v>
      </c>
    </row>
    <row r="690" spans="1:26" x14ac:dyDescent="0.25">
      <c r="A690">
        <v>14</v>
      </c>
      <c r="B690" t="s">
        <v>559</v>
      </c>
      <c r="C690">
        <v>1</v>
      </c>
      <c r="D690" s="2">
        <v>45023</v>
      </c>
      <c r="E690" s="3">
        <v>2.5000000000000001E-2</v>
      </c>
      <c r="F690" s="2">
        <v>45023</v>
      </c>
      <c r="G690" s="3">
        <v>9.8611111111111108E-2</v>
      </c>
      <c r="H690" s="1" t="s">
        <v>11</v>
      </c>
      <c r="I690" t="s">
        <v>8</v>
      </c>
      <c r="J690" t="s">
        <v>601</v>
      </c>
      <c r="K690" s="9">
        <v>10.25</v>
      </c>
      <c r="L690" t="s">
        <v>28</v>
      </c>
      <c r="M690">
        <v>689</v>
      </c>
      <c r="N690" t="s">
        <v>21</v>
      </c>
      <c r="O690" s="3">
        <f>(Sala[[#This Row],[Hora de Salida]]-Sala[[#This Row],[Hora de llegada]])+IF(Sala[[#This Row],[Estado de la Mesa]]="Ocupada",(TEXT((15/(60*24)),"h:mm")),(TEXT(0,"h:mm")))</f>
        <v>8.4027777777777771E-2</v>
      </c>
      <c r="P690" s="43">
        <f>(SUMIF(Cocina[Número de Orden],Sala[[#This Row],[Número de Orden]],Cocina[Tiempo de Preparación]))</f>
        <v>29</v>
      </c>
      <c r="Q690" s="5" t="str">
        <f>TEXT(((SUMIF(Cocina[Número de Orden],Sala[[#This Row],[Número de Orden]],Cocina[Tiempo de Preparación]))/(60*24)),"h:mm")</f>
        <v>0:29</v>
      </c>
      <c r="R690" s="3">
        <f>MAX((Sala[[#This Row],[Tiempo de permanencia]]-Sala[[#This Row],[Tiempo de preparación (h)]]),0)</f>
        <v>6.3888888888888884E-2</v>
      </c>
      <c r="S690" s="8">
        <f>SUMIF(Cocina[Número de Orden],Sala[[#This Row],[Número de Orden]],Cocina[Ganancia bruta])</f>
        <v>165</v>
      </c>
      <c r="T690" s="8">
        <f>SUMIF(Cocina[Número de Orden],Sala[[#This Row],[Número de Orden]],Cocina[Costo Unitario])</f>
        <v>42</v>
      </c>
      <c r="U690" s="2">
        <f>Sala[[#This Row],[Fecha de Salida]]</f>
        <v>45023</v>
      </c>
      <c r="V690" s="7" t="str">
        <f>TEXT(Sala[[#This Row],[Fecha factura]],"dddd")</f>
        <v>viernes</v>
      </c>
      <c r="W690" t="str">
        <f>IF(Sala[[#This Row],[Tiempo de degustación]]&gt;0,"Sí","No")</f>
        <v>Sí</v>
      </c>
      <c r="X690" t="str">
        <f>IF(Sala[[#This Row],[Cobrada]]="Sí",Sala[[#This Row],[Método de Pago]],"Impago")</f>
        <v>Tarjeta de crédito</v>
      </c>
      <c r="Y690">
        <f>IF(Sala[[#This Row],[Cobrada]]="Sí",Sala[[#This Row],[Propina]],0)</f>
        <v>10.25</v>
      </c>
      <c r="Z690">
        <f>(IF(Sala[[#This Row],[Cobrada]]="Sí",Sala[[#This Row],[Monto total]],0))+Sala[[#This Row],[Propina real]]</f>
        <v>175.25</v>
      </c>
    </row>
    <row r="691" spans="1:26" x14ac:dyDescent="0.25">
      <c r="A691">
        <v>15</v>
      </c>
      <c r="B691" t="s">
        <v>472</v>
      </c>
      <c r="C691">
        <v>4</v>
      </c>
      <c r="D691" s="2">
        <v>45023</v>
      </c>
      <c r="E691" s="3">
        <v>0.11319444444444444</v>
      </c>
      <c r="F691" s="2">
        <v>45023</v>
      </c>
      <c r="G691" s="3">
        <v>0.23819444444444443</v>
      </c>
      <c r="H691" s="1" t="s">
        <v>20</v>
      </c>
      <c r="I691" t="s">
        <v>25</v>
      </c>
      <c r="J691" t="s">
        <v>600</v>
      </c>
      <c r="K691" s="9">
        <v>37.22</v>
      </c>
      <c r="L691" t="s">
        <v>9</v>
      </c>
      <c r="M691">
        <v>690</v>
      </c>
      <c r="N691" t="s">
        <v>594</v>
      </c>
      <c r="O691" s="3">
        <f>(Sala[[#This Row],[Hora de Salida]]-Sala[[#This Row],[Hora de llegada]])+IF(Sala[[#This Row],[Estado de la Mesa]]="Ocupada",(TEXT((15/(60*24)),"h:mm")),(TEXT(0,"h:mm")))</f>
        <v>0.12499999999999999</v>
      </c>
      <c r="P691" s="43">
        <f>(SUMIF(Cocina[Número de Orden],Sala[[#This Row],[Número de Orden]],Cocina[Tiempo de Preparación]))</f>
        <v>143</v>
      </c>
      <c r="Q691" s="5" t="str">
        <f>TEXT(((SUMIF(Cocina[Número de Orden],Sala[[#This Row],[Número de Orden]],Cocina[Tiempo de Preparación]))/(60*24)),"h:mm")</f>
        <v>2:23</v>
      </c>
      <c r="R691" s="3">
        <f>MAX((Sala[[#This Row],[Tiempo de permanencia]]-Sala[[#This Row],[Tiempo de preparación (h)]]),0)</f>
        <v>2.5694444444444436E-2</v>
      </c>
      <c r="S691" s="8">
        <f>SUMIF(Cocina[Número de Orden],Sala[[#This Row],[Número de Orden]],Cocina[Ganancia bruta])</f>
        <v>191</v>
      </c>
      <c r="T691" s="8">
        <f>SUMIF(Cocina[Número de Orden],Sala[[#This Row],[Número de Orden]],Cocina[Costo Unitario])</f>
        <v>80</v>
      </c>
      <c r="U691" s="2">
        <f>Sala[[#This Row],[Fecha de Salida]]</f>
        <v>45023</v>
      </c>
      <c r="V691" s="7" t="str">
        <f>TEXT(Sala[[#This Row],[Fecha factura]],"dddd")</f>
        <v>viernes</v>
      </c>
      <c r="W691" t="str">
        <f>IF(Sala[[#This Row],[Tiempo de degustación]]&gt;0,"Sí","No")</f>
        <v>Sí</v>
      </c>
      <c r="X691" t="str">
        <f>IF(Sala[[#This Row],[Cobrada]]="Sí",Sala[[#This Row],[Método de Pago]],"Impago")</f>
        <v>Tarjeta de débito</v>
      </c>
      <c r="Y691">
        <f>IF(Sala[[#This Row],[Cobrada]]="Sí",Sala[[#This Row],[Propina]],0)</f>
        <v>37.22</v>
      </c>
      <c r="Z691">
        <f>(IF(Sala[[#This Row],[Cobrada]]="Sí",Sala[[#This Row],[Monto total]],0))+Sala[[#This Row],[Propina real]]</f>
        <v>228.22</v>
      </c>
    </row>
    <row r="692" spans="1:26" x14ac:dyDescent="0.25">
      <c r="A692">
        <v>19</v>
      </c>
      <c r="B692" t="s">
        <v>64</v>
      </c>
      <c r="C692">
        <v>4</v>
      </c>
      <c r="D692" s="2">
        <v>45023</v>
      </c>
      <c r="E692" s="3">
        <v>7.1527777777777773E-2</v>
      </c>
      <c r="F692" s="2">
        <v>45023</v>
      </c>
      <c r="G692" s="3">
        <v>0.22013888888888888</v>
      </c>
      <c r="H692" s="1" t="s">
        <v>7</v>
      </c>
      <c r="I692" t="s">
        <v>25</v>
      </c>
      <c r="J692" t="s">
        <v>600</v>
      </c>
      <c r="K692" s="9">
        <v>13.9</v>
      </c>
      <c r="L692" t="s">
        <v>28</v>
      </c>
      <c r="M692">
        <v>691</v>
      </c>
      <c r="N692" t="s">
        <v>14</v>
      </c>
      <c r="O692" s="3">
        <f>(Sala[[#This Row],[Hora de Salida]]-Sala[[#This Row],[Hora de llegada]])+IF(Sala[[#This Row],[Estado de la Mesa]]="Ocupada",(TEXT((15/(60*24)),"h:mm")),(TEXT(0,"h:mm")))</f>
        <v>0.15902777777777777</v>
      </c>
      <c r="P692" s="43">
        <f>(SUMIF(Cocina[Número de Orden],Sala[[#This Row],[Número de Orden]],Cocina[Tiempo de Preparación]))</f>
        <v>34</v>
      </c>
      <c r="Q692" s="5" t="str">
        <f>TEXT(((SUMIF(Cocina[Número de Orden],Sala[[#This Row],[Número de Orden]],Cocina[Tiempo de Preparación]))/(60*24)),"h:mm")</f>
        <v>0:34</v>
      </c>
      <c r="R692" s="3">
        <f>MAX((Sala[[#This Row],[Tiempo de permanencia]]-Sala[[#This Row],[Tiempo de preparación (h)]]),0)</f>
        <v>0.13541666666666666</v>
      </c>
      <c r="S692" s="8">
        <f>SUMIF(Cocina[Número de Orden],Sala[[#This Row],[Número de Orden]],Cocina[Ganancia bruta])</f>
        <v>66</v>
      </c>
      <c r="T692" s="8">
        <f>SUMIF(Cocina[Número de Orden],Sala[[#This Row],[Número de Orden]],Cocina[Costo Unitario])</f>
        <v>13</v>
      </c>
      <c r="U692" s="2">
        <f>Sala[[#This Row],[Fecha de Salida]]</f>
        <v>45023</v>
      </c>
      <c r="V692" s="7" t="str">
        <f>TEXT(Sala[[#This Row],[Fecha factura]],"dddd")</f>
        <v>viernes</v>
      </c>
      <c r="W692" t="str">
        <f>IF(Sala[[#This Row],[Tiempo de degustación]]&gt;0,"Sí","No")</f>
        <v>Sí</v>
      </c>
      <c r="X692" t="str">
        <f>IF(Sala[[#This Row],[Cobrada]]="Sí",Sala[[#This Row],[Método de Pago]],"Impago")</f>
        <v>Tarjeta de débito</v>
      </c>
      <c r="Y692">
        <f>IF(Sala[[#This Row],[Cobrada]]="Sí",Sala[[#This Row],[Propina]],0)</f>
        <v>13.9</v>
      </c>
      <c r="Z692">
        <f>(IF(Sala[[#This Row],[Cobrada]]="Sí",Sala[[#This Row],[Monto total]],0))+Sala[[#This Row],[Propina real]]</f>
        <v>79.900000000000006</v>
      </c>
    </row>
    <row r="693" spans="1:26" x14ac:dyDescent="0.25">
      <c r="A693">
        <v>9</v>
      </c>
      <c r="B693" t="s">
        <v>223</v>
      </c>
      <c r="C693">
        <v>2</v>
      </c>
      <c r="D693" s="2">
        <v>45023</v>
      </c>
      <c r="E693" s="3">
        <v>3.6805555555555557E-2</v>
      </c>
      <c r="F693" s="2">
        <v>45023</v>
      </c>
      <c r="G693" s="3">
        <v>0.18472222222222223</v>
      </c>
      <c r="H693" s="1" t="s">
        <v>11</v>
      </c>
      <c r="I693" t="s">
        <v>25</v>
      </c>
      <c r="J693" t="s">
        <v>601</v>
      </c>
      <c r="K693" s="9">
        <v>25.92</v>
      </c>
      <c r="L693" t="s">
        <v>9</v>
      </c>
      <c r="M693">
        <v>692</v>
      </c>
      <c r="N693" t="s">
        <v>59</v>
      </c>
      <c r="O693" s="3">
        <f>(Sala[[#This Row],[Hora de Salida]]-Sala[[#This Row],[Hora de llegada]])+IF(Sala[[#This Row],[Estado de la Mesa]]="Ocupada",(TEXT((15/(60*24)),"h:mm")),(TEXT(0,"h:mm")))</f>
        <v>0.14791666666666667</v>
      </c>
      <c r="P693" s="43">
        <f>(SUMIF(Cocina[Número de Orden],Sala[[#This Row],[Número de Orden]],Cocina[Tiempo de Preparación]))</f>
        <v>100</v>
      </c>
      <c r="Q693" s="5" t="str">
        <f>TEXT(((SUMIF(Cocina[Número de Orden],Sala[[#This Row],[Número de Orden]],Cocina[Tiempo de Preparación]))/(60*24)),"h:mm")</f>
        <v>1:40</v>
      </c>
      <c r="R693" s="3">
        <f>MAX((Sala[[#This Row],[Tiempo de permanencia]]-Sala[[#This Row],[Tiempo de preparación (h)]]),0)</f>
        <v>7.8472222222222221E-2</v>
      </c>
      <c r="S693" s="8">
        <f>SUMIF(Cocina[Número de Orden],Sala[[#This Row],[Número de Orden]],Cocina[Ganancia bruta])</f>
        <v>173</v>
      </c>
      <c r="T693" s="8">
        <f>SUMIF(Cocina[Número de Orden],Sala[[#This Row],[Número de Orden]],Cocina[Costo Unitario])</f>
        <v>61</v>
      </c>
      <c r="U693" s="2">
        <f>Sala[[#This Row],[Fecha de Salida]]</f>
        <v>45023</v>
      </c>
      <c r="V693" s="7" t="str">
        <f>TEXT(Sala[[#This Row],[Fecha factura]],"dddd")</f>
        <v>viernes</v>
      </c>
      <c r="W693" t="str">
        <f>IF(Sala[[#This Row],[Tiempo de degustación]]&gt;0,"Sí","No")</f>
        <v>Sí</v>
      </c>
      <c r="X693" t="str">
        <f>IF(Sala[[#This Row],[Cobrada]]="Sí",Sala[[#This Row],[Método de Pago]],"Impago")</f>
        <v>Tarjeta de crédito</v>
      </c>
      <c r="Y693">
        <f>IF(Sala[[#This Row],[Cobrada]]="Sí",Sala[[#This Row],[Propina]],0)</f>
        <v>25.92</v>
      </c>
      <c r="Z693">
        <f>(IF(Sala[[#This Row],[Cobrada]]="Sí",Sala[[#This Row],[Monto total]],0))+Sala[[#This Row],[Propina real]]</f>
        <v>198.92000000000002</v>
      </c>
    </row>
    <row r="694" spans="1:26" x14ac:dyDescent="0.25">
      <c r="A694">
        <v>15</v>
      </c>
      <c r="B694" t="s">
        <v>388</v>
      </c>
      <c r="C694">
        <v>4</v>
      </c>
      <c r="D694" s="2">
        <v>45023</v>
      </c>
      <c r="E694" s="3">
        <v>0.15555555555555556</v>
      </c>
      <c r="F694" s="2">
        <v>45023</v>
      </c>
      <c r="G694" s="3">
        <v>0.31319444444444444</v>
      </c>
      <c r="H694" s="1" t="s">
        <v>7</v>
      </c>
      <c r="I694" t="s">
        <v>8</v>
      </c>
      <c r="J694" t="s">
        <v>601</v>
      </c>
      <c r="K694" s="9">
        <v>28.31</v>
      </c>
      <c r="L694" t="s">
        <v>17</v>
      </c>
      <c r="M694">
        <v>693</v>
      </c>
      <c r="N694" t="s">
        <v>44</v>
      </c>
      <c r="O694" s="3">
        <f>(Sala[[#This Row],[Hora de Salida]]-Sala[[#This Row],[Hora de llegada]])+IF(Sala[[#This Row],[Estado de la Mesa]]="Ocupada",(TEXT((15/(60*24)),"h:mm")),(TEXT(0,"h:mm")))</f>
        <v>0.15763888888888888</v>
      </c>
      <c r="P694" s="43">
        <f>(SUMIF(Cocina[Número de Orden],Sala[[#This Row],[Número de Orden]],Cocina[Tiempo de Preparación]))</f>
        <v>44</v>
      </c>
      <c r="Q694" s="5" t="str">
        <f>TEXT(((SUMIF(Cocina[Número de Orden],Sala[[#This Row],[Número de Orden]],Cocina[Tiempo de Preparación]))/(60*24)),"h:mm")</f>
        <v>0:44</v>
      </c>
      <c r="R694" s="3">
        <f>MAX((Sala[[#This Row],[Tiempo de permanencia]]-Sala[[#This Row],[Tiempo de preparación (h)]]),0)</f>
        <v>0.12708333333333333</v>
      </c>
      <c r="S694" s="8">
        <f>SUMIF(Cocina[Número de Orden],Sala[[#This Row],[Número de Orden]],Cocina[Ganancia bruta])</f>
        <v>78</v>
      </c>
      <c r="T694" s="8">
        <f>SUMIF(Cocina[Número de Orden],Sala[[#This Row],[Número de Orden]],Cocina[Costo Unitario])</f>
        <v>35</v>
      </c>
      <c r="U694" s="2">
        <f>Sala[[#This Row],[Fecha de Salida]]</f>
        <v>45023</v>
      </c>
      <c r="V694" s="7" t="str">
        <f>TEXT(Sala[[#This Row],[Fecha factura]],"dddd")</f>
        <v>viernes</v>
      </c>
      <c r="W694" t="str">
        <f>IF(Sala[[#This Row],[Tiempo de degustación]]&gt;0,"Sí","No")</f>
        <v>Sí</v>
      </c>
      <c r="X694" t="str">
        <f>IF(Sala[[#This Row],[Cobrada]]="Sí",Sala[[#This Row],[Método de Pago]],"Impago")</f>
        <v>Tarjeta de crédito</v>
      </c>
      <c r="Y694">
        <f>IF(Sala[[#This Row],[Cobrada]]="Sí",Sala[[#This Row],[Propina]],0)</f>
        <v>28.31</v>
      </c>
      <c r="Z694">
        <f>(IF(Sala[[#This Row],[Cobrada]]="Sí",Sala[[#This Row],[Monto total]],0))+Sala[[#This Row],[Propina real]]</f>
        <v>106.31</v>
      </c>
    </row>
    <row r="695" spans="1:26" x14ac:dyDescent="0.25">
      <c r="A695">
        <v>5</v>
      </c>
      <c r="B695" t="s">
        <v>51</v>
      </c>
      <c r="C695">
        <v>4</v>
      </c>
      <c r="D695" s="2">
        <v>45023</v>
      </c>
      <c r="E695" s="3">
        <v>7.7083333333333337E-2</v>
      </c>
      <c r="F695" s="2">
        <v>45023</v>
      </c>
      <c r="G695" s="3">
        <v>0.21736111111111112</v>
      </c>
      <c r="H695" s="1" t="s">
        <v>16</v>
      </c>
      <c r="I695" t="s">
        <v>8</v>
      </c>
      <c r="J695" t="s">
        <v>601</v>
      </c>
      <c r="K695" s="9">
        <v>23.66</v>
      </c>
      <c r="L695" t="s">
        <v>17</v>
      </c>
      <c r="M695">
        <v>694</v>
      </c>
      <c r="N695" t="s">
        <v>29</v>
      </c>
      <c r="O695" s="3">
        <f>(Sala[[#This Row],[Hora de Salida]]-Sala[[#This Row],[Hora de llegada]])+IF(Sala[[#This Row],[Estado de la Mesa]]="Ocupada",(TEXT((15/(60*24)),"h:mm")),(TEXT(0,"h:mm")))</f>
        <v>0.14027777777777778</v>
      </c>
      <c r="P695" s="43">
        <f>(SUMIF(Cocina[Número de Orden],Sala[[#This Row],[Número de Orden]],Cocina[Tiempo de Preparación]))</f>
        <v>128</v>
      </c>
      <c r="Q695" s="5" t="str">
        <f>TEXT(((SUMIF(Cocina[Número de Orden],Sala[[#This Row],[Número de Orden]],Cocina[Tiempo de Preparación]))/(60*24)),"h:mm")</f>
        <v>2:08</v>
      </c>
      <c r="R695" s="3">
        <f>MAX((Sala[[#This Row],[Tiempo de permanencia]]-Sala[[#This Row],[Tiempo de preparación (h)]]),0)</f>
        <v>5.1388888888888887E-2</v>
      </c>
      <c r="S695" s="8">
        <f>SUMIF(Cocina[Número de Orden],Sala[[#This Row],[Número de Orden]],Cocina[Ganancia bruta])</f>
        <v>157</v>
      </c>
      <c r="T695" s="8">
        <f>SUMIF(Cocina[Número de Orden],Sala[[#This Row],[Número de Orden]],Cocina[Costo Unitario])</f>
        <v>60</v>
      </c>
      <c r="U695" s="2">
        <f>Sala[[#This Row],[Fecha de Salida]]</f>
        <v>45023</v>
      </c>
      <c r="V695" s="7" t="str">
        <f>TEXT(Sala[[#This Row],[Fecha factura]],"dddd")</f>
        <v>viernes</v>
      </c>
      <c r="W695" t="str">
        <f>IF(Sala[[#This Row],[Tiempo de degustación]]&gt;0,"Sí","No")</f>
        <v>Sí</v>
      </c>
      <c r="X695" t="str">
        <f>IF(Sala[[#This Row],[Cobrada]]="Sí",Sala[[#This Row],[Método de Pago]],"Impago")</f>
        <v>Tarjeta de crédito</v>
      </c>
      <c r="Y695">
        <f>IF(Sala[[#This Row],[Cobrada]]="Sí",Sala[[#This Row],[Propina]],0)</f>
        <v>23.66</v>
      </c>
      <c r="Z695">
        <f>(IF(Sala[[#This Row],[Cobrada]]="Sí",Sala[[#This Row],[Monto total]],0))+Sala[[#This Row],[Propina real]]</f>
        <v>180.66</v>
      </c>
    </row>
    <row r="696" spans="1:26" x14ac:dyDescent="0.25">
      <c r="A696">
        <v>9</v>
      </c>
      <c r="B696" t="s">
        <v>309</v>
      </c>
      <c r="C696">
        <v>1</v>
      </c>
      <c r="D696" s="2">
        <v>45023</v>
      </c>
      <c r="E696" s="3">
        <v>8.4722222222222227E-2</v>
      </c>
      <c r="F696" s="2">
        <v>45023</v>
      </c>
      <c r="G696" s="3">
        <v>0.23055555555555557</v>
      </c>
      <c r="H696" s="1" t="s">
        <v>7</v>
      </c>
      <c r="I696" t="s">
        <v>8</v>
      </c>
      <c r="J696" t="s">
        <v>601</v>
      </c>
      <c r="K696" s="9">
        <v>18.23</v>
      </c>
      <c r="L696" t="s">
        <v>28</v>
      </c>
      <c r="M696">
        <v>695</v>
      </c>
      <c r="N696" t="s">
        <v>29</v>
      </c>
      <c r="O696" s="3">
        <f>(Sala[[#This Row],[Hora de Salida]]-Sala[[#This Row],[Hora de llegada]])+IF(Sala[[#This Row],[Estado de la Mesa]]="Ocupada",(TEXT((15/(60*24)),"h:mm")),(TEXT(0,"h:mm")))</f>
        <v>0.15625</v>
      </c>
      <c r="P696" s="43">
        <f>(SUMIF(Cocina[Número de Orden],Sala[[#This Row],[Número de Orden]],Cocina[Tiempo de Preparación]))</f>
        <v>37</v>
      </c>
      <c r="Q696" s="5" t="str">
        <f>TEXT(((SUMIF(Cocina[Número de Orden],Sala[[#This Row],[Número de Orden]],Cocina[Tiempo de Preparación]))/(60*24)),"h:mm")</f>
        <v>0:37</v>
      </c>
      <c r="R696" s="3">
        <f>MAX((Sala[[#This Row],[Tiempo de permanencia]]-Sala[[#This Row],[Tiempo de preparación (h)]]),0)</f>
        <v>0.13055555555555556</v>
      </c>
      <c r="S696" s="8">
        <f>SUMIF(Cocina[Número de Orden],Sala[[#This Row],[Número de Orden]],Cocina[Ganancia bruta])</f>
        <v>116</v>
      </c>
      <c r="T696" s="8">
        <f>SUMIF(Cocina[Número de Orden],Sala[[#This Row],[Número de Orden]],Cocina[Costo Unitario])</f>
        <v>34</v>
      </c>
      <c r="U696" s="2">
        <f>Sala[[#This Row],[Fecha de Salida]]</f>
        <v>45023</v>
      </c>
      <c r="V696" s="7" t="str">
        <f>TEXT(Sala[[#This Row],[Fecha factura]],"dddd")</f>
        <v>viernes</v>
      </c>
      <c r="W696" t="str">
        <f>IF(Sala[[#This Row],[Tiempo de degustación]]&gt;0,"Sí","No")</f>
        <v>Sí</v>
      </c>
      <c r="X696" t="str">
        <f>IF(Sala[[#This Row],[Cobrada]]="Sí",Sala[[#This Row],[Método de Pago]],"Impago")</f>
        <v>Tarjeta de crédito</v>
      </c>
      <c r="Y696">
        <f>IF(Sala[[#This Row],[Cobrada]]="Sí",Sala[[#This Row],[Propina]],0)</f>
        <v>18.23</v>
      </c>
      <c r="Z696">
        <f>(IF(Sala[[#This Row],[Cobrada]]="Sí",Sala[[#This Row],[Monto total]],0))+Sala[[#This Row],[Propina real]]</f>
        <v>134.22999999999999</v>
      </c>
    </row>
    <row r="697" spans="1:26" x14ac:dyDescent="0.25">
      <c r="A697">
        <v>2</v>
      </c>
      <c r="B697" t="s">
        <v>206</v>
      </c>
      <c r="C697">
        <v>6</v>
      </c>
      <c r="D697" s="2">
        <v>45023</v>
      </c>
      <c r="E697" s="3">
        <v>9.4444444444444442E-2</v>
      </c>
      <c r="F697" s="2">
        <v>45023</v>
      </c>
      <c r="G697" s="3">
        <v>0.25763888888888886</v>
      </c>
      <c r="H697" s="1" t="s">
        <v>11</v>
      </c>
      <c r="I697" t="s">
        <v>25</v>
      </c>
      <c r="J697" t="s">
        <v>601</v>
      </c>
      <c r="K697" s="9">
        <v>18.760000000000002</v>
      </c>
      <c r="L697" t="s">
        <v>28</v>
      </c>
      <c r="M697">
        <v>696</v>
      </c>
      <c r="N697" t="s">
        <v>593</v>
      </c>
      <c r="O697" s="3">
        <f>(Sala[[#This Row],[Hora de Salida]]-Sala[[#This Row],[Hora de llegada]])+IF(Sala[[#This Row],[Estado de la Mesa]]="Ocupada",(TEXT((15/(60*24)),"h:mm")),(TEXT(0,"h:mm")))</f>
        <v>0.17361111111111108</v>
      </c>
      <c r="P697" s="43">
        <f>(SUMIF(Cocina[Número de Orden],Sala[[#This Row],[Número de Orden]],Cocina[Tiempo de Preparación]))</f>
        <v>23</v>
      </c>
      <c r="Q697" s="5" t="str">
        <f>TEXT(((SUMIF(Cocina[Número de Orden],Sala[[#This Row],[Número de Orden]],Cocina[Tiempo de Preparación]))/(60*24)),"h:mm")</f>
        <v>0:23</v>
      </c>
      <c r="R697" s="3">
        <f>MAX((Sala[[#This Row],[Tiempo de permanencia]]-Sala[[#This Row],[Tiempo de preparación (h)]]),0)</f>
        <v>0.15763888888888886</v>
      </c>
      <c r="S697" s="8">
        <f>SUMIF(Cocina[Número de Orden],Sala[[#This Row],[Número de Orden]],Cocina[Ganancia bruta])</f>
        <v>46</v>
      </c>
      <c r="T697" s="8">
        <f>SUMIF(Cocina[Número de Orden],Sala[[#This Row],[Número de Orden]],Cocina[Costo Unitario])</f>
        <v>14</v>
      </c>
      <c r="U697" s="2">
        <f>Sala[[#This Row],[Fecha de Salida]]</f>
        <v>45023</v>
      </c>
      <c r="V697" s="7" t="str">
        <f>TEXT(Sala[[#This Row],[Fecha factura]],"dddd")</f>
        <v>viernes</v>
      </c>
      <c r="W697" t="str">
        <f>IF(Sala[[#This Row],[Tiempo de degustación]]&gt;0,"Sí","No")</f>
        <v>Sí</v>
      </c>
      <c r="X697" t="str">
        <f>IF(Sala[[#This Row],[Cobrada]]="Sí",Sala[[#This Row],[Método de Pago]],"Impago")</f>
        <v>Tarjeta de crédito</v>
      </c>
      <c r="Y697">
        <f>IF(Sala[[#This Row],[Cobrada]]="Sí",Sala[[#This Row],[Propina]],0)</f>
        <v>18.760000000000002</v>
      </c>
      <c r="Z697">
        <f>(IF(Sala[[#This Row],[Cobrada]]="Sí",Sala[[#This Row],[Monto total]],0))+Sala[[#This Row],[Propina real]]</f>
        <v>64.760000000000005</v>
      </c>
    </row>
    <row r="698" spans="1:26" x14ac:dyDescent="0.25">
      <c r="A698">
        <v>4</v>
      </c>
      <c r="B698" t="s">
        <v>560</v>
      </c>
      <c r="C698">
        <v>1</v>
      </c>
      <c r="D698" s="2">
        <v>45023</v>
      </c>
      <c r="E698" s="3">
        <v>0.15833333333333333</v>
      </c>
      <c r="F698" s="2">
        <v>45023</v>
      </c>
      <c r="G698" s="3">
        <v>0.27916666666666667</v>
      </c>
      <c r="H698" s="1" t="s">
        <v>16</v>
      </c>
      <c r="I698" t="s">
        <v>8</v>
      </c>
      <c r="J698" t="s">
        <v>601</v>
      </c>
      <c r="K698" s="9">
        <v>34.35</v>
      </c>
      <c r="L698" t="s">
        <v>9</v>
      </c>
      <c r="M698">
        <v>697</v>
      </c>
      <c r="N698" t="s">
        <v>34</v>
      </c>
      <c r="O698" s="3">
        <f>(Sala[[#This Row],[Hora de Salida]]-Sala[[#This Row],[Hora de llegada]])+IF(Sala[[#This Row],[Estado de la Mesa]]="Ocupada",(TEXT((15/(60*24)),"h:mm")),(TEXT(0,"h:mm")))</f>
        <v>0.12083333333333335</v>
      </c>
      <c r="P698" s="43">
        <f>(SUMIF(Cocina[Número de Orden],Sala[[#This Row],[Número de Orden]],Cocina[Tiempo de Preparación]))</f>
        <v>107</v>
      </c>
      <c r="Q698" s="5" t="str">
        <f>TEXT(((SUMIF(Cocina[Número de Orden],Sala[[#This Row],[Número de Orden]],Cocina[Tiempo de Preparación]))/(60*24)),"h:mm")</f>
        <v>1:47</v>
      </c>
      <c r="R698" s="3">
        <f>MAX((Sala[[#This Row],[Tiempo de permanencia]]-Sala[[#This Row],[Tiempo de preparación (h)]]),0)</f>
        <v>4.6527777777777793E-2</v>
      </c>
      <c r="S698" s="8">
        <f>SUMIF(Cocina[Número de Orden],Sala[[#This Row],[Número de Orden]],Cocina[Ganancia bruta])</f>
        <v>199</v>
      </c>
      <c r="T698" s="8">
        <f>SUMIF(Cocina[Número de Orden],Sala[[#This Row],[Número de Orden]],Cocina[Costo Unitario])</f>
        <v>68</v>
      </c>
      <c r="U698" s="2">
        <f>Sala[[#This Row],[Fecha de Salida]]</f>
        <v>45023</v>
      </c>
      <c r="V698" s="7" t="str">
        <f>TEXT(Sala[[#This Row],[Fecha factura]],"dddd")</f>
        <v>viernes</v>
      </c>
      <c r="W698" t="str">
        <f>IF(Sala[[#This Row],[Tiempo de degustación]]&gt;0,"Sí","No")</f>
        <v>Sí</v>
      </c>
      <c r="X698" t="str">
        <f>IF(Sala[[#This Row],[Cobrada]]="Sí",Sala[[#This Row],[Método de Pago]],"Impago")</f>
        <v>Tarjeta de crédito</v>
      </c>
      <c r="Y698">
        <f>IF(Sala[[#This Row],[Cobrada]]="Sí",Sala[[#This Row],[Propina]],0)</f>
        <v>34.35</v>
      </c>
      <c r="Z698">
        <f>(IF(Sala[[#This Row],[Cobrada]]="Sí",Sala[[#This Row],[Monto total]],0))+Sala[[#This Row],[Propina real]]</f>
        <v>233.35</v>
      </c>
    </row>
    <row r="699" spans="1:26" x14ac:dyDescent="0.25">
      <c r="A699">
        <v>19</v>
      </c>
      <c r="B699" t="s">
        <v>191</v>
      </c>
      <c r="C699">
        <v>4</v>
      </c>
      <c r="D699" s="2">
        <v>45023</v>
      </c>
      <c r="E699" s="3">
        <v>0.10416666666666667</v>
      </c>
      <c r="F699" s="2">
        <v>45023</v>
      </c>
      <c r="G699" s="3">
        <v>0.2673611111111111</v>
      </c>
      <c r="H699" s="1" t="s">
        <v>11</v>
      </c>
      <c r="I699" t="s">
        <v>25</v>
      </c>
      <c r="J699" t="s">
        <v>601</v>
      </c>
      <c r="K699" s="9">
        <v>39.89</v>
      </c>
      <c r="L699" t="s">
        <v>17</v>
      </c>
      <c r="M699">
        <v>698</v>
      </c>
      <c r="N699" t="s">
        <v>32</v>
      </c>
      <c r="O699" s="3">
        <f>(Sala[[#This Row],[Hora de Salida]]-Sala[[#This Row],[Hora de llegada]])+IF(Sala[[#This Row],[Estado de la Mesa]]="Ocupada",(TEXT((15/(60*24)),"h:mm")),(TEXT(0,"h:mm")))</f>
        <v>0.16319444444444442</v>
      </c>
      <c r="P699" s="43">
        <f>(SUMIF(Cocina[Número de Orden],Sala[[#This Row],[Número de Orden]],Cocina[Tiempo de Preparación]))</f>
        <v>101</v>
      </c>
      <c r="Q699" s="5" t="str">
        <f>TEXT(((SUMIF(Cocina[Número de Orden],Sala[[#This Row],[Número de Orden]],Cocina[Tiempo de Preparación]))/(60*24)),"h:mm")</f>
        <v>1:41</v>
      </c>
      <c r="R699" s="3">
        <f>MAX((Sala[[#This Row],[Tiempo de permanencia]]-Sala[[#This Row],[Tiempo de preparación (h)]]),0)</f>
        <v>9.305555555555553E-2</v>
      </c>
      <c r="S699" s="8">
        <f>SUMIF(Cocina[Número de Orden],Sala[[#This Row],[Número de Orden]],Cocina[Ganancia bruta])</f>
        <v>185</v>
      </c>
      <c r="T699" s="8">
        <f>SUMIF(Cocina[Número de Orden],Sala[[#This Row],[Número de Orden]],Cocina[Costo Unitario])</f>
        <v>58</v>
      </c>
      <c r="U699" s="2">
        <f>Sala[[#This Row],[Fecha de Salida]]</f>
        <v>45023</v>
      </c>
      <c r="V699" s="7" t="str">
        <f>TEXT(Sala[[#This Row],[Fecha factura]],"dddd")</f>
        <v>viernes</v>
      </c>
      <c r="W699" t="str">
        <f>IF(Sala[[#This Row],[Tiempo de degustación]]&gt;0,"Sí","No")</f>
        <v>Sí</v>
      </c>
      <c r="X699" t="str">
        <f>IF(Sala[[#This Row],[Cobrada]]="Sí",Sala[[#This Row],[Método de Pago]],"Impago")</f>
        <v>Tarjeta de crédito</v>
      </c>
      <c r="Y699">
        <f>IF(Sala[[#This Row],[Cobrada]]="Sí",Sala[[#This Row],[Propina]],0)</f>
        <v>39.89</v>
      </c>
      <c r="Z699">
        <f>(IF(Sala[[#This Row],[Cobrada]]="Sí",Sala[[#This Row],[Monto total]],0))+Sala[[#This Row],[Propina real]]</f>
        <v>224.89</v>
      </c>
    </row>
    <row r="700" spans="1:26" x14ac:dyDescent="0.25">
      <c r="A700">
        <v>8</v>
      </c>
      <c r="B700" t="s">
        <v>420</v>
      </c>
      <c r="C700">
        <v>6</v>
      </c>
      <c r="D700" s="2">
        <v>45023</v>
      </c>
      <c r="E700" s="3">
        <v>6.5972222222222224E-2</v>
      </c>
      <c r="F700" s="2">
        <v>45023</v>
      </c>
      <c r="G700" s="3">
        <v>0.12222222222222222</v>
      </c>
      <c r="H700" s="1" t="s">
        <v>16</v>
      </c>
      <c r="I700" t="s">
        <v>8</v>
      </c>
      <c r="J700" t="s">
        <v>601</v>
      </c>
      <c r="K700" s="9">
        <v>38.44</v>
      </c>
      <c r="L700" t="s">
        <v>9</v>
      </c>
      <c r="M700">
        <v>699</v>
      </c>
      <c r="N700" t="s">
        <v>594</v>
      </c>
      <c r="O700" s="3">
        <f>(Sala[[#This Row],[Hora de Salida]]-Sala[[#This Row],[Hora de llegada]])+IF(Sala[[#This Row],[Estado de la Mesa]]="Ocupada",(TEXT((15/(60*24)),"h:mm")),(TEXT(0,"h:mm")))</f>
        <v>5.6249999999999994E-2</v>
      </c>
      <c r="P700" s="43">
        <f>(SUMIF(Cocina[Número de Orden],Sala[[#This Row],[Número de Orden]],Cocina[Tiempo de Preparación]))</f>
        <v>11</v>
      </c>
      <c r="Q700" s="5" t="str">
        <f>TEXT(((SUMIF(Cocina[Número de Orden],Sala[[#This Row],[Número de Orden]],Cocina[Tiempo de Preparación]))/(60*24)),"h:mm")</f>
        <v>0:11</v>
      </c>
      <c r="R700" s="3">
        <f>MAX((Sala[[#This Row],[Tiempo de permanencia]]-Sala[[#This Row],[Tiempo de preparación (h)]]),0)</f>
        <v>4.8611111111111105E-2</v>
      </c>
      <c r="S700" s="8">
        <f>SUMIF(Cocina[Número de Orden],Sala[[#This Row],[Número de Orden]],Cocina[Ganancia bruta])</f>
        <v>58</v>
      </c>
      <c r="T700" s="8">
        <f>SUMIF(Cocina[Número de Orden],Sala[[#This Row],[Número de Orden]],Cocina[Costo Unitario])</f>
        <v>17</v>
      </c>
      <c r="U700" s="2">
        <f>Sala[[#This Row],[Fecha de Salida]]</f>
        <v>45023</v>
      </c>
      <c r="V700" s="7" t="str">
        <f>TEXT(Sala[[#This Row],[Fecha factura]],"dddd")</f>
        <v>viernes</v>
      </c>
      <c r="W700" t="str">
        <f>IF(Sala[[#This Row],[Tiempo de degustación]]&gt;0,"Sí","No")</f>
        <v>Sí</v>
      </c>
      <c r="X700" t="str">
        <f>IF(Sala[[#This Row],[Cobrada]]="Sí",Sala[[#This Row],[Método de Pago]],"Impago")</f>
        <v>Tarjeta de crédito</v>
      </c>
      <c r="Y700">
        <f>IF(Sala[[#This Row],[Cobrada]]="Sí",Sala[[#This Row],[Propina]],0)</f>
        <v>38.44</v>
      </c>
      <c r="Z700">
        <f>(IF(Sala[[#This Row],[Cobrada]]="Sí",Sala[[#This Row],[Monto total]],0))+Sala[[#This Row],[Propina real]]</f>
        <v>96.44</v>
      </c>
    </row>
    <row r="701" spans="1:26" x14ac:dyDescent="0.25">
      <c r="A701">
        <v>8</v>
      </c>
      <c r="B701" t="s">
        <v>561</v>
      </c>
      <c r="C701">
        <v>2</v>
      </c>
      <c r="D701" s="2">
        <v>45023</v>
      </c>
      <c r="E701" s="3">
        <v>1.5972222222222221E-2</v>
      </c>
      <c r="F701" s="2">
        <v>45023</v>
      </c>
      <c r="G701" s="3">
        <v>0.11805555555555555</v>
      </c>
      <c r="H701" s="1" t="s">
        <v>16</v>
      </c>
      <c r="I701" t="s">
        <v>8</v>
      </c>
      <c r="J701" t="s">
        <v>601</v>
      </c>
      <c r="K701" s="9">
        <v>21.66</v>
      </c>
      <c r="L701" t="s">
        <v>9</v>
      </c>
      <c r="M701">
        <v>700</v>
      </c>
      <c r="N701" t="s">
        <v>59</v>
      </c>
      <c r="O701" s="3">
        <f>(Sala[[#This Row],[Hora de Salida]]-Sala[[#This Row],[Hora de llegada]])+IF(Sala[[#This Row],[Estado de la Mesa]]="Ocupada",(TEXT((15/(60*24)),"h:mm")),(TEXT(0,"h:mm")))</f>
        <v>0.10208333333333333</v>
      </c>
      <c r="P701" s="43">
        <f>(SUMIF(Cocina[Número de Orden],Sala[[#This Row],[Número de Orden]],Cocina[Tiempo de Preparación]))</f>
        <v>86</v>
      </c>
      <c r="Q701" s="5" t="str">
        <f>TEXT(((SUMIF(Cocina[Número de Orden],Sala[[#This Row],[Número de Orden]],Cocina[Tiempo de Preparación]))/(60*24)),"h:mm")</f>
        <v>1:26</v>
      </c>
      <c r="R701" s="3">
        <f>MAX((Sala[[#This Row],[Tiempo de permanencia]]-Sala[[#This Row],[Tiempo de preparación (h)]]),0)</f>
        <v>4.2361111111111106E-2</v>
      </c>
      <c r="S701" s="8">
        <f>SUMIF(Cocina[Número de Orden],Sala[[#This Row],[Número de Orden]],Cocina[Ganancia bruta])</f>
        <v>234</v>
      </c>
      <c r="T701" s="8">
        <f>SUMIF(Cocina[Número de Orden],Sala[[#This Row],[Número de Orden]],Cocina[Costo Unitario])</f>
        <v>51</v>
      </c>
      <c r="U701" s="2">
        <f>Sala[[#This Row],[Fecha de Salida]]</f>
        <v>45023</v>
      </c>
      <c r="V701" s="7" t="str">
        <f>TEXT(Sala[[#This Row],[Fecha factura]],"dddd")</f>
        <v>viernes</v>
      </c>
      <c r="W701" t="str">
        <f>IF(Sala[[#This Row],[Tiempo de degustación]]&gt;0,"Sí","No")</f>
        <v>Sí</v>
      </c>
      <c r="X701" t="str">
        <f>IF(Sala[[#This Row],[Cobrada]]="Sí",Sala[[#This Row],[Método de Pago]],"Impago")</f>
        <v>Tarjeta de crédito</v>
      </c>
      <c r="Y701">
        <f>IF(Sala[[#This Row],[Cobrada]]="Sí",Sala[[#This Row],[Propina]],0)</f>
        <v>21.66</v>
      </c>
      <c r="Z701">
        <f>(IF(Sala[[#This Row],[Cobrada]]="Sí",Sala[[#This Row],[Monto total]],0))+Sala[[#This Row],[Propina real]]</f>
        <v>255.66</v>
      </c>
    </row>
    <row r="702" spans="1:26" x14ac:dyDescent="0.25">
      <c r="A702">
        <v>19</v>
      </c>
      <c r="B702" t="s">
        <v>562</v>
      </c>
      <c r="C702">
        <v>5</v>
      </c>
      <c r="D702" s="2">
        <v>45023</v>
      </c>
      <c r="E702" s="3">
        <v>0.1388888888888889</v>
      </c>
      <c r="F702" s="2">
        <v>45023</v>
      </c>
      <c r="G702" s="3">
        <v>0.23958333333333334</v>
      </c>
      <c r="H702" s="1" t="s">
        <v>23</v>
      </c>
      <c r="I702" t="s">
        <v>8</v>
      </c>
      <c r="J702" t="s">
        <v>601</v>
      </c>
      <c r="K702" s="9">
        <v>39.83</v>
      </c>
      <c r="L702" t="s">
        <v>17</v>
      </c>
      <c r="M702">
        <v>701</v>
      </c>
      <c r="N702" t="s">
        <v>32</v>
      </c>
      <c r="O702" s="3">
        <f>(Sala[[#This Row],[Hora de Salida]]-Sala[[#This Row],[Hora de llegada]])+IF(Sala[[#This Row],[Estado de la Mesa]]="Ocupada",(TEXT((15/(60*24)),"h:mm")),(TEXT(0,"h:mm")))</f>
        <v>0.10069444444444445</v>
      </c>
      <c r="P702" s="43">
        <f>(SUMIF(Cocina[Número de Orden],Sala[[#This Row],[Número de Orden]],Cocina[Tiempo de Preparación]))</f>
        <v>97</v>
      </c>
      <c r="Q702" s="5" t="str">
        <f>TEXT(((SUMIF(Cocina[Número de Orden],Sala[[#This Row],[Número de Orden]],Cocina[Tiempo de Preparación]))/(60*24)),"h:mm")</f>
        <v>1:37</v>
      </c>
      <c r="R702" s="3">
        <f>MAX((Sala[[#This Row],[Tiempo de permanencia]]-Sala[[#This Row],[Tiempo de preparación (h)]]),0)</f>
        <v>3.333333333333334E-2</v>
      </c>
      <c r="S702" s="8">
        <f>SUMIF(Cocina[Número de Orden],Sala[[#This Row],[Número de Orden]],Cocina[Ganancia bruta])</f>
        <v>102</v>
      </c>
      <c r="T702" s="8">
        <f>SUMIF(Cocina[Número de Orden],Sala[[#This Row],[Número de Orden]],Cocina[Costo Unitario])</f>
        <v>30</v>
      </c>
      <c r="U702" s="2">
        <f>Sala[[#This Row],[Fecha de Salida]]</f>
        <v>45023</v>
      </c>
      <c r="V702" s="7" t="str">
        <f>TEXT(Sala[[#This Row],[Fecha factura]],"dddd")</f>
        <v>viernes</v>
      </c>
      <c r="W702" t="str">
        <f>IF(Sala[[#This Row],[Tiempo de degustación]]&gt;0,"Sí","No")</f>
        <v>Sí</v>
      </c>
      <c r="X702" t="str">
        <f>IF(Sala[[#This Row],[Cobrada]]="Sí",Sala[[#This Row],[Método de Pago]],"Impago")</f>
        <v>Tarjeta de crédito</v>
      </c>
      <c r="Y702">
        <f>IF(Sala[[#This Row],[Cobrada]]="Sí",Sala[[#This Row],[Propina]],0)</f>
        <v>39.83</v>
      </c>
      <c r="Z702">
        <f>(IF(Sala[[#This Row],[Cobrada]]="Sí",Sala[[#This Row],[Monto total]],0))+Sala[[#This Row],[Propina real]]</f>
        <v>141.82999999999998</v>
      </c>
    </row>
    <row r="703" spans="1:26" x14ac:dyDescent="0.25">
      <c r="A703">
        <v>13</v>
      </c>
      <c r="B703" t="s">
        <v>563</v>
      </c>
      <c r="C703">
        <v>2</v>
      </c>
      <c r="D703" s="2">
        <v>45023</v>
      </c>
      <c r="E703" s="3">
        <v>0.10416666666666667</v>
      </c>
      <c r="F703" s="2">
        <v>45023</v>
      </c>
      <c r="G703" s="3">
        <v>0.21875</v>
      </c>
      <c r="H703" s="1" t="s">
        <v>7</v>
      </c>
      <c r="I703" t="s">
        <v>25</v>
      </c>
      <c r="J703" t="s">
        <v>601</v>
      </c>
      <c r="K703" s="9">
        <v>47.07</v>
      </c>
      <c r="L703" t="s">
        <v>17</v>
      </c>
      <c r="M703">
        <v>702</v>
      </c>
      <c r="N703" t="s">
        <v>18</v>
      </c>
      <c r="O703" s="3">
        <f>(Sala[[#This Row],[Hora de Salida]]-Sala[[#This Row],[Hora de llegada]])+IF(Sala[[#This Row],[Estado de la Mesa]]="Ocupada",(TEXT((15/(60*24)),"h:mm")),(TEXT(0,"h:mm")))</f>
        <v>0.11458333333333333</v>
      </c>
      <c r="P703" s="43">
        <f>(SUMIF(Cocina[Número de Orden],Sala[[#This Row],[Número de Orden]],Cocina[Tiempo de Preparación]))</f>
        <v>155</v>
      </c>
      <c r="Q703" s="5" t="str">
        <f>TEXT(((SUMIF(Cocina[Número de Orden],Sala[[#This Row],[Número de Orden]],Cocina[Tiempo de Preparación]))/(60*24)),"h:mm")</f>
        <v>2:35</v>
      </c>
      <c r="R703" s="3">
        <f>MAX((Sala[[#This Row],[Tiempo de permanencia]]-Sala[[#This Row],[Tiempo de preparación (h)]]),0)</f>
        <v>6.9444444444444337E-3</v>
      </c>
      <c r="S703" s="8">
        <f>SUMIF(Cocina[Número de Orden],Sala[[#This Row],[Número de Orden]],Cocina[Ganancia bruta])</f>
        <v>195</v>
      </c>
      <c r="T703" s="8">
        <f>SUMIF(Cocina[Número de Orden],Sala[[#This Row],[Número de Orden]],Cocina[Costo Unitario])</f>
        <v>55</v>
      </c>
      <c r="U703" s="2">
        <f>Sala[[#This Row],[Fecha de Salida]]</f>
        <v>45023</v>
      </c>
      <c r="V703" s="7" t="str">
        <f>TEXT(Sala[[#This Row],[Fecha factura]],"dddd")</f>
        <v>viernes</v>
      </c>
      <c r="W703" t="str">
        <f>IF(Sala[[#This Row],[Tiempo de degustación]]&gt;0,"Sí","No")</f>
        <v>Sí</v>
      </c>
      <c r="X703" t="str">
        <f>IF(Sala[[#This Row],[Cobrada]]="Sí",Sala[[#This Row],[Método de Pago]],"Impago")</f>
        <v>Tarjeta de crédito</v>
      </c>
      <c r="Y703">
        <f>IF(Sala[[#This Row],[Cobrada]]="Sí",Sala[[#This Row],[Propina]],0)</f>
        <v>47.07</v>
      </c>
      <c r="Z703">
        <f>(IF(Sala[[#This Row],[Cobrada]]="Sí",Sala[[#This Row],[Monto total]],0))+Sala[[#This Row],[Propina real]]</f>
        <v>242.07</v>
      </c>
    </row>
    <row r="704" spans="1:26" x14ac:dyDescent="0.25">
      <c r="A704">
        <v>9</v>
      </c>
      <c r="B704" t="s">
        <v>564</v>
      </c>
      <c r="C704">
        <v>5</v>
      </c>
      <c r="D704" s="2">
        <v>45023</v>
      </c>
      <c r="E704" s="3">
        <v>1.1805555555555555E-2</v>
      </c>
      <c r="F704" s="2">
        <v>45023</v>
      </c>
      <c r="G704" s="3">
        <v>9.6527777777777782E-2</v>
      </c>
      <c r="H704" s="1" t="s">
        <v>11</v>
      </c>
      <c r="I704" t="s">
        <v>8</v>
      </c>
      <c r="J704" t="s">
        <v>601</v>
      </c>
      <c r="K704" s="9">
        <v>22.24</v>
      </c>
      <c r="L704" t="s">
        <v>28</v>
      </c>
      <c r="M704">
        <v>703</v>
      </c>
      <c r="N704" t="s">
        <v>29</v>
      </c>
      <c r="O704" s="3">
        <f>(Sala[[#This Row],[Hora de Salida]]-Sala[[#This Row],[Hora de llegada]])+IF(Sala[[#This Row],[Estado de la Mesa]]="Ocupada",(TEXT((15/(60*24)),"h:mm")),(TEXT(0,"h:mm")))</f>
        <v>9.5138888888888898E-2</v>
      </c>
      <c r="P704" s="43">
        <f>(SUMIF(Cocina[Número de Orden],Sala[[#This Row],[Número de Orden]],Cocina[Tiempo de Preparación]))</f>
        <v>29</v>
      </c>
      <c r="Q704" s="5" t="str">
        <f>TEXT(((SUMIF(Cocina[Número de Orden],Sala[[#This Row],[Número de Orden]],Cocina[Tiempo de Preparación]))/(60*24)),"h:mm")</f>
        <v>0:29</v>
      </c>
      <c r="R704" s="3">
        <f>MAX((Sala[[#This Row],[Tiempo de permanencia]]-Sala[[#This Row],[Tiempo de preparación (h)]]),0)</f>
        <v>7.5000000000000011E-2</v>
      </c>
      <c r="S704" s="8">
        <f>SUMIF(Cocina[Número de Orden],Sala[[#This Row],[Número de Orden]],Cocina[Ganancia bruta])</f>
        <v>63</v>
      </c>
      <c r="T704" s="8">
        <f>SUMIF(Cocina[Número de Orden],Sala[[#This Row],[Número de Orden]],Cocina[Costo Unitario])</f>
        <v>13</v>
      </c>
      <c r="U704" s="2">
        <f>Sala[[#This Row],[Fecha de Salida]]</f>
        <v>45023</v>
      </c>
      <c r="V704" s="7" t="str">
        <f>TEXT(Sala[[#This Row],[Fecha factura]],"dddd")</f>
        <v>viernes</v>
      </c>
      <c r="W704" t="str">
        <f>IF(Sala[[#This Row],[Tiempo de degustación]]&gt;0,"Sí","No")</f>
        <v>Sí</v>
      </c>
      <c r="X704" t="str">
        <f>IF(Sala[[#This Row],[Cobrada]]="Sí",Sala[[#This Row],[Método de Pago]],"Impago")</f>
        <v>Tarjeta de crédito</v>
      </c>
      <c r="Y704">
        <f>IF(Sala[[#This Row],[Cobrada]]="Sí",Sala[[#This Row],[Propina]],0)</f>
        <v>22.24</v>
      </c>
      <c r="Z704">
        <f>(IF(Sala[[#This Row],[Cobrada]]="Sí",Sala[[#This Row],[Monto total]],0))+Sala[[#This Row],[Propina real]]</f>
        <v>85.24</v>
      </c>
    </row>
    <row r="705" spans="1:26" x14ac:dyDescent="0.25">
      <c r="A705">
        <v>13</v>
      </c>
      <c r="B705" t="s">
        <v>565</v>
      </c>
      <c r="C705">
        <v>6</v>
      </c>
      <c r="D705" s="2">
        <v>45023</v>
      </c>
      <c r="E705" s="3">
        <v>6.9444444444444448E-2</v>
      </c>
      <c r="F705" s="2">
        <v>45023</v>
      </c>
      <c r="G705" s="3">
        <v>0.18680555555555556</v>
      </c>
      <c r="H705" s="1" t="s">
        <v>16</v>
      </c>
      <c r="I705" t="s">
        <v>25</v>
      </c>
      <c r="J705" t="s">
        <v>601</v>
      </c>
      <c r="K705" s="9">
        <v>33.29</v>
      </c>
      <c r="L705" t="s">
        <v>9</v>
      </c>
      <c r="M705">
        <v>704</v>
      </c>
      <c r="N705" t="s">
        <v>32</v>
      </c>
      <c r="O705" s="3">
        <f>(Sala[[#This Row],[Hora de Salida]]-Sala[[#This Row],[Hora de llegada]])+IF(Sala[[#This Row],[Estado de la Mesa]]="Ocupada",(TEXT((15/(60*24)),"h:mm")),(TEXT(0,"h:mm")))</f>
        <v>0.11736111111111111</v>
      </c>
      <c r="P705" s="43">
        <f>(SUMIF(Cocina[Número de Orden],Sala[[#This Row],[Número de Orden]],Cocina[Tiempo de Preparación]))</f>
        <v>38</v>
      </c>
      <c r="Q705" s="5" t="str">
        <f>TEXT(((SUMIF(Cocina[Número de Orden],Sala[[#This Row],[Número de Orden]],Cocina[Tiempo de Preparación]))/(60*24)),"h:mm")</f>
        <v>0:38</v>
      </c>
      <c r="R705" s="3">
        <f>MAX((Sala[[#This Row],[Tiempo de permanencia]]-Sala[[#This Row],[Tiempo de preparación (h)]]),0)</f>
        <v>9.0972222222222218E-2</v>
      </c>
      <c r="S705" s="8">
        <f>SUMIF(Cocina[Número de Orden],Sala[[#This Row],[Número de Orden]],Cocina[Ganancia bruta])</f>
        <v>18</v>
      </c>
      <c r="T705" s="8">
        <f>SUMIF(Cocina[Número de Orden],Sala[[#This Row],[Número de Orden]],Cocina[Costo Unitario])</f>
        <v>10</v>
      </c>
      <c r="U705" s="2">
        <f>Sala[[#This Row],[Fecha de Salida]]</f>
        <v>45023</v>
      </c>
      <c r="V705" s="7" t="str">
        <f>TEXT(Sala[[#This Row],[Fecha factura]],"dddd")</f>
        <v>viernes</v>
      </c>
      <c r="W705" t="str">
        <f>IF(Sala[[#This Row],[Tiempo de degustación]]&gt;0,"Sí","No")</f>
        <v>Sí</v>
      </c>
      <c r="X705" t="str">
        <f>IF(Sala[[#This Row],[Cobrada]]="Sí",Sala[[#This Row],[Método de Pago]],"Impago")</f>
        <v>Tarjeta de crédito</v>
      </c>
      <c r="Y705">
        <f>IF(Sala[[#This Row],[Cobrada]]="Sí",Sala[[#This Row],[Propina]],0)</f>
        <v>33.29</v>
      </c>
      <c r="Z705">
        <f>(IF(Sala[[#This Row],[Cobrada]]="Sí",Sala[[#This Row],[Monto total]],0))+Sala[[#This Row],[Propina real]]</f>
        <v>51.29</v>
      </c>
    </row>
    <row r="706" spans="1:26" x14ac:dyDescent="0.25">
      <c r="A706">
        <v>12</v>
      </c>
      <c r="B706" t="s">
        <v>501</v>
      </c>
      <c r="C706">
        <v>3</v>
      </c>
      <c r="D706" s="2">
        <v>45023</v>
      </c>
      <c r="E706" s="3">
        <v>7.4999999999999997E-2</v>
      </c>
      <c r="F706" s="2">
        <v>45023</v>
      </c>
      <c r="G706" s="3">
        <v>0.12013888888888889</v>
      </c>
      <c r="H706" s="1" t="s">
        <v>16</v>
      </c>
      <c r="I706" t="s">
        <v>8</v>
      </c>
      <c r="J706" t="s">
        <v>601</v>
      </c>
      <c r="K706" s="9">
        <v>43.07</v>
      </c>
      <c r="L706" t="s">
        <v>17</v>
      </c>
      <c r="M706">
        <v>705</v>
      </c>
      <c r="N706" t="s">
        <v>29</v>
      </c>
      <c r="O706" s="3">
        <f>(Sala[[#This Row],[Hora de Salida]]-Sala[[#This Row],[Hora de llegada]])+IF(Sala[[#This Row],[Estado de la Mesa]]="Ocupada",(TEXT((15/(60*24)),"h:mm")),(TEXT(0,"h:mm")))</f>
        <v>4.5138888888888895E-2</v>
      </c>
      <c r="P706" s="43">
        <f>(SUMIF(Cocina[Número de Orden],Sala[[#This Row],[Número de Orden]],Cocina[Tiempo de Preparación]))</f>
        <v>33</v>
      </c>
      <c r="Q706" s="5" t="str">
        <f>TEXT(((SUMIF(Cocina[Número de Orden],Sala[[#This Row],[Número de Orden]],Cocina[Tiempo de Preparación]))/(60*24)),"h:mm")</f>
        <v>0:33</v>
      </c>
      <c r="R706" s="3">
        <f>MAX((Sala[[#This Row],[Tiempo de permanencia]]-Sala[[#This Row],[Tiempo de preparación (h)]]),0)</f>
        <v>2.222222222222223E-2</v>
      </c>
      <c r="S706" s="8">
        <f>SUMIF(Cocina[Número de Orden],Sala[[#This Row],[Número de Orden]],Cocina[Ganancia bruta])</f>
        <v>112</v>
      </c>
      <c r="T706" s="8">
        <f>SUMIF(Cocina[Número de Orden],Sala[[#This Row],[Número de Orden]],Cocina[Costo Unitario])</f>
        <v>27</v>
      </c>
      <c r="U706" s="2">
        <f>Sala[[#This Row],[Fecha de Salida]]</f>
        <v>45023</v>
      </c>
      <c r="V706" s="7" t="str">
        <f>TEXT(Sala[[#This Row],[Fecha factura]],"dddd")</f>
        <v>viernes</v>
      </c>
      <c r="W706" t="str">
        <f>IF(Sala[[#This Row],[Tiempo de degustación]]&gt;0,"Sí","No")</f>
        <v>Sí</v>
      </c>
      <c r="X706" t="str">
        <f>IF(Sala[[#This Row],[Cobrada]]="Sí",Sala[[#This Row],[Método de Pago]],"Impago")</f>
        <v>Tarjeta de crédito</v>
      </c>
      <c r="Y706">
        <f>IF(Sala[[#This Row],[Cobrada]]="Sí",Sala[[#This Row],[Propina]],0)</f>
        <v>43.07</v>
      </c>
      <c r="Z706">
        <f>(IF(Sala[[#This Row],[Cobrada]]="Sí",Sala[[#This Row],[Monto total]],0))+Sala[[#This Row],[Propina real]]</f>
        <v>155.07</v>
      </c>
    </row>
    <row r="707" spans="1:26" x14ac:dyDescent="0.25">
      <c r="A707">
        <v>20</v>
      </c>
      <c r="B707" t="s">
        <v>566</v>
      </c>
      <c r="C707">
        <v>6</v>
      </c>
      <c r="D707" s="2">
        <v>45023</v>
      </c>
      <c r="E707" s="3">
        <v>5.1388888888888887E-2</v>
      </c>
      <c r="F707" s="2">
        <v>45023</v>
      </c>
      <c r="G707" s="3">
        <v>0.20416666666666666</v>
      </c>
      <c r="H707" s="1" t="s">
        <v>11</v>
      </c>
      <c r="I707" t="s">
        <v>8</v>
      </c>
      <c r="J707" t="s">
        <v>601</v>
      </c>
      <c r="K707" s="9">
        <v>44.45</v>
      </c>
      <c r="L707" t="s">
        <v>28</v>
      </c>
      <c r="M707">
        <v>706</v>
      </c>
      <c r="N707" t="s">
        <v>59</v>
      </c>
      <c r="O707" s="3">
        <f>(Sala[[#This Row],[Hora de Salida]]-Sala[[#This Row],[Hora de llegada]])+IF(Sala[[#This Row],[Estado de la Mesa]]="Ocupada",(TEXT((15/(60*24)),"h:mm")),(TEXT(0,"h:mm")))</f>
        <v>0.16319444444444445</v>
      </c>
      <c r="P707" s="43">
        <f>(SUMIF(Cocina[Número de Orden],Sala[[#This Row],[Número de Orden]],Cocina[Tiempo de Preparación]))</f>
        <v>33</v>
      </c>
      <c r="Q707" s="5" t="str">
        <f>TEXT(((SUMIF(Cocina[Número de Orden],Sala[[#This Row],[Número de Orden]],Cocina[Tiempo de Preparación]))/(60*24)),"h:mm")</f>
        <v>0:33</v>
      </c>
      <c r="R707" s="3">
        <f>MAX((Sala[[#This Row],[Tiempo de permanencia]]-Sala[[#This Row],[Tiempo de preparación (h)]]),0)</f>
        <v>0.14027777777777778</v>
      </c>
      <c r="S707" s="8">
        <f>SUMIF(Cocina[Número de Orden],Sala[[#This Row],[Número de Orden]],Cocina[Ganancia bruta])</f>
        <v>54</v>
      </c>
      <c r="T707" s="8">
        <f>SUMIF(Cocina[Número de Orden],Sala[[#This Row],[Número de Orden]],Cocina[Costo Unitario])</f>
        <v>10</v>
      </c>
      <c r="U707" s="2">
        <f>Sala[[#This Row],[Fecha de Salida]]</f>
        <v>45023</v>
      </c>
      <c r="V707" s="7" t="str">
        <f>TEXT(Sala[[#This Row],[Fecha factura]],"dddd")</f>
        <v>viernes</v>
      </c>
      <c r="W707" t="str">
        <f>IF(Sala[[#This Row],[Tiempo de degustación]]&gt;0,"Sí","No")</f>
        <v>Sí</v>
      </c>
      <c r="X707" t="str">
        <f>IF(Sala[[#This Row],[Cobrada]]="Sí",Sala[[#This Row],[Método de Pago]],"Impago")</f>
        <v>Tarjeta de crédito</v>
      </c>
      <c r="Y707">
        <f>IF(Sala[[#This Row],[Cobrada]]="Sí",Sala[[#This Row],[Propina]],0)</f>
        <v>44.45</v>
      </c>
      <c r="Z707">
        <f>(IF(Sala[[#This Row],[Cobrada]]="Sí",Sala[[#This Row],[Monto total]],0))+Sala[[#This Row],[Propina real]]</f>
        <v>98.45</v>
      </c>
    </row>
    <row r="708" spans="1:26" x14ac:dyDescent="0.25">
      <c r="A708">
        <v>15</v>
      </c>
      <c r="B708" t="s">
        <v>567</v>
      </c>
      <c r="C708">
        <v>1</v>
      </c>
      <c r="D708" s="2">
        <v>45023</v>
      </c>
      <c r="E708" s="3">
        <v>0.12847222222222221</v>
      </c>
      <c r="F708" s="2">
        <v>45023</v>
      </c>
      <c r="G708" s="3">
        <v>0.22430555555555556</v>
      </c>
      <c r="H708" s="1" t="s">
        <v>16</v>
      </c>
      <c r="I708" t="s">
        <v>12</v>
      </c>
      <c r="J708" t="s">
        <v>601</v>
      </c>
      <c r="K708" s="9">
        <v>40.39</v>
      </c>
      <c r="L708" t="s">
        <v>9</v>
      </c>
      <c r="M708">
        <v>707</v>
      </c>
      <c r="N708" t="s">
        <v>34</v>
      </c>
      <c r="O708" s="3">
        <f>(Sala[[#This Row],[Hora de Salida]]-Sala[[#This Row],[Hora de llegada]])+IF(Sala[[#This Row],[Estado de la Mesa]]="Ocupada",(TEXT((15/(60*24)),"h:mm")),(TEXT(0,"h:mm")))</f>
        <v>9.5833333333333354E-2</v>
      </c>
      <c r="P708" s="43">
        <f>(SUMIF(Cocina[Número de Orden],Sala[[#This Row],[Número de Orden]],Cocina[Tiempo de Preparación]))</f>
        <v>137</v>
      </c>
      <c r="Q708" s="5" t="str">
        <f>TEXT(((SUMIF(Cocina[Número de Orden],Sala[[#This Row],[Número de Orden]],Cocina[Tiempo de Preparación]))/(60*24)),"h:mm")</f>
        <v>2:17</v>
      </c>
      <c r="R708" s="3">
        <f>MAX((Sala[[#This Row],[Tiempo de permanencia]]-Sala[[#This Row],[Tiempo de preparación (h)]]),0)</f>
        <v>6.9444444444446973E-4</v>
      </c>
      <c r="S708" s="8">
        <f>SUMIF(Cocina[Número de Orden],Sala[[#This Row],[Número de Orden]],Cocina[Ganancia bruta])</f>
        <v>185</v>
      </c>
      <c r="T708" s="8">
        <f>SUMIF(Cocina[Número de Orden],Sala[[#This Row],[Número de Orden]],Cocina[Costo Unitario])</f>
        <v>72</v>
      </c>
      <c r="U708" s="2">
        <f>Sala[[#This Row],[Fecha de Salida]]</f>
        <v>45023</v>
      </c>
      <c r="V708" s="7" t="str">
        <f>TEXT(Sala[[#This Row],[Fecha factura]],"dddd")</f>
        <v>viernes</v>
      </c>
      <c r="W708" t="str">
        <f>IF(Sala[[#This Row],[Tiempo de degustación]]&gt;0,"Sí","No")</f>
        <v>Sí</v>
      </c>
      <c r="X708" t="str">
        <f>IF(Sala[[#This Row],[Cobrada]]="Sí",Sala[[#This Row],[Método de Pago]],"Impago")</f>
        <v>Tarjeta de crédito</v>
      </c>
      <c r="Y708">
        <f>IF(Sala[[#This Row],[Cobrada]]="Sí",Sala[[#This Row],[Propina]],0)</f>
        <v>40.39</v>
      </c>
      <c r="Z708">
        <f>(IF(Sala[[#This Row],[Cobrada]]="Sí",Sala[[#This Row],[Monto total]],0))+Sala[[#This Row],[Propina real]]</f>
        <v>225.39</v>
      </c>
    </row>
    <row r="709" spans="1:26" x14ac:dyDescent="0.25">
      <c r="A709">
        <v>5</v>
      </c>
      <c r="B709" t="s">
        <v>568</v>
      </c>
      <c r="C709">
        <v>2</v>
      </c>
      <c r="D709" s="2">
        <v>45023</v>
      </c>
      <c r="E709" s="3">
        <v>0.15</v>
      </c>
      <c r="F709" s="2">
        <v>45023</v>
      </c>
      <c r="G709" s="3">
        <v>0.30833333333333335</v>
      </c>
      <c r="H709" s="1" t="s">
        <v>7</v>
      </c>
      <c r="I709" t="s">
        <v>25</v>
      </c>
      <c r="J709" t="s">
        <v>601</v>
      </c>
      <c r="K709" s="9">
        <v>41.8</v>
      </c>
      <c r="L709" t="s">
        <v>28</v>
      </c>
      <c r="M709">
        <v>708</v>
      </c>
      <c r="N709" t="s">
        <v>594</v>
      </c>
      <c r="O709" s="3">
        <f>(Sala[[#This Row],[Hora de Salida]]-Sala[[#This Row],[Hora de llegada]])+IF(Sala[[#This Row],[Estado de la Mesa]]="Ocupada",(TEXT((15/(60*24)),"h:mm")),(TEXT(0,"h:mm")))</f>
        <v>0.16875000000000001</v>
      </c>
      <c r="P709" s="43">
        <f>(SUMIF(Cocina[Número de Orden],Sala[[#This Row],[Número de Orden]],Cocina[Tiempo de Preparación]))</f>
        <v>24</v>
      </c>
      <c r="Q709" s="5" t="str">
        <f>TEXT(((SUMIF(Cocina[Número de Orden],Sala[[#This Row],[Número de Orden]],Cocina[Tiempo de Preparación]))/(60*24)),"h:mm")</f>
        <v>0:24</v>
      </c>
      <c r="R709" s="3">
        <f>MAX((Sala[[#This Row],[Tiempo de permanencia]]-Sala[[#This Row],[Tiempo de preparación (h)]]),0)</f>
        <v>0.15208333333333335</v>
      </c>
      <c r="S709" s="8">
        <f>SUMIF(Cocina[Número de Orden],Sala[[#This Row],[Número de Orden]],Cocina[Ganancia bruta])</f>
        <v>54</v>
      </c>
      <c r="T709" s="8">
        <f>SUMIF(Cocina[Número de Orden],Sala[[#This Row],[Número de Orden]],Cocina[Costo Unitario])</f>
        <v>16</v>
      </c>
      <c r="U709" s="2">
        <f>Sala[[#This Row],[Fecha de Salida]]</f>
        <v>45023</v>
      </c>
      <c r="V709" s="7" t="str">
        <f>TEXT(Sala[[#This Row],[Fecha factura]],"dddd")</f>
        <v>viernes</v>
      </c>
      <c r="W709" t="str">
        <f>IF(Sala[[#This Row],[Tiempo de degustación]]&gt;0,"Sí","No")</f>
        <v>Sí</v>
      </c>
      <c r="X709" t="str">
        <f>IF(Sala[[#This Row],[Cobrada]]="Sí",Sala[[#This Row],[Método de Pago]],"Impago")</f>
        <v>Tarjeta de crédito</v>
      </c>
      <c r="Y709">
        <f>IF(Sala[[#This Row],[Cobrada]]="Sí",Sala[[#This Row],[Propina]],0)</f>
        <v>41.8</v>
      </c>
      <c r="Z709">
        <f>(IF(Sala[[#This Row],[Cobrada]]="Sí",Sala[[#This Row],[Monto total]],0))+Sala[[#This Row],[Propina real]]</f>
        <v>95.8</v>
      </c>
    </row>
    <row r="710" spans="1:26" x14ac:dyDescent="0.25">
      <c r="A710">
        <v>8</v>
      </c>
      <c r="B710" t="s">
        <v>504</v>
      </c>
      <c r="C710">
        <v>4</v>
      </c>
      <c r="D710" s="2">
        <v>45023</v>
      </c>
      <c r="E710" s="3">
        <v>7.9861111111111105E-2</v>
      </c>
      <c r="F710" s="2">
        <v>45023</v>
      </c>
      <c r="G710" s="3">
        <v>0.15277777777777779</v>
      </c>
      <c r="H710" s="1" t="s">
        <v>16</v>
      </c>
      <c r="I710" t="s">
        <v>8</v>
      </c>
      <c r="J710" t="s">
        <v>13</v>
      </c>
      <c r="K710" s="9">
        <v>26.15</v>
      </c>
      <c r="L710" t="s">
        <v>28</v>
      </c>
      <c r="M710">
        <v>709</v>
      </c>
      <c r="N710" t="s">
        <v>44</v>
      </c>
      <c r="O710" s="3">
        <f>(Sala[[#This Row],[Hora de Salida]]-Sala[[#This Row],[Hora de llegada]])+IF(Sala[[#This Row],[Estado de la Mesa]]="Ocupada",(TEXT((15/(60*24)),"h:mm")),(TEXT(0,"h:mm")))</f>
        <v>8.3333333333333356E-2</v>
      </c>
      <c r="P710" s="43">
        <f>(SUMIF(Cocina[Número de Orden],Sala[[#This Row],[Número de Orden]],Cocina[Tiempo de Preparación]))</f>
        <v>98</v>
      </c>
      <c r="Q710" s="5" t="str">
        <f>TEXT(((SUMIF(Cocina[Número de Orden],Sala[[#This Row],[Número de Orden]],Cocina[Tiempo de Preparación]))/(60*24)),"h:mm")</f>
        <v>1:38</v>
      </c>
      <c r="R710" s="3">
        <f>MAX((Sala[[#This Row],[Tiempo de permanencia]]-Sala[[#This Row],[Tiempo de preparación (h)]]),0)</f>
        <v>1.5277777777777807E-2</v>
      </c>
      <c r="S710" s="8">
        <f>SUMIF(Cocina[Número de Orden],Sala[[#This Row],[Número de Orden]],Cocina[Ganancia bruta])</f>
        <v>193</v>
      </c>
      <c r="T710" s="8">
        <f>SUMIF(Cocina[Número de Orden],Sala[[#This Row],[Número de Orden]],Cocina[Costo Unitario])</f>
        <v>69</v>
      </c>
      <c r="U710" s="2">
        <f>Sala[[#This Row],[Fecha de Salida]]</f>
        <v>45023</v>
      </c>
      <c r="V710" s="7" t="str">
        <f>TEXT(Sala[[#This Row],[Fecha factura]],"dddd")</f>
        <v>viernes</v>
      </c>
      <c r="W710" t="str">
        <f>IF(Sala[[#This Row],[Tiempo de degustación]]&gt;0,"Sí","No")</f>
        <v>Sí</v>
      </c>
      <c r="X710" t="str">
        <f>IF(Sala[[#This Row],[Cobrada]]="Sí",Sala[[#This Row],[Método de Pago]],"Impago")</f>
        <v>Efectivo</v>
      </c>
      <c r="Y710">
        <f>IF(Sala[[#This Row],[Cobrada]]="Sí",Sala[[#This Row],[Propina]],0)</f>
        <v>26.15</v>
      </c>
      <c r="Z710">
        <f>(IF(Sala[[#This Row],[Cobrada]]="Sí",Sala[[#This Row],[Monto total]],0))+Sala[[#This Row],[Propina real]]</f>
        <v>219.15</v>
      </c>
    </row>
    <row r="711" spans="1:26" x14ac:dyDescent="0.25">
      <c r="A711">
        <v>18</v>
      </c>
      <c r="B711" t="s">
        <v>569</v>
      </c>
      <c r="C711">
        <v>1</v>
      </c>
      <c r="D711" s="2">
        <v>45023</v>
      </c>
      <c r="E711" s="3">
        <v>0.10277777777777777</v>
      </c>
      <c r="F711" s="2">
        <v>45023</v>
      </c>
      <c r="G711" s="3">
        <v>0.15138888888888888</v>
      </c>
      <c r="H711" s="1" t="s">
        <v>20</v>
      </c>
      <c r="I711" t="s">
        <v>8</v>
      </c>
      <c r="J711" t="s">
        <v>601</v>
      </c>
      <c r="K711" s="9">
        <v>28.43</v>
      </c>
      <c r="L711" t="s">
        <v>28</v>
      </c>
      <c r="M711">
        <v>710</v>
      </c>
      <c r="N711" t="s">
        <v>594</v>
      </c>
      <c r="O711" s="3">
        <f>(Sala[[#This Row],[Hora de Salida]]-Sala[[#This Row],[Hora de llegada]])+IF(Sala[[#This Row],[Estado de la Mesa]]="Ocupada",(TEXT((15/(60*24)),"h:mm")),(TEXT(0,"h:mm")))</f>
        <v>5.9027777777777769E-2</v>
      </c>
      <c r="P711" s="43">
        <f>(SUMIF(Cocina[Número de Orden],Sala[[#This Row],[Número de Orden]],Cocina[Tiempo de Preparación]))</f>
        <v>140</v>
      </c>
      <c r="Q711" s="5" t="str">
        <f>TEXT(((SUMIF(Cocina[Número de Orden],Sala[[#This Row],[Número de Orden]],Cocina[Tiempo de Preparación]))/(60*24)),"h:mm")</f>
        <v>2:20</v>
      </c>
      <c r="R711" s="3">
        <f>MAX((Sala[[#This Row],[Tiempo de permanencia]]-Sala[[#This Row],[Tiempo de preparación (h)]]),0)</f>
        <v>0</v>
      </c>
      <c r="S711" s="8">
        <f>SUMIF(Cocina[Número de Orden],Sala[[#This Row],[Número de Orden]],Cocina[Ganancia bruta])</f>
        <v>138</v>
      </c>
      <c r="T711" s="8">
        <f>SUMIF(Cocina[Número de Orden],Sala[[#This Row],[Número de Orden]],Cocina[Costo Unitario])</f>
        <v>47</v>
      </c>
      <c r="U711" s="2">
        <f>Sala[[#This Row],[Fecha de Salida]]</f>
        <v>45023</v>
      </c>
      <c r="V711" s="7" t="str">
        <f>TEXT(Sala[[#This Row],[Fecha factura]],"dddd")</f>
        <v>viernes</v>
      </c>
      <c r="W711" t="str">
        <f>IF(Sala[[#This Row],[Tiempo de degustación]]&gt;0,"Sí","No")</f>
        <v>No</v>
      </c>
      <c r="X711" t="str">
        <f>IF(Sala[[#This Row],[Cobrada]]="Sí",Sala[[#This Row],[Método de Pago]],"Impago")</f>
        <v>Impago</v>
      </c>
      <c r="Y711">
        <f>IF(Sala[[#This Row],[Cobrada]]="Sí",Sala[[#This Row],[Propina]],0)</f>
        <v>0</v>
      </c>
      <c r="Z711">
        <f>(IF(Sala[[#This Row],[Cobrada]]="Sí",Sala[[#This Row],[Monto total]],0))+Sala[[#This Row],[Propina real]]</f>
        <v>0</v>
      </c>
    </row>
    <row r="712" spans="1:26" x14ac:dyDescent="0.25">
      <c r="A712">
        <v>20</v>
      </c>
      <c r="B712" t="s">
        <v>63</v>
      </c>
      <c r="C712">
        <v>6</v>
      </c>
      <c r="D712" s="2">
        <v>45023</v>
      </c>
      <c r="E712" s="3">
        <v>7.7083333333333337E-2</v>
      </c>
      <c r="F712" s="2">
        <v>45023</v>
      </c>
      <c r="G712" s="3">
        <v>0.22083333333333333</v>
      </c>
      <c r="H712" s="1" t="s">
        <v>11</v>
      </c>
      <c r="I712" t="s">
        <v>8</v>
      </c>
      <c r="J712" t="s">
        <v>600</v>
      </c>
      <c r="K712" s="9">
        <v>49.74</v>
      </c>
      <c r="L712" t="s">
        <v>28</v>
      </c>
      <c r="M712">
        <v>711</v>
      </c>
      <c r="N712" t="s">
        <v>34</v>
      </c>
      <c r="O712" s="3">
        <f>(Sala[[#This Row],[Hora de Salida]]-Sala[[#This Row],[Hora de llegada]])+IF(Sala[[#This Row],[Estado de la Mesa]]="Ocupada",(TEXT((15/(60*24)),"h:mm")),(TEXT(0,"h:mm")))</f>
        <v>0.15416666666666665</v>
      </c>
      <c r="P712" s="43">
        <f>(SUMIF(Cocina[Número de Orden],Sala[[#This Row],[Número de Orden]],Cocina[Tiempo de Preparación]))</f>
        <v>59</v>
      </c>
      <c r="Q712" s="5" t="str">
        <f>TEXT(((SUMIF(Cocina[Número de Orden],Sala[[#This Row],[Número de Orden]],Cocina[Tiempo de Preparación]))/(60*24)),"h:mm")</f>
        <v>0:59</v>
      </c>
      <c r="R712" s="3">
        <f>MAX((Sala[[#This Row],[Tiempo de permanencia]]-Sala[[#This Row],[Tiempo de preparación (h)]]),0)</f>
        <v>0.11319444444444443</v>
      </c>
      <c r="S712" s="8">
        <f>SUMIF(Cocina[Número de Orden],Sala[[#This Row],[Número de Orden]],Cocina[Ganancia bruta])</f>
        <v>166</v>
      </c>
      <c r="T712" s="8">
        <f>SUMIF(Cocina[Número de Orden],Sala[[#This Row],[Número de Orden]],Cocina[Costo Unitario])</f>
        <v>39</v>
      </c>
      <c r="U712" s="2">
        <f>Sala[[#This Row],[Fecha de Salida]]</f>
        <v>45023</v>
      </c>
      <c r="V712" s="7" t="str">
        <f>TEXT(Sala[[#This Row],[Fecha factura]],"dddd")</f>
        <v>viernes</v>
      </c>
      <c r="W712" t="str">
        <f>IF(Sala[[#This Row],[Tiempo de degustación]]&gt;0,"Sí","No")</f>
        <v>Sí</v>
      </c>
      <c r="X712" t="str">
        <f>IF(Sala[[#This Row],[Cobrada]]="Sí",Sala[[#This Row],[Método de Pago]],"Impago")</f>
        <v>Tarjeta de débito</v>
      </c>
      <c r="Y712">
        <f>IF(Sala[[#This Row],[Cobrada]]="Sí",Sala[[#This Row],[Propina]],0)</f>
        <v>49.74</v>
      </c>
      <c r="Z712">
        <f>(IF(Sala[[#This Row],[Cobrada]]="Sí",Sala[[#This Row],[Monto total]],0))+Sala[[#This Row],[Propina real]]</f>
        <v>215.74</v>
      </c>
    </row>
    <row r="713" spans="1:26" x14ac:dyDescent="0.25">
      <c r="A713">
        <v>10</v>
      </c>
      <c r="B713" t="s">
        <v>570</v>
      </c>
      <c r="C713">
        <v>5</v>
      </c>
      <c r="D713" s="2">
        <v>45023</v>
      </c>
      <c r="E713" s="3">
        <v>4.1666666666666666E-3</v>
      </c>
      <c r="F713" s="2">
        <v>45023</v>
      </c>
      <c r="G713" s="3">
        <v>0.10208333333333333</v>
      </c>
      <c r="H713" s="1" t="s">
        <v>16</v>
      </c>
      <c r="I713" t="s">
        <v>12</v>
      </c>
      <c r="J713" t="s">
        <v>13</v>
      </c>
      <c r="K713" s="9">
        <v>42.21</v>
      </c>
      <c r="L713" t="s">
        <v>9</v>
      </c>
      <c r="M713">
        <v>712</v>
      </c>
      <c r="N713" t="s">
        <v>593</v>
      </c>
      <c r="O713" s="3">
        <f>(Sala[[#This Row],[Hora de Salida]]-Sala[[#This Row],[Hora de llegada]])+IF(Sala[[#This Row],[Estado de la Mesa]]="Ocupada",(TEXT((15/(60*24)),"h:mm")),(TEXT(0,"h:mm")))</f>
        <v>9.7916666666666666E-2</v>
      </c>
      <c r="P713" s="43">
        <f>(SUMIF(Cocina[Número de Orden],Sala[[#This Row],[Número de Orden]],Cocina[Tiempo de Preparación]))</f>
        <v>49</v>
      </c>
      <c r="Q713" s="5" t="str">
        <f>TEXT(((SUMIF(Cocina[Número de Orden],Sala[[#This Row],[Número de Orden]],Cocina[Tiempo de Preparación]))/(60*24)),"h:mm")</f>
        <v>0:49</v>
      </c>
      <c r="R713" s="3">
        <f>MAX((Sala[[#This Row],[Tiempo de permanencia]]-Sala[[#This Row],[Tiempo de preparación (h)]]),0)</f>
        <v>6.3888888888888884E-2</v>
      </c>
      <c r="S713" s="8">
        <f>SUMIF(Cocina[Número de Orden],Sala[[#This Row],[Número de Orden]],Cocina[Ganancia bruta])</f>
        <v>48</v>
      </c>
      <c r="T713" s="8">
        <f>SUMIF(Cocina[Número de Orden],Sala[[#This Row],[Número de Orden]],Cocina[Costo Unitario])</f>
        <v>14</v>
      </c>
      <c r="U713" s="2">
        <f>Sala[[#This Row],[Fecha de Salida]]</f>
        <v>45023</v>
      </c>
      <c r="V713" s="7" t="str">
        <f>TEXT(Sala[[#This Row],[Fecha factura]],"dddd")</f>
        <v>viernes</v>
      </c>
      <c r="W713" t="str">
        <f>IF(Sala[[#This Row],[Tiempo de degustación]]&gt;0,"Sí","No")</f>
        <v>Sí</v>
      </c>
      <c r="X713" t="str">
        <f>IF(Sala[[#This Row],[Cobrada]]="Sí",Sala[[#This Row],[Método de Pago]],"Impago")</f>
        <v>Efectivo</v>
      </c>
      <c r="Y713">
        <f>IF(Sala[[#This Row],[Cobrada]]="Sí",Sala[[#This Row],[Propina]],0)</f>
        <v>42.21</v>
      </c>
      <c r="Z713">
        <f>(IF(Sala[[#This Row],[Cobrada]]="Sí",Sala[[#This Row],[Monto total]],0))+Sala[[#This Row],[Propina real]]</f>
        <v>90.210000000000008</v>
      </c>
    </row>
    <row r="714" spans="1:26" x14ac:dyDescent="0.25">
      <c r="A714">
        <v>6</v>
      </c>
      <c r="B714" t="s">
        <v>571</v>
      </c>
      <c r="C714">
        <v>4</v>
      </c>
      <c r="D714" s="2">
        <v>45023</v>
      </c>
      <c r="E714" s="3">
        <v>1.0416666666666666E-2</v>
      </c>
      <c r="F714" s="2">
        <v>45023</v>
      </c>
      <c r="G714" s="3">
        <v>0.11944444444444445</v>
      </c>
      <c r="H714" s="1" t="s">
        <v>11</v>
      </c>
      <c r="I714" t="s">
        <v>25</v>
      </c>
      <c r="J714" t="s">
        <v>601</v>
      </c>
      <c r="K714" s="9">
        <v>35.11</v>
      </c>
      <c r="L714" t="s">
        <v>17</v>
      </c>
      <c r="M714">
        <v>713</v>
      </c>
      <c r="N714" t="s">
        <v>34</v>
      </c>
      <c r="O714" s="3">
        <f>(Sala[[#This Row],[Hora de Salida]]-Sala[[#This Row],[Hora de llegada]])+IF(Sala[[#This Row],[Estado de la Mesa]]="Ocupada",(TEXT((15/(60*24)),"h:mm")),(TEXT(0,"h:mm")))</f>
        <v>0.10902777777777778</v>
      </c>
      <c r="P714" s="43">
        <f>(SUMIF(Cocina[Número de Orden],Sala[[#This Row],[Número de Orden]],Cocina[Tiempo de Preparación]))</f>
        <v>125</v>
      </c>
      <c r="Q714" s="5" t="str">
        <f>TEXT(((SUMIF(Cocina[Número de Orden],Sala[[#This Row],[Número de Orden]],Cocina[Tiempo de Preparación]))/(60*24)),"h:mm")</f>
        <v>2:05</v>
      </c>
      <c r="R714" s="3">
        <f>MAX((Sala[[#This Row],[Tiempo de permanencia]]-Sala[[#This Row],[Tiempo de preparación (h)]]),0)</f>
        <v>2.2222222222222227E-2</v>
      </c>
      <c r="S714" s="8">
        <f>SUMIF(Cocina[Número de Orden],Sala[[#This Row],[Número de Orden]],Cocina[Ganancia bruta])</f>
        <v>360</v>
      </c>
      <c r="T714" s="8">
        <f>SUMIF(Cocina[Número de Orden],Sala[[#This Row],[Número de Orden]],Cocina[Costo Unitario])</f>
        <v>71</v>
      </c>
      <c r="U714" s="2">
        <f>Sala[[#This Row],[Fecha de Salida]]</f>
        <v>45023</v>
      </c>
      <c r="V714" s="7" t="str">
        <f>TEXT(Sala[[#This Row],[Fecha factura]],"dddd")</f>
        <v>viernes</v>
      </c>
      <c r="W714" t="str">
        <f>IF(Sala[[#This Row],[Tiempo de degustación]]&gt;0,"Sí","No")</f>
        <v>Sí</v>
      </c>
      <c r="X714" t="str">
        <f>IF(Sala[[#This Row],[Cobrada]]="Sí",Sala[[#This Row],[Método de Pago]],"Impago")</f>
        <v>Tarjeta de crédito</v>
      </c>
      <c r="Y714">
        <f>IF(Sala[[#This Row],[Cobrada]]="Sí",Sala[[#This Row],[Propina]],0)</f>
        <v>35.11</v>
      </c>
      <c r="Z714">
        <f>(IF(Sala[[#This Row],[Cobrada]]="Sí",Sala[[#This Row],[Monto total]],0))+Sala[[#This Row],[Propina real]]</f>
        <v>395.11</v>
      </c>
    </row>
    <row r="715" spans="1:26" x14ac:dyDescent="0.25">
      <c r="A715">
        <v>19</v>
      </c>
      <c r="B715" t="s">
        <v>284</v>
      </c>
      <c r="C715">
        <v>2</v>
      </c>
      <c r="D715" s="2">
        <v>45023</v>
      </c>
      <c r="E715" s="3">
        <v>9.7916666666666666E-2</v>
      </c>
      <c r="F715" s="2">
        <v>45023</v>
      </c>
      <c r="G715" s="3">
        <v>0.1701388888888889</v>
      </c>
      <c r="H715" s="1" t="s">
        <v>20</v>
      </c>
      <c r="I715" t="s">
        <v>8</v>
      </c>
      <c r="J715" t="s">
        <v>601</v>
      </c>
      <c r="K715" s="9">
        <v>10.69</v>
      </c>
      <c r="L715" t="s">
        <v>17</v>
      </c>
      <c r="M715">
        <v>714</v>
      </c>
      <c r="N715" t="s">
        <v>14</v>
      </c>
      <c r="O715" s="3">
        <f>(Sala[[#This Row],[Hora de Salida]]-Sala[[#This Row],[Hora de llegada]])+IF(Sala[[#This Row],[Estado de la Mesa]]="Ocupada",(TEXT((15/(60*24)),"h:mm")),(TEXT(0,"h:mm")))</f>
        <v>7.2222222222222229E-2</v>
      </c>
      <c r="P715" s="43">
        <f>(SUMIF(Cocina[Número de Orden],Sala[[#This Row],[Número de Orden]],Cocina[Tiempo de Preparación]))</f>
        <v>63</v>
      </c>
      <c r="Q715" s="5" t="str">
        <f>TEXT(((SUMIF(Cocina[Número de Orden],Sala[[#This Row],[Número de Orden]],Cocina[Tiempo de Preparación]))/(60*24)),"h:mm")</f>
        <v>1:03</v>
      </c>
      <c r="R715" s="3">
        <f>MAX((Sala[[#This Row],[Tiempo de permanencia]]-Sala[[#This Row],[Tiempo de preparación (h)]]),0)</f>
        <v>2.8472222222222232E-2</v>
      </c>
      <c r="S715" s="8">
        <f>SUMIF(Cocina[Número de Orden],Sala[[#This Row],[Número de Orden]],Cocina[Ganancia bruta])</f>
        <v>225</v>
      </c>
      <c r="T715" s="8">
        <f>SUMIF(Cocina[Número de Orden],Sala[[#This Row],[Número de Orden]],Cocina[Costo Unitario])</f>
        <v>58</v>
      </c>
      <c r="U715" s="2">
        <f>Sala[[#This Row],[Fecha de Salida]]</f>
        <v>45023</v>
      </c>
      <c r="V715" s="7" t="str">
        <f>TEXT(Sala[[#This Row],[Fecha factura]],"dddd")</f>
        <v>viernes</v>
      </c>
      <c r="W715" t="str">
        <f>IF(Sala[[#This Row],[Tiempo de degustación]]&gt;0,"Sí","No")</f>
        <v>Sí</v>
      </c>
      <c r="X715" t="str">
        <f>IF(Sala[[#This Row],[Cobrada]]="Sí",Sala[[#This Row],[Método de Pago]],"Impago")</f>
        <v>Tarjeta de crédito</v>
      </c>
      <c r="Y715">
        <f>IF(Sala[[#This Row],[Cobrada]]="Sí",Sala[[#This Row],[Propina]],0)</f>
        <v>10.69</v>
      </c>
      <c r="Z715">
        <f>(IF(Sala[[#This Row],[Cobrada]]="Sí",Sala[[#This Row],[Monto total]],0))+Sala[[#This Row],[Propina real]]</f>
        <v>235.69</v>
      </c>
    </row>
    <row r="716" spans="1:26" x14ac:dyDescent="0.25">
      <c r="A716">
        <v>12</v>
      </c>
      <c r="B716" t="s">
        <v>572</v>
      </c>
      <c r="C716">
        <v>6</v>
      </c>
      <c r="D716" s="2">
        <v>45023</v>
      </c>
      <c r="E716" s="3">
        <v>7.2916666666666671E-2</v>
      </c>
      <c r="F716" s="2">
        <v>45023</v>
      </c>
      <c r="G716" s="3">
        <v>0.17708333333333334</v>
      </c>
      <c r="H716" s="1" t="s">
        <v>7</v>
      </c>
      <c r="I716" t="s">
        <v>8</v>
      </c>
      <c r="J716" t="s">
        <v>600</v>
      </c>
      <c r="K716" s="9">
        <v>39.909999999999997</v>
      </c>
      <c r="L716" t="s">
        <v>28</v>
      </c>
      <c r="M716">
        <v>715</v>
      </c>
      <c r="N716" t="s">
        <v>593</v>
      </c>
      <c r="O716" s="3">
        <f>(Sala[[#This Row],[Hora de Salida]]-Sala[[#This Row],[Hora de llegada]])+IF(Sala[[#This Row],[Estado de la Mesa]]="Ocupada",(TEXT((15/(60*24)),"h:mm")),(TEXT(0,"h:mm")))</f>
        <v>0.11458333333333334</v>
      </c>
      <c r="P716" s="43">
        <f>(SUMIF(Cocina[Número de Orden],Sala[[#This Row],[Número de Orden]],Cocina[Tiempo de Preparación]))</f>
        <v>136</v>
      </c>
      <c r="Q716" s="5" t="str">
        <f>TEXT(((SUMIF(Cocina[Número de Orden],Sala[[#This Row],[Número de Orden]],Cocina[Tiempo de Preparación]))/(60*24)),"h:mm")</f>
        <v>2:16</v>
      </c>
      <c r="R716" s="3">
        <f>MAX((Sala[[#This Row],[Tiempo de permanencia]]-Sala[[#This Row],[Tiempo de preparación (h)]]),0)</f>
        <v>2.0138888888888901E-2</v>
      </c>
      <c r="S716" s="8">
        <f>SUMIF(Cocina[Número de Orden],Sala[[#This Row],[Número de Orden]],Cocina[Ganancia bruta])</f>
        <v>246</v>
      </c>
      <c r="T716" s="8">
        <f>SUMIF(Cocina[Número de Orden],Sala[[#This Row],[Número de Orden]],Cocina[Costo Unitario])</f>
        <v>59</v>
      </c>
      <c r="U716" s="2">
        <f>Sala[[#This Row],[Fecha de Salida]]</f>
        <v>45023</v>
      </c>
      <c r="V716" s="7" t="str">
        <f>TEXT(Sala[[#This Row],[Fecha factura]],"dddd")</f>
        <v>viernes</v>
      </c>
      <c r="W716" t="str">
        <f>IF(Sala[[#This Row],[Tiempo de degustación]]&gt;0,"Sí","No")</f>
        <v>Sí</v>
      </c>
      <c r="X716" t="str">
        <f>IF(Sala[[#This Row],[Cobrada]]="Sí",Sala[[#This Row],[Método de Pago]],"Impago")</f>
        <v>Tarjeta de débito</v>
      </c>
      <c r="Y716">
        <f>IF(Sala[[#This Row],[Cobrada]]="Sí",Sala[[#This Row],[Propina]],0)</f>
        <v>39.909999999999997</v>
      </c>
      <c r="Z716">
        <f>(IF(Sala[[#This Row],[Cobrada]]="Sí",Sala[[#This Row],[Monto total]],0))+Sala[[#This Row],[Propina real]]</f>
        <v>285.90999999999997</v>
      </c>
    </row>
    <row r="717" spans="1:26" x14ac:dyDescent="0.25">
      <c r="A717">
        <v>12</v>
      </c>
      <c r="B717" t="s">
        <v>353</v>
      </c>
      <c r="C717">
        <v>4</v>
      </c>
      <c r="D717" s="2">
        <v>45023</v>
      </c>
      <c r="E717" s="3">
        <v>7.4305555555555555E-2</v>
      </c>
      <c r="F717" s="2">
        <v>45023</v>
      </c>
      <c r="G717" s="3">
        <v>0.19722222222222222</v>
      </c>
      <c r="H717" s="1" t="s">
        <v>16</v>
      </c>
      <c r="I717" t="s">
        <v>25</v>
      </c>
      <c r="J717" t="s">
        <v>601</v>
      </c>
      <c r="K717" s="9">
        <v>44.73</v>
      </c>
      <c r="L717" t="s">
        <v>28</v>
      </c>
      <c r="M717">
        <v>716</v>
      </c>
      <c r="N717" t="s">
        <v>18</v>
      </c>
      <c r="O717" s="3">
        <f>(Sala[[#This Row],[Hora de Salida]]-Sala[[#This Row],[Hora de llegada]])+IF(Sala[[#This Row],[Estado de la Mesa]]="Ocupada",(TEXT((15/(60*24)),"h:mm")),(TEXT(0,"h:mm")))</f>
        <v>0.13333333333333333</v>
      </c>
      <c r="P717" s="43">
        <f>(SUMIF(Cocina[Número de Orden],Sala[[#This Row],[Número de Orden]],Cocina[Tiempo de Preparación]))</f>
        <v>90</v>
      </c>
      <c r="Q717" s="5" t="str">
        <f>TEXT(((SUMIF(Cocina[Número de Orden],Sala[[#This Row],[Número de Orden]],Cocina[Tiempo de Preparación]))/(60*24)),"h:mm")</f>
        <v>1:30</v>
      </c>
      <c r="R717" s="3">
        <f>MAX((Sala[[#This Row],[Tiempo de permanencia]]-Sala[[#This Row],[Tiempo de preparación (h)]]),0)</f>
        <v>7.0833333333333331E-2</v>
      </c>
      <c r="S717" s="8">
        <f>SUMIF(Cocina[Número de Orden],Sala[[#This Row],[Número de Orden]],Cocina[Ganancia bruta])</f>
        <v>231</v>
      </c>
      <c r="T717" s="8">
        <f>SUMIF(Cocina[Número de Orden],Sala[[#This Row],[Número de Orden]],Cocina[Costo Unitario])</f>
        <v>47</v>
      </c>
      <c r="U717" s="2">
        <f>Sala[[#This Row],[Fecha de Salida]]</f>
        <v>45023</v>
      </c>
      <c r="V717" s="7" t="str">
        <f>TEXT(Sala[[#This Row],[Fecha factura]],"dddd")</f>
        <v>viernes</v>
      </c>
      <c r="W717" t="str">
        <f>IF(Sala[[#This Row],[Tiempo de degustación]]&gt;0,"Sí","No")</f>
        <v>Sí</v>
      </c>
      <c r="X717" t="str">
        <f>IF(Sala[[#This Row],[Cobrada]]="Sí",Sala[[#This Row],[Método de Pago]],"Impago")</f>
        <v>Tarjeta de crédito</v>
      </c>
      <c r="Y717">
        <f>IF(Sala[[#This Row],[Cobrada]]="Sí",Sala[[#This Row],[Propina]],0)</f>
        <v>44.73</v>
      </c>
      <c r="Z717">
        <f>(IF(Sala[[#This Row],[Cobrada]]="Sí",Sala[[#This Row],[Monto total]],0))+Sala[[#This Row],[Propina real]]</f>
        <v>275.73</v>
      </c>
    </row>
    <row r="718" spans="1:26" x14ac:dyDescent="0.25">
      <c r="A718">
        <v>8</v>
      </c>
      <c r="B718" t="s">
        <v>480</v>
      </c>
      <c r="C718">
        <v>5</v>
      </c>
      <c r="D718" s="2">
        <v>45023</v>
      </c>
      <c r="E718" s="3">
        <v>0.16388888888888889</v>
      </c>
      <c r="F718" s="2">
        <v>45023</v>
      </c>
      <c r="G718" s="3">
        <v>0.25208333333333333</v>
      </c>
      <c r="H718" s="1" t="s">
        <v>11</v>
      </c>
      <c r="I718" t="s">
        <v>8</v>
      </c>
      <c r="J718" t="s">
        <v>601</v>
      </c>
      <c r="K718" s="9">
        <v>23.67</v>
      </c>
      <c r="L718" t="s">
        <v>17</v>
      </c>
      <c r="M718">
        <v>717</v>
      </c>
      <c r="N718" t="s">
        <v>32</v>
      </c>
      <c r="O718" s="3">
        <f>(Sala[[#This Row],[Hora de Salida]]-Sala[[#This Row],[Hora de llegada]])+IF(Sala[[#This Row],[Estado de la Mesa]]="Ocupada",(TEXT((15/(60*24)),"h:mm")),(TEXT(0,"h:mm")))</f>
        <v>8.8194444444444436E-2</v>
      </c>
      <c r="P718" s="43">
        <f>(SUMIF(Cocina[Número de Orden],Sala[[#This Row],[Número de Orden]],Cocina[Tiempo de Preparación]))</f>
        <v>72</v>
      </c>
      <c r="Q718" s="5" t="str">
        <f>TEXT(((SUMIF(Cocina[Número de Orden],Sala[[#This Row],[Número de Orden]],Cocina[Tiempo de Preparación]))/(60*24)),"h:mm")</f>
        <v>1:12</v>
      </c>
      <c r="R718" s="3">
        <f>MAX((Sala[[#This Row],[Tiempo de permanencia]]-Sala[[#This Row],[Tiempo de preparación (h)]]),0)</f>
        <v>3.8194444444444434E-2</v>
      </c>
      <c r="S718" s="8">
        <f>SUMIF(Cocina[Número de Orden],Sala[[#This Row],[Número de Orden]],Cocina[Ganancia bruta])</f>
        <v>155</v>
      </c>
      <c r="T718" s="8">
        <f>SUMIF(Cocina[Número de Orden],Sala[[#This Row],[Número de Orden]],Cocina[Costo Unitario])</f>
        <v>47</v>
      </c>
      <c r="U718" s="2">
        <f>Sala[[#This Row],[Fecha de Salida]]</f>
        <v>45023</v>
      </c>
      <c r="V718" s="7" t="str">
        <f>TEXT(Sala[[#This Row],[Fecha factura]],"dddd")</f>
        <v>viernes</v>
      </c>
      <c r="W718" t="str">
        <f>IF(Sala[[#This Row],[Tiempo de degustación]]&gt;0,"Sí","No")</f>
        <v>Sí</v>
      </c>
      <c r="X718" t="str">
        <f>IF(Sala[[#This Row],[Cobrada]]="Sí",Sala[[#This Row],[Método de Pago]],"Impago")</f>
        <v>Tarjeta de crédito</v>
      </c>
      <c r="Y718">
        <f>IF(Sala[[#This Row],[Cobrada]]="Sí",Sala[[#This Row],[Propina]],0)</f>
        <v>23.67</v>
      </c>
      <c r="Z718">
        <f>(IF(Sala[[#This Row],[Cobrada]]="Sí",Sala[[#This Row],[Monto total]],0))+Sala[[#This Row],[Propina real]]</f>
        <v>178.67000000000002</v>
      </c>
    </row>
    <row r="719" spans="1:26" x14ac:dyDescent="0.25">
      <c r="A719">
        <v>7</v>
      </c>
      <c r="B719" t="s">
        <v>331</v>
      </c>
      <c r="C719">
        <v>6</v>
      </c>
      <c r="D719" s="2">
        <v>45023</v>
      </c>
      <c r="E719" s="3">
        <v>0.13750000000000001</v>
      </c>
      <c r="F719" s="2">
        <v>45023</v>
      </c>
      <c r="G719" s="3">
        <v>0.29583333333333334</v>
      </c>
      <c r="H719" s="1" t="s">
        <v>16</v>
      </c>
      <c r="I719" t="s">
        <v>12</v>
      </c>
      <c r="J719" t="s">
        <v>601</v>
      </c>
      <c r="K719" s="9">
        <v>37.21</v>
      </c>
      <c r="L719" t="s">
        <v>17</v>
      </c>
      <c r="M719">
        <v>718</v>
      </c>
      <c r="N719" t="s">
        <v>29</v>
      </c>
      <c r="O719" s="3">
        <f>(Sala[[#This Row],[Hora de Salida]]-Sala[[#This Row],[Hora de llegada]])+IF(Sala[[#This Row],[Estado de la Mesa]]="Ocupada",(TEXT((15/(60*24)),"h:mm")),(TEXT(0,"h:mm")))</f>
        <v>0.15833333333333333</v>
      </c>
      <c r="P719" s="43">
        <f>(SUMIF(Cocina[Número de Orden],Sala[[#This Row],[Número de Orden]],Cocina[Tiempo de Preparación]))</f>
        <v>58</v>
      </c>
      <c r="Q719" s="5" t="str">
        <f>TEXT(((SUMIF(Cocina[Número de Orden],Sala[[#This Row],[Número de Orden]],Cocina[Tiempo de Preparación]))/(60*24)),"h:mm")</f>
        <v>0:58</v>
      </c>
      <c r="R719" s="3">
        <f>MAX((Sala[[#This Row],[Tiempo de permanencia]]-Sala[[#This Row],[Tiempo de preparación (h)]]),0)</f>
        <v>0.11805555555555555</v>
      </c>
      <c r="S719" s="8">
        <f>SUMIF(Cocina[Número de Orden],Sala[[#This Row],[Número de Orden]],Cocina[Ganancia bruta])</f>
        <v>20</v>
      </c>
      <c r="T719" s="8">
        <f>SUMIF(Cocina[Número de Orden],Sala[[#This Row],[Número de Orden]],Cocina[Costo Unitario])</f>
        <v>12</v>
      </c>
      <c r="U719" s="2">
        <f>Sala[[#This Row],[Fecha de Salida]]</f>
        <v>45023</v>
      </c>
      <c r="V719" s="7" t="str">
        <f>TEXT(Sala[[#This Row],[Fecha factura]],"dddd")</f>
        <v>viernes</v>
      </c>
      <c r="W719" t="str">
        <f>IF(Sala[[#This Row],[Tiempo de degustación]]&gt;0,"Sí","No")</f>
        <v>Sí</v>
      </c>
      <c r="X719" t="str">
        <f>IF(Sala[[#This Row],[Cobrada]]="Sí",Sala[[#This Row],[Método de Pago]],"Impago")</f>
        <v>Tarjeta de crédito</v>
      </c>
      <c r="Y719">
        <f>IF(Sala[[#This Row],[Cobrada]]="Sí",Sala[[#This Row],[Propina]],0)</f>
        <v>37.21</v>
      </c>
      <c r="Z719">
        <f>(IF(Sala[[#This Row],[Cobrada]]="Sí",Sala[[#This Row],[Monto total]],0))+Sala[[#This Row],[Propina real]]</f>
        <v>57.21</v>
      </c>
    </row>
    <row r="720" spans="1:26" x14ac:dyDescent="0.25">
      <c r="A720">
        <v>16</v>
      </c>
      <c r="B720" t="s">
        <v>573</v>
      </c>
      <c r="C720">
        <v>3</v>
      </c>
      <c r="D720" s="2">
        <v>45023</v>
      </c>
      <c r="E720" s="3">
        <v>5.4166666666666669E-2</v>
      </c>
      <c r="F720" s="2">
        <v>45023</v>
      </c>
      <c r="G720" s="3">
        <v>0.11736111111111111</v>
      </c>
      <c r="H720" s="1" t="s">
        <v>11</v>
      </c>
      <c r="I720" t="s">
        <v>8</v>
      </c>
      <c r="J720" t="s">
        <v>600</v>
      </c>
      <c r="K720" s="9">
        <v>17.23</v>
      </c>
      <c r="L720" t="s">
        <v>17</v>
      </c>
      <c r="M720">
        <v>719</v>
      </c>
      <c r="N720" t="s">
        <v>14</v>
      </c>
      <c r="O720" s="3">
        <f>(Sala[[#This Row],[Hora de Salida]]-Sala[[#This Row],[Hora de llegada]])+IF(Sala[[#This Row],[Estado de la Mesa]]="Ocupada",(TEXT((15/(60*24)),"h:mm")),(TEXT(0,"h:mm")))</f>
        <v>6.3194444444444442E-2</v>
      </c>
      <c r="P720" s="43">
        <f>(SUMIF(Cocina[Número de Orden],Sala[[#This Row],[Número de Orden]],Cocina[Tiempo de Preparación]))</f>
        <v>70</v>
      </c>
      <c r="Q720" s="5" t="str">
        <f>TEXT(((SUMIF(Cocina[Número de Orden],Sala[[#This Row],[Número de Orden]],Cocina[Tiempo de Preparación]))/(60*24)),"h:mm")</f>
        <v>1:10</v>
      </c>
      <c r="R720" s="3">
        <f>MAX((Sala[[#This Row],[Tiempo de permanencia]]-Sala[[#This Row],[Tiempo de preparación (h)]]),0)</f>
        <v>1.458333333333333E-2</v>
      </c>
      <c r="S720" s="8">
        <f>SUMIF(Cocina[Número de Orden],Sala[[#This Row],[Número de Orden]],Cocina[Ganancia bruta])</f>
        <v>107</v>
      </c>
      <c r="T720" s="8">
        <f>SUMIF(Cocina[Número de Orden],Sala[[#This Row],[Número de Orden]],Cocina[Costo Unitario])</f>
        <v>53</v>
      </c>
      <c r="U720" s="2">
        <f>Sala[[#This Row],[Fecha de Salida]]</f>
        <v>45023</v>
      </c>
      <c r="V720" s="7" t="str">
        <f>TEXT(Sala[[#This Row],[Fecha factura]],"dddd")</f>
        <v>viernes</v>
      </c>
      <c r="W720" t="str">
        <f>IF(Sala[[#This Row],[Tiempo de degustación]]&gt;0,"Sí","No")</f>
        <v>Sí</v>
      </c>
      <c r="X720" t="str">
        <f>IF(Sala[[#This Row],[Cobrada]]="Sí",Sala[[#This Row],[Método de Pago]],"Impago")</f>
        <v>Tarjeta de débito</v>
      </c>
      <c r="Y720">
        <f>IF(Sala[[#This Row],[Cobrada]]="Sí",Sala[[#This Row],[Propina]],0)</f>
        <v>17.23</v>
      </c>
      <c r="Z720">
        <f>(IF(Sala[[#This Row],[Cobrada]]="Sí",Sala[[#This Row],[Monto total]],0))+Sala[[#This Row],[Propina real]]</f>
        <v>124.23</v>
      </c>
    </row>
    <row r="721" spans="1:26" x14ac:dyDescent="0.25">
      <c r="A721">
        <v>4</v>
      </c>
      <c r="B721" t="s">
        <v>574</v>
      </c>
      <c r="C721">
        <v>5</v>
      </c>
      <c r="D721" s="2">
        <v>45023</v>
      </c>
      <c r="E721" s="3">
        <v>9.2361111111111116E-2</v>
      </c>
      <c r="F721" s="2">
        <v>45023</v>
      </c>
      <c r="G721" s="3">
        <v>0.24027777777777778</v>
      </c>
      <c r="H721" s="1" t="s">
        <v>7</v>
      </c>
      <c r="I721" t="s">
        <v>8</v>
      </c>
      <c r="J721" t="s">
        <v>601</v>
      </c>
      <c r="K721" s="9">
        <v>40.28</v>
      </c>
      <c r="L721" t="s">
        <v>9</v>
      </c>
      <c r="M721">
        <v>720</v>
      </c>
      <c r="N721" t="s">
        <v>21</v>
      </c>
      <c r="O721" s="3">
        <f>(Sala[[#This Row],[Hora de Salida]]-Sala[[#This Row],[Hora de llegada]])+IF(Sala[[#This Row],[Estado de la Mesa]]="Ocupada",(TEXT((15/(60*24)),"h:mm")),(TEXT(0,"h:mm")))</f>
        <v>0.14791666666666667</v>
      </c>
      <c r="P721" s="43">
        <f>(SUMIF(Cocina[Número de Orden],Sala[[#This Row],[Número de Orden]],Cocina[Tiempo de Preparación]))</f>
        <v>133</v>
      </c>
      <c r="Q721" s="5" t="str">
        <f>TEXT(((SUMIF(Cocina[Número de Orden],Sala[[#This Row],[Número de Orden]],Cocina[Tiempo de Preparación]))/(60*24)),"h:mm")</f>
        <v>2:13</v>
      </c>
      <c r="R721" s="3">
        <f>MAX((Sala[[#This Row],[Tiempo de permanencia]]-Sala[[#This Row],[Tiempo de preparación (h)]]),0)</f>
        <v>5.5555555555555552E-2</v>
      </c>
      <c r="S721" s="8">
        <f>SUMIF(Cocina[Número de Orden],Sala[[#This Row],[Número de Orden]],Cocina[Ganancia bruta])</f>
        <v>168</v>
      </c>
      <c r="T721" s="8">
        <f>SUMIF(Cocina[Número de Orden],Sala[[#This Row],[Número de Orden]],Cocina[Costo Unitario])</f>
        <v>51</v>
      </c>
      <c r="U721" s="2">
        <f>Sala[[#This Row],[Fecha de Salida]]</f>
        <v>45023</v>
      </c>
      <c r="V721" s="7" t="str">
        <f>TEXT(Sala[[#This Row],[Fecha factura]],"dddd")</f>
        <v>viernes</v>
      </c>
      <c r="W721" t="str">
        <f>IF(Sala[[#This Row],[Tiempo de degustación]]&gt;0,"Sí","No")</f>
        <v>Sí</v>
      </c>
      <c r="X721" t="str">
        <f>IF(Sala[[#This Row],[Cobrada]]="Sí",Sala[[#This Row],[Método de Pago]],"Impago")</f>
        <v>Tarjeta de crédito</v>
      </c>
      <c r="Y721">
        <f>IF(Sala[[#This Row],[Cobrada]]="Sí",Sala[[#This Row],[Propina]],0)</f>
        <v>40.28</v>
      </c>
      <c r="Z721">
        <f>(IF(Sala[[#This Row],[Cobrada]]="Sí",Sala[[#This Row],[Monto total]],0))+Sala[[#This Row],[Propina real]]</f>
        <v>208.28</v>
      </c>
    </row>
    <row r="722" spans="1:26" x14ac:dyDescent="0.25">
      <c r="A722">
        <v>6</v>
      </c>
      <c r="B722" t="s">
        <v>123</v>
      </c>
      <c r="C722">
        <v>2</v>
      </c>
      <c r="D722" s="2">
        <v>45023</v>
      </c>
      <c r="E722" s="3">
        <v>0.16180555555555556</v>
      </c>
      <c r="F722" s="2">
        <v>45023</v>
      </c>
      <c r="G722" s="3">
        <v>0.29236111111111113</v>
      </c>
      <c r="H722" s="1" t="s">
        <v>16</v>
      </c>
      <c r="I722" t="s">
        <v>12</v>
      </c>
      <c r="J722" t="s">
        <v>601</v>
      </c>
      <c r="K722" s="9">
        <v>47.13</v>
      </c>
      <c r="L722" t="s">
        <v>17</v>
      </c>
      <c r="M722">
        <v>721</v>
      </c>
      <c r="N722" t="s">
        <v>21</v>
      </c>
      <c r="O722" s="3">
        <f>(Sala[[#This Row],[Hora de Salida]]-Sala[[#This Row],[Hora de llegada]])+IF(Sala[[#This Row],[Estado de la Mesa]]="Ocupada",(TEXT((15/(60*24)),"h:mm")),(TEXT(0,"h:mm")))</f>
        <v>0.13055555555555556</v>
      </c>
      <c r="P722" s="43">
        <f>(SUMIF(Cocina[Número de Orden],Sala[[#This Row],[Número de Orden]],Cocina[Tiempo de Preparación]))</f>
        <v>133</v>
      </c>
      <c r="Q722" s="5" t="str">
        <f>TEXT(((SUMIF(Cocina[Número de Orden],Sala[[#This Row],[Número de Orden]],Cocina[Tiempo de Preparación]))/(60*24)),"h:mm")</f>
        <v>2:13</v>
      </c>
      <c r="R722" s="3">
        <f>MAX((Sala[[#This Row],[Tiempo de permanencia]]-Sala[[#This Row],[Tiempo de preparación (h)]]),0)</f>
        <v>3.8194444444444448E-2</v>
      </c>
      <c r="S722" s="8">
        <f>SUMIF(Cocina[Número de Orden],Sala[[#This Row],[Número de Orden]],Cocina[Ganancia bruta])</f>
        <v>218</v>
      </c>
      <c r="T722" s="8">
        <f>SUMIF(Cocina[Número de Orden],Sala[[#This Row],[Número de Orden]],Cocina[Costo Unitario])</f>
        <v>69</v>
      </c>
      <c r="U722" s="2">
        <f>Sala[[#This Row],[Fecha de Salida]]</f>
        <v>45023</v>
      </c>
      <c r="V722" s="7" t="str">
        <f>TEXT(Sala[[#This Row],[Fecha factura]],"dddd")</f>
        <v>viernes</v>
      </c>
      <c r="W722" t="str">
        <f>IF(Sala[[#This Row],[Tiempo de degustación]]&gt;0,"Sí","No")</f>
        <v>Sí</v>
      </c>
      <c r="X722" t="str">
        <f>IF(Sala[[#This Row],[Cobrada]]="Sí",Sala[[#This Row],[Método de Pago]],"Impago")</f>
        <v>Tarjeta de crédito</v>
      </c>
      <c r="Y722">
        <f>IF(Sala[[#This Row],[Cobrada]]="Sí",Sala[[#This Row],[Propina]],0)</f>
        <v>47.13</v>
      </c>
      <c r="Z722">
        <f>(IF(Sala[[#This Row],[Cobrada]]="Sí",Sala[[#This Row],[Monto total]],0))+Sala[[#This Row],[Propina real]]</f>
        <v>265.13</v>
      </c>
    </row>
    <row r="723" spans="1:26" x14ac:dyDescent="0.25">
      <c r="A723">
        <v>13</v>
      </c>
      <c r="B723" t="s">
        <v>575</v>
      </c>
      <c r="C723">
        <v>5</v>
      </c>
      <c r="D723" s="2">
        <v>45023</v>
      </c>
      <c r="E723" s="3">
        <v>0.11874999999999999</v>
      </c>
      <c r="F723" s="2">
        <v>45023</v>
      </c>
      <c r="G723" s="3">
        <v>0.17222222222222222</v>
      </c>
      <c r="H723" s="1" t="s">
        <v>16</v>
      </c>
      <c r="I723" t="s">
        <v>8</v>
      </c>
      <c r="J723" t="s">
        <v>601</v>
      </c>
      <c r="K723" s="9">
        <v>20.62</v>
      </c>
      <c r="L723" t="s">
        <v>17</v>
      </c>
      <c r="M723">
        <v>722</v>
      </c>
      <c r="N723" t="s">
        <v>44</v>
      </c>
      <c r="O723" s="3">
        <f>(Sala[[#This Row],[Hora de Salida]]-Sala[[#This Row],[Hora de llegada]])+IF(Sala[[#This Row],[Estado de la Mesa]]="Ocupada",(TEXT((15/(60*24)),"h:mm")),(TEXT(0,"h:mm")))</f>
        <v>5.3472222222222227E-2</v>
      </c>
      <c r="P723" s="43">
        <f>(SUMIF(Cocina[Número de Orden],Sala[[#This Row],[Número de Orden]],Cocina[Tiempo de Preparación]))</f>
        <v>59</v>
      </c>
      <c r="Q723" s="5" t="str">
        <f>TEXT(((SUMIF(Cocina[Número de Orden],Sala[[#This Row],[Número de Orden]],Cocina[Tiempo de Preparación]))/(60*24)),"h:mm")</f>
        <v>0:59</v>
      </c>
      <c r="R723" s="3">
        <f>MAX((Sala[[#This Row],[Tiempo de permanencia]]-Sala[[#This Row],[Tiempo de preparación (h)]]),0)</f>
        <v>1.2500000000000004E-2</v>
      </c>
      <c r="S723" s="8">
        <f>SUMIF(Cocina[Número de Orden],Sala[[#This Row],[Número de Orden]],Cocina[Ganancia bruta])</f>
        <v>85</v>
      </c>
      <c r="T723" s="8">
        <f>SUMIF(Cocina[Número de Orden],Sala[[#This Row],[Número de Orden]],Cocina[Costo Unitario])</f>
        <v>26</v>
      </c>
      <c r="U723" s="2">
        <f>Sala[[#This Row],[Fecha de Salida]]</f>
        <v>45023</v>
      </c>
      <c r="V723" s="7" t="str">
        <f>TEXT(Sala[[#This Row],[Fecha factura]],"dddd")</f>
        <v>viernes</v>
      </c>
      <c r="W723" t="str">
        <f>IF(Sala[[#This Row],[Tiempo de degustación]]&gt;0,"Sí","No")</f>
        <v>Sí</v>
      </c>
      <c r="X723" t="str">
        <f>IF(Sala[[#This Row],[Cobrada]]="Sí",Sala[[#This Row],[Método de Pago]],"Impago")</f>
        <v>Tarjeta de crédito</v>
      </c>
      <c r="Y723">
        <f>IF(Sala[[#This Row],[Cobrada]]="Sí",Sala[[#This Row],[Propina]],0)</f>
        <v>20.62</v>
      </c>
      <c r="Z723">
        <f>(IF(Sala[[#This Row],[Cobrada]]="Sí",Sala[[#This Row],[Monto total]],0))+Sala[[#This Row],[Propina real]]</f>
        <v>105.62</v>
      </c>
    </row>
    <row r="724" spans="1:26" x14ac:dyDescent="0.25">
      <c r="A724">
        <v>12</v>
      </c>
      <c r="B724" t="s">
        <v>142</v>
      </c>
      <c r="C724">
        <v>2</v>
      </c>
      <c r="D724" s="2">
        <v>45023</v>
      </c>
      <c r="E724" s="3">
        <v>6.5972222222222224E-2</v>
      </c>
      <c r="F724" s="2">
        <v>45023</v>
      </c>
      <c r="G724" s="3">
        <v>0.20069444444444445</v>
      </c>
      <c r="H724" s="1" t="s">
        <v>23</v>
      </c>
      <c r="I724" t="s">
        <v>12</v>
      </c>
      <c r="J724" t="s">
        <v>13</v>
      </c>
      <c r="K724" s="9">
        <v>27.79</v>
      </c>
      <c r="L724" t="s">
        <v>17</v>
      </c>
      <c r="M724">
        <v>723</v>
      </c>
      <c r="N724" t="s">
        <v>47</v>
      </c>
      <c r="O724" s="3">
        <f>(Sala[[#This Row],[Hora de Salida]]-Sala[[#This Row],[Hora de llegada]])+IF(Sala[[#This Row],[Estado de la Mesa]]="Ocupada",(TEXT((15/(60*24)),"h:mm")),(TEXT(0,"h:mm")))</f>
        <v>0.13472222222222224</v>
      </c>
      <c r="P724" s="43">
        <f>(SUMIF(Cocina[Número de Orden],Sala[[#This Row],[Número de Orden]],Cocina[Tiempo de Preparación]))</f>
        <v>31</v>
      </c>
      <c r="Q724" s="5" t="str">
        <f>TEXT(((SUMIF(Cocina[Número de Orden],Sala[[#This Row],[Número de Orden]],Cocina[Tiempo de Preparación]))/(60*24)),"h:mm")</f>
        <v>0:31</v>
      </c>
      <c r="R724" s="3">
        <f>MAX((Sala[[#This Row],[Tiempo de permanencia]]-Sala[[#This Row],[Tiempo de preparación (h)]]),0)</f>
        <v>0.11319444444444446</v>
      </c>
      <c r="S724" s="8">
        <f>SUMIF(Cocina[Número de Orden],Sala[[#This Row],[Número de Orden]],Cocina[Ganancia bruta])</f>
        <v>126</v>
      </c>
      <c r="T724" s="8">
        <f>SUMIF(Cocina[Número de Orden],Sala[[#This Row],[Número de Orden]],Cocina[Costo Unitario])</f>
        <v>37</v>
      </c>
      <c r="U724" s="2">
        <f>Sala[[#This Row],[Fecha de Salida]]</f>
        <v>45023</v>
      </c>
      <c r="V724" s="7" t="str">
        <f>TEXT(Sala[[#This Row],[Fecha factura]],"dddd")</f>
        <v>viernes</v>
      </c>
      <c r="W724" t="str">
        <f>IF(Sala[[#This Row],[Tiempo de degustación]]&gt;0,"Sí","No")</f>
        <v>Sí</v>
      </c>
      <c r="X724" t="str">
        <f>IF(Sala[[#This Row],[Cobrada]]="Sí",Sala[[#This Row],[Método de Pago]],"Impago")</f>
        <v>Efectivo</v>
      </c>
      <c r="Y724">
        <f>IF(Sala[[#This Row],[Cobrada]]="Sí",Sala[[#This Row],[Propina]],0)</f>
        <v>27.79</v>
      </c>
      <c r="Z724">
        <f>(IF(Sala[[#This Row],[Cobrada]]="Sí",Sala[[#This Row],[Monto total]],0))+Sala[[#This Row],[Propina real]]</f>
        <v>153.79</v>
      </c>
    </row>
    <row r="725" spans="1:26" x14ac:dyDescent="0.25">
      <c r="A725">
        <v>8</v>
      </c>
      <c r="B725" t="s">
        <v>83</v>
      </c>
      <c r="C725">
        <v>6</v>
      </c>
      <c r="D725" s="2">
        <v>45023</v>
      </c>
      <c r="E725" s="3">
        <v>0.12222222222222222</v>
      </c>
      <c r="F725" s="2">
        <v>45023</v>
      </c>
      <c r="G725" s="3">
        <v>0.17708333333333334</v>
      </c>
      <c r="H725" s="1" t="s">
        <v>20</v>
      </c>
      <c r="I725" t="s">
        <v>25</v>
      </c>
      <c r="J725" t="s">
        <v>13</v>
      </c>
      <c r="K725" s="9">
        <v>14.12</v>
      </c>
      <c r="L725" t="s">
        <v>17</v>
      </c>
      <c r="M725">
        <v>724</v>
      </c>
      <c r="N725" t="s">
        <v>29</v>
      </c>
      <c r="O725" s="3">
        <f>(Sala[[#This Row],[Hora de Salida]]-Sala[[#This Row],[Hora de llegada]])+IF(Sala[[#This Row],[Estado de la Mesa]]="Ocupada",(TEXT((15/(60*24)),"h:mm")),(TEXT(0,"h:mm")))</f>
        <v>5.4861111111111124E-2</v>
      </c>
      <c r="P725" s="43">
        <f>(SUMIF(Cocina[Número de Orden],Sala[[#This Row],[Número de Orden]],Cocina[Tiempo de Preparación]))</f>
        <v>56</v>
      </c>
      <c r="Q725" s="5" t="str">
        <f>TEXT(((SUMIF(Cocina[Número de Orden],Sala[[#This Row],[Número de Orden]],Cocina[Tiempo de Preparación]))/(60*24)),"h:mm")</f>
        <v>0:56</v>
      </c>
      <c r="R725" s="3">
        <f>MAX((Sala[[#This Row],[Tiempo de permanencia]]-Sala[[#This Row],[Tiempo de preparación (h)]]),0)</f>
        <v>1.5972222222222235E-2</v>
      </c>
      <c r="S725" s="8">
        <f>SUMIF(Cocina[Número de Orden],Sala[[#This Row],[Número de Orden]],Cocina[Ganancia bruta])</f>
        <v>66</v>
      </c>
      <c r="T725" s="8">
        <f>SUMIF(Cocina[Número de Orden],Sala[[#This Row],[Número de Orden]],Cocina[Costo Unitario])</f>
        <v>13</v>
      </c>
      <c r="U725" s="2">
        <f>Sala[[#This Row],[Fecha de Salida]]</f>
        <v>45023</v>
      </c>
      <c r="V725" s="7" t="str">
        <f>TEXT(Sala[[#This Row],[Fecha factura]],"dddd")</f>
        <v>viernes</v>
      </c>
      <c r="W725" t="str">
        <f>IF(Sala[[#This Row],[Tiempo de degustación]]&gt;0,"Sí","No")</f>
        <v>Sí</v>
      </c>
      <c r="X725" t="str">
        <f>IF(Sala[[#This Row],[Cobrada]]="Sí",Sala[[#This Row],[Método de Pago]],"Impago")</f>
        <v>Efectivo</v>
      </c>
      <c r="Y725">
        <f>IF(Sala[[#This Row],[Cobrada]]="Sí",Sala[[#This Row],[Propina]],0)</f>
        <v>14.12</v>
      </c>
      <c r="Z725">
        <f>(IF(Sala[[#This Row],[Cobrada]]="Sí",Sala[[#This Row],[Monto total]],0))+Sala[[#This Row],[Propina real]]</f>
        <v>80.12</v>
      </c>
    </row>
    <row r="726" spans="1:26" x14ac:dyDescent="0.25">
      <c r="A726">
        <v>10</v>
      </c>
      <c r="B726" t="s">
        <v>576</v>
      </c>
      <c r="C726">
        <v>4</v>
      </c>
      <c r="D726" s="2">
        <v>45023</v>
      </c>
      <c r="E726" s="3">
        <v>7.4999999999999997E-2</v>
      </c>
      <c r="F726" s="2">
        <v>45023</v>
      </c>
      <c r="G726" s="3">
        <v>0.1388888888888889</v>
      </c>
      <c r="H726" s="1" t="s">
        <v>23</v>
      </c>
      <c r="I726" t="s">
        <v>8</v>
      </c>
      <c r="J726" t="s">
        <v>13</v>
      </c>
      <c r="K726" s="9">
        <v>18.66</v>
      </c>
      <c r="L726" t="s">
        <v>28</v>
      </c>
      <c r="M726">
        <v>725</v>
      </c>
      <c r="N726" t="s">
        <v>47</v>
      </c>
      <c r="O726" s="3">
        <f>(Sala[[#This Row],[Hora de Salida]]-Sala[[#This Row],[Hora de llegada]])+IF(Sala[[#This Row],[Estado de la Mesa]]="Ocupada",(TEXT((15/(60*24)),"h:mm")),(TEXT(0,"h:mm")))</f>
        <v>7.4305555555555569E-2</v>
      </c>
      <c r="P726" s="43">
        <f>(SUMIF(Cocina[Número de Orden],Sala[[#This Row],[Número de Orden]],Cocina[Tiempo de Preparación]))</f>
        <v>85</v>
      </c>
      <c r="Q726" s="5" t="str">
        <f>TEXT(((SUMIF(Cocina[Número de Orden],Sala[[#This Row],[Número de Orden]],Cocina[Tiempo de Preparación]))/(60*24)),"h:mm")</f>
        <v>1:25</v>
      </c>
      <c r="R726" s="3">
        <f>MAX((Sala[[#This Row],[Tiempo de permanencia]]-Sala[[#This Row],[Tiempo de preparación (h)]]),0)</f>
        <v>1.5277777777777793E-2</v>
      </c>
      <c r="S726" s="8">
        <f>SUMIF(Cocina[Número de Orden],Sala[[#This Row],[Número de Orden]],Cocina[Ganancia bruta])</f>
        <v>168</v>
      </c>
      <c r="T726" s="8">
        <f>SUMIF(Cocina[Número de Orden],Sala[[#This Row],[Número de Orden]],Cocina[Costo Unitario])</f>
        <v>33</v>
      </c>
      <c r="U726" s="2">
        <f>Sala[[#This Row],[Fecha de Salida]]</f>
        <v>45023</v>
      </c>
      <c r="V726" s="7" t="str">
        <f>TEXT(Sala[[#This Row],[Fecha factura]],"dddd")</f>
        <v>viernes</v>
      </c>
      <c r="W726" t="str">
        <f>IF(Sala[[#This Row],[Tiempo de degustación]]&gt;0,"Sí","No")</f>
        <v>Sí</v>
      </c>
      <c r="X726" t="str">
        <f>IF(Sala[[#This Row],[Cobrada]]="Sí",Sala[[#This Row],[Método de Pago]],"Impago")</f>
        <v>Efectivo</v>
      </c>
      <c r="Y726">
        <f>IF(Sala[[#This Row],[Cobrada]]="Sí",Sala[[#This Row],[Propina]],0)</f>
        <v>18.66</v>
      </c>
      <c r="Z726">
        <f>(IF(Sala[[#This Row],[Cobrada]]="Sí",Sala[[#This Row],[Monto total]],0))+Sala[[#This Row],[Propina real]]</f>
        <v>186.66</v>
      </c>
    </row>
    <row r="727" spans="1:26" x14ac:dyDescent="0.25">
      <c r="A727">
        <v>11</v>
      </c>
      <c r="B727" t="s">
        <v>217</v>
      </c>
      <c r="C727">
        <v>2</v>
      </c>
      <c r="D727" s="2">
        <v>45023</v>
      </c>
      <c r="E727" s="3">
        <v>0.10277777777777777</v>
      </c>
      <c r="F727" s="2">
        <v>45023</v>
      </c>
      <c r="G727" s="3">
        <v>0.23819444444444443</v>
      </c>
      <c r="H727" s="1" t="s">
        <v>20</v>
      </c>
      <c r="I727" t="s">
        <v>12</v>
      </c>
      <c r="J727" t="s">
        <v>601</v>
      </c>
      <c r="K727" s="9">
        <v>41.38</v>
      </c>
      <c r="L727" t="s">
        <v>9</v>
      </c>
      <c r="M727">
        <v>726</v>
      </c>
      <c r="N727" t="s">
        <v>594</v>
      </c>
      <c r="O727" s="3">
        <f>(Sala[[#This Row],[Hora de Salida]]-Sala[[#This Row],[Hora de llegada]])+IF(Sala[[#This Row],[Estado de la Mesa]]="Ocupada",(TEXT((15/(60*24)),"h:mm")),(TEXT(0,"h:mm")))</f>
        <v>0.13541666666666666</v>
      </c>
      <c r="P727" s="43">
        <f>(SUMIF(Cocina[Número de Orden],Sala[[#This Row],[Número de Orden]],Cocina[Tiempo de Preparación]))</f>
        <v>74</v>
      </c>
      <c r="Q727" s="5" t="str">
        <f>TEXT(((SUMIF(Cocina[Número de Orden],Sala[[#This Row],[Número de Orden]],Cocina[Tiempo de Preparación]))/(60*24)),"h:mm")</f>
        <v>1:14</v>
      </c>
      <c r="R727" s="3">
        <f>MAX((Sala[[#This Row],[Tiempo de permanencia]]-Sala[[#This Row],[Tiempo de preparación (h)]]),0)</f>
        <v>8.4027777777777771E-2</v>
      </c>
      <c r="S727" s="8">
        <f>SUMIF(Cocina[Número de Orden],Sala[[#This Row],[Número de Orden]],Cocina[Ganancia bruta])</f>
        <v>126</v>
      </c>
      <c r="T727" s="8">
        <f>SUMIF(Cocina[Número de Orden],Sala[[#This Row],[Número de Orden]],Cocina[Costo Unitario])</f>
        <v>49</v>
      </c>
      <c r="U727" s="2">
        <f>Sala[[#This Row],[Fecha de Salida]]</f>
        <v>45023</v>
      </c>
      <c r="V727" s="7" t="str">
        <f>TEXT(Sala[[#This Row],[Fecha factura]],"dddd")</f>
        <v>viernes</v>
      </c>
      <c r="W727" t="str">
        <f>IF(Sala[[#This Row],[Tiempo de degustación]]&gt;0,"Sí","No")</f>
        <v>Sí</v>
      </c>
      <c r="X727" t="str">
        <f>IF(Sala[[#This Row],[Cobrada]]="Sí",Sala[[#This Row],[Método de Pago]],"Impago")</f>
        <v>Tarjeta de crédito</v>
      </c>
      <c r="Y727">
        <f>IF(Sala[[#This Row],[Cobrada]]="Sí",Sala[[#This Row],[Propina]],0)</f>
        <v>41.38</v>
      </c>
      <c r="Z727">
        <f>(IF(Sala[[#This Row],[Cobrada]]="Sí",Sala[[#This Row],[Monto total]],0))+Sala[[#This Row],[Propina real]]</f>
        <v>167.38</v>
      </c>
    </row>
    <row r="728" spans="1:26" x14ac:dyDescent="0.25">
      <c r="A728">
        <v>17</v>
      </c>
      <c r="B728" t="s">
        <v>499</v>
      </c>
      <c r="C728">
        <v>6</v>
      </c>
      <c r="D728" s="2">
        <v>45023</v>
      </c>
      <c r="E728" s="3">
        <v>2.1527777777777778E-2</v>
      </c>
      <c r="F728" s="2">
        <v>45023</v>
      </c>
      <c r="G728" s="3">
        <v>0.12638888888888888</v>
      </c>
      <c r="H728" s="1" t="s">
        <v>16</v>
      </c>
      <c r="I728" t="s">
        <v>25</v>
      </c>
      <c r="J728" t="s">
        <v>600</v>
      </c>
      <c r="K728" s="9">
        <v>13.24</v>
      </c>
      <c r="L728" t="s">
        <v>9</v>
      </c>
      <c r="M728">
        <v>727</v>
      </c>
      <c r="N728" t="s">
        <v>14</v>
      </c>
      <c r="O728" s="3">
        <f>(Sala[[#This Row],[Hora de Salida]]-Sala[[#This Row],[Hora de llegada]])+IF(Sala[[#This Row],[Estado de la Mesa]]="Ocupada",(TEXT((15/(60*24)),"h:mm")),(TEXT(0,"h:mm")))</f>
        <v>0.1048611111111111</v>
      </c>
      <c r="P728" s="43">
        <f>(SUMIF(Cocina[Número de Orden],Sala[[#This Row],[Número de Orden]],Cocina[Tiempo de Preparación]))</f>
        <v>21</v>
      </c>
      <c r="Q728" s="5" t="str">
        <f>TEXT(((SUMIF(Cocina[Número de Orden],Sala[[#This Row],[Número de Orden]],Cocina[Tiempo de Preparación]))/(60*24)),"h:mm")</f>
        <v>0:21</v>
      </c>
      <c r="R728" s="3">
        <f>MAX((Sala[[#This Row],[Tiempo de permanencia]]-Sala[[#This Row],[Tiempo de preparación (h)]]),0)</f>
        <v>9.0277777777777762E-2</v>
      </c>
      <c r="S728" s="8">
        <f>SUMIF(Cocina[Número de Orden],Sala[[#This Row],[Número de Orden]],Cocina[Ganancia bruta])</f>
        <v>40</v>
      </c>
      <c r="T728" s="8">
        <f>SUMIF(Cocina[Número de Orden],Sala[[#This Row],[Número de Orden]],Cocina[Costo Unitario])</f>
        <v>12</v>
      </c>
      <c r="U728" s="2">
        <f>Sala[[#This Row],[Fecha de Salida]]</f>
        <v>45023</v>
      </c>
      <c r="V728" s="7" t="str">
        <f>TEXT(Sala[[#This Row],[Fecha factura]],"dddd")</f>
        <v>viernes</v>
      </c>
      <c r="W728" t="str">
        <f>IF(Sala[[#This Row],[Tiempo de degustación]]&gt;0,"Sí","No")</f>
        <v>Sí</v>
      </c>
      <c r="X728" t="str">
        <f>IF(Sala[[#This Row],[Cobrada]]="Sí",Sala[[#This Row],[Método de Pago]],"Impago")</f>
        <v>Tarjeta de débito</v>
      </c>
      <c r="Y728">
        <f>IF(Sala[[#This Row],[Cobrada]]="Sí",Sala[[#This Row],[Propina]],0)</f>
        <v>13.24</v>
      </c>
      <c r="Z728">
        <f>(IF(Sala[[#This Row],[Cobrada]]="Sí",Sala[[#This Row],[Monto total]],0))+Sala[[#This Row],[Propina real]]</f>
        <v>53.24</v>
      </c>
    </row>
    <row r="729" spans="1:26" x14ac:dyDescent="0.25">
      <c r="A729">
        <v>9</v>
      </c>
      <c r="B729" t="s">
        <v>322</v>
      </c>
      <c r="C729">
        <v>6</v>
      </c>
      <c r="D729" s="2">
        <v>45023</v>
      </c>
      <c r="E729" s="3">
        <v>8.7499999999999994E-2</v>
      </c>
      <c r="F729" s="2">
        <v>45023</v>
      </c>
      <c r="G729" s="3">
        <v>0.18680555555555556</v>
      </c>
      <c r="H729" s="1" t="s">
        <v>11</v>
      </c>
      <c r="I729" t="s">
        <v>12</v>
      </c>
      <c r="J729" t="s">
        <v>600</v>
      </c>
      <c r="K729" s="9">
        <v>34.28</v>
      </c>
      <c r="L729" t="s">
        <v>28</v>
      </c>
      <c r="M729">
        <v>728</v>
      </c>
      <c r="N729" t="s">
        <v>59</v>
      </c>
      <c r="O729" s="3">
        <f>(Sala[[#This Row],[Hora de Salida]]-Sala[[#This Row],[Hora de llegada]])+IF(Sala[[#This Row],[Estado de la Mesa]]="Ocupada",(TEXT((15/(60*24)),"h:mm")),(TEXT(0,"h:mm")))</f>
        <v>0.10972222222222223</v>
      </c>
      <c r="P729" s="43">
        <f>(SUMIF(Cocina[Número de Orden],Sala[[#This Row],[Número de Orden]],Cocina[Tiempo de Preparación]))</f>
        <v>72</v>
      </c>
      <c r="Q729" s="5" t="str">
        <f>TEXT(((SUMIF(Cocina[Número de Orden],Sala[[#This Row],[Número de Orden]],Cocina[Tiempo de Preparación]))/(60*24)),"h:mm")</f>
        <v>1:12</v>
      </c>
      <c r="R729" s="3">
        <f>MAX((Sala[[#This Row],[Tiempo de permanencia]]-Sala[[#This Row],[Tiempo de preparación (h)]]),0)</f>
        <v>5.9722222222222232E-2</v>
      </c>
      <c r="S729" s="8">
        <f>SUMIF(Cocina[Número de Orden],Sala[[#This Row],[Número de Orden]],Cocina[Ganancia bruta])</f>
        <v>195</v>
      </c>
      <c r="T729" s="8">
        <f>SUMIF(Cocina[Número de Orden],Sala[[#This Row],[Número de Orden]],Cocina[Costo Unitario])</f>
        <v>45</v>
      </c>
      <c r="U729" s="2">
        <f>Sala[[#This Row],[Fecha de Salida]]</f>
        <v>45023</v>
      </c>
      <c r="V729" s="7" t="str">
        <f>TEXT(Sala[[#This Row],[Fecha factura]],"dddd")</f>
        <v>viernes</v>
      </c>
      <c r="W729" t="str">
        <f>IF(Sala[[#This Row],[Tiempo de degustación]]&gt;0,"Sí","No")</f>
        <v>Sí</v>
      </c>
      <c r="X729" t="str">
        <f>IF(Sala[[#This Row],[Cobrada]]="Sí",Sala[[#This Row],[Método de Pago]],"Impago")</f>
        <v>Tarjeta de débito</v>
      </c>
      <c r="Y729">
        <f>IF(Sala[[#This Row],[Cobrada]]="Sí",Sala[[#This Row],[Propina]],0)</f>
        <v>34.28</v>
      </c>
      <c r="Z729">
        <f>(IF(Sala[[#This Row],[Cobrada]]="Sí",Sala[[#This Row],[Monto total]],0))+Sala[[#This Row],[Propina real]]</f>
        <v>229.28</v>
      </c>
    </row>
    <row r="730" spans="1:26" x14ac:dyDescent="0.25">
      <c r="A730">
        <v>20</v>
      </c>
      <c r="B730" t="s">
        <v>260</v>
      </c>
      <c r="C730">
        <v>2</v>
      </c>
      <c r="D730" s="2">
        <v>45023</v>
      </c>
      <c r="E730" s="3">
        <v>0.11736111111111111</v>
      </c>
      <c r="F730" s="2">
        <v>45023</v>
      </c>
      <c r="G730" s="3">
        <v>0.25347222222222221</v>
      </c>
      <c r="H730" s="1" t="s">
        <v>20</v>
      </c>
      <c r="I730" t="s">
        <v>12</v>
      </c>
      <c r="J730" t="s">
        <v>601</v>
      </c>
      <c r="K730" s="9">
        <v>18.97</v>
      </c>
      <c r="L730" t="s">
        <v>28</v>
      </c>
      <c r="M730">
        <v>729</v>
      </c>
      <c r="N730" t="s">
        <v>34</v>
      </c>
      <c r="O730" s="3">
        <f>(Sala[[#This Row],[Hora de Salida]]-Sala[[#This Row],[Hora de llegada]])+IF(Sala[[#This Row],[Estado de la Mesa]]="Ocupada",(TEXT((15/(60*24)),"h:mm")),(TEXT(0,"h:mm")))</f>
        <v>0.14652777777777776</v>
      </c>
      <c r="P730" s="43">
        <f>(SUMIF(Cocina[Número de Orden],Sala[[#This Row],[Número de Orden]],Cocina[Tiempo de Preparación]))</f>
        <v>65</v>
      </c>
      <c r="Q730" s="5" t="str">
        <f>TEXT(((SUMIF(Cocina[Número de Orden],Sala[[#This Row],[Número de Orden]],Cocina[Tiempo de Preparación]))/(60*24)),"h:mm")</f>
        <v>1:05</v>
      </c>
      <c r="R730" s="3">
        <f>MAX((Sala[[#This Row],[Tiempo de permanencia]]-Sala[[#This Row],[Tiempo de preparación (h)]]),0)</f>
        <v>0.10138888888888886</v>
      </c>
      <c r="S730" s="8">
        <f>SUMIF(Cocina[Número de Orden],Sala[[#This Row],[Número de Orden]],Cocina[Ganancia bruta])</f>
        <v>128</v>
      </c>
      <c r="T730" s="8">
        <f>SUMIF(Cocina[Número de Orden],Sala[[#This Row],[Número de Orden]],Cocina[Costo Unitario])</f>
        <v>32</v>
      </c>
      <c r="U730" s="2">
        <f>Sala[[#This Row],[Fecha de Salida]]</f>
        <v>45023</v>
      </c>
      <c r="V730" s="7" t="str">
        <f>TEXT(Sala[[#This Row],[Fecha factura]],"dddd")</f>
        <v>viernes</v>
      </c>
      <c r="W730" t="str">
        <f>IF(Sala[[#This Row],[Tiempo de degustación]]&gt;0,"Sí","No")</f>
        <v>Sí</v>
      </c>
      <c r="X730" t="str">
        <f>IF(Sala[[#This Row],[Cobrada]]="Sí",Sala[[#This Row],[Método de Pago]],"Impago")</f>
        <v>Tarjeta de crédito</v>
      </c>
      <c r="Y730">
        <f>IF(Sala[[#This Row],[Cobrada]]="Sí",Sala[[#This Row],[Propina]],0)</f>
        <v>18.97</v>
      </c>
      <c r="Z730">
        <f>(IF(Sala[[#This Row],[Cobrada]]="Sí",Sala[[#This Row],[Monto total]],0))+Sala[[#This Row],[Propina real]]</f>
        <v>146.97</v>
      </c>
    </row>
    <row r="731" spans="1:26" x14ac:dyDescent="0.25">
      <c r="A731">
        <v>8</v>
      </c>
      <c r="B731" t="s">
        <v>505</v>
      </c>
      <c r="C731">
        <v>3</v>
      </c>
      <c r="D731" s="2">
        <v>45023</v>
      </c>
      <c r="E731" s="3">
        <v>2.013888888888889E-2</v>
      </c>
      <c r="F731" s="2">
        <v>45023</v>
      </c>
      <c r="G731" s="3">
        <v>0.10625</v>
      </c>
      <c r="H731" s="1" t="s">
        <v>7</v>
      </c>
      <c r="I731" t="s">
        <v>8</v>
      </c>
      <c r="J731" t="s">
        <v>601</v>
      </c>
      <c r="K731" s="9">
        <v>15.02</v>
      </c>
      <c r="L731" t="s">
        <v>28</v>
      </c>
      <c r="M731">
        <v>730</v>
      </c>
      <c r="N731" t="s">
        <v>594</v>
      </c>
      <c r="O731" s="3">
        <f>(Sala[[#This Row],[Hora de Salida]]-Sala[[#This Row],[Hora de llegada]])+IF(Sala[[#This Row],[Estado de la Mesa]]="Ocupada",(TEXT((15/(60*24)),"h:mm")),(TEXT(0,"h:mm")))</f>
        <v>9.6527777777777782E-2</v>
      </c>
      <c r="P731" s="43">
        <f>(SUMIF(Cocina[Número de Orden],Sala[[#This Row],[Número de Orden]],Cocina[Tiempo de Preparación]))</f>
        <v>79</v>
      </c>
      <c r="Q731" s="5" t="str">
        <f>TEXT(((SUMIF(Cocina[Número de Orden],Sala[[#This Row],[Número de Orden]],Cocina[Tiempo de Preparación]))/(60*24)),"h:mm")</f>
        <v>1:19</v>
      </c>
      <c r="R731" s="3">
        <f>MAX((Sala[[#This Row],[Tiempo de permanencia]]-Sala[[#This Row],[Tiempo de preparación (h)]]),0)</f>
        <v>4.1666666666666671E-2</v>
      </c>
      <c r="S731" s="8">
        <f>SUMIF(Cocina[Número de Orden],Sala[[#This Row],[Número de Orden]],Cocina[Ganancia bruta])</f>
        <v>114</v>
      </c>
      <c r="T731" s="8">
        <f>SUMIF(Cocina[Número de Orden],Sala[[#This Row],[Número de Orden]],Cocina[Costo Unitario])</f>
        <v>32</v>
      </c>
      <c r="U731" s="2">
        <f>Sala[[#This Row],[Fecha de Salida]]</f>
        <v>45023</v>
      </c>
      <c r="V731" s="7" t="str">
        <f>TEXT(Sala[[#This Row],[Fecha factura]],"dddd")</f>
        <v>viernes</v>
      </c>
      <c r="W731" t="str">
        <f>IF(Sala[[#This Row],[Tiempo de degustación]]&gt;0,"Sí","No")</f>
        <v>Sí</v>
      </c>
      <c r="X731" t="str">
        <f>IF(Sala[[#This Row],[Cobrada]]="Sí",Sala[[#This Row],[Método de Pago]],"Impago")</f>
        <v>Tarjeta de crédito</v>
      </c>
      <c r="Y731">
        <f>IF(Sala[[#This Row],[Cobrada]]="Sí",Sala[[#This Row],[Propina]],0)</f>
        <v>15.02</v>
      </c>
      <c r="Z731">
        <f>(IF(Sala[[#This Row],[Cobrada]]="Sí",Sala[[#This Row],[Monto total]],0))+Sala[[#This Row],[Propina real]]</f>
        <v>129.02000000000001</v>
      </c>
    </row>
    <row r="732" spans="1:26" x14ac:dyDescent="0.25">
      <c r="A732">
        <v>17</v>
      </c>
      <c r="B732" t="s">
        <v>393</v>
      </c>
      <c r="C732">
        <v>3</v>
      </c>
      <c r="D732" s="2">
        <v>45023</v>
      </c>
      <c r="E732" s="3">
        <v>0.1361111111111111</v>
      </c>
      <c r="F732" s="2">
        <v>45023</v>
      </c>
      <c r="G732" s="3">
        <v>0.2673611111111111</v>
      </c>
      <c r="H732" s="1" t="s">
        <v>16</v>
      </c>
      <c r="I732" t="s">
        <v>8</v>
      </c>
      <c r="J732" t="s">
        <v>601</v>
      </c>
      <c r="K732" s="9">
        <v>14.35</v>
      </c>
      <c r="L732" t="s">
        <v>9</v>
      </c>
      <c r="M732">
        <v>731</v>
      </c>
      <c r="N732" t="s">
        <v>47</v>
      </c>
      <c r="O732" s="3">
        <f>(Sala[[#This Row],[Hora de Salida]]-Sala[[#This Row],[Hora de llegada]])+IF(Sala[[#This Row],[Estado de la Mesa]]="Ocupada",(TEXT((15/(60*24)),"h:mm")),(TEXT(0,"h:mm")))</f>
        <v>0.13125000000000001</v>
      </c>
      <c r="P732" s="43">
        <f>(SUMIF(Cocina[Número de Orden],Sala[[#This Row],[Número de Orden]],Cocina[Tiempo de Preparación]))</f>
        <v>47</v>
      </c>
      <c r="Q732" s="5" t="str">
        <f>TEXT(((SUMIF(Cocina[Número de Orden],Sala[[#This Row],[Número de Orden]],Cocina[Tiempo de Preparación]))/(60*24)),"h:mm")</f>
        <v>0:47</v>
      </c>
      <c r="R732" s="3">
        <f>MAX((Sala[[#This Row],[Tiempo de permanencia]]-Sala[[#This Row],[Tiempo de preparación (h)]]),0)</f>
        <v>9.8611111111111122E-2</v>
      </c>
      <c r="S732" s="8">
        <f>SUMIF(Cocina[Número de Orden],Sala[[#This Row],[Número de Orden]],Cocina[Ganancia bruta])</f>
        <v>64</v>
      </c>
      <c r="T732" s="8">
        <f>SUMIF(Cocina[Número de Orden],Sala[[#This Row],[Número de Orden]],Cocina[Costo Unitario])</f>
        <v>19</v>
      </c>
      <c r="U732" s="2">
        <f>Sala[[#This Row],[Fecha de Salida]]</f>
        <v>45023</v>
      </c>
      <c r="V732" s="7" t="str">
        <f>TEXT(Sala[[#This Row],[Fecha factura]],"dddd")</f>
        <v>viernes</v>
      </c>
      <c r="W732" t="str">
        <f>IF(Sala[[#This Row],[Tiempo de degustación]]&gt;0,"Sí","No")</f>
        <v>Sí</v>
      </c>
      <c r="X732" t="str">
        <f>IF(Sala[[#This Row],[Cobrada]]="Sí",Sala[[#This Row],[Método de Pago]],"Impago")</f>
        <v>Tarjeta de crédito</v>
      </c>
      <c r="Y732">
        <f>IF(Sala[[#This Row],[Cobrada]]="Sí",Sala[[#This Row],[Propina]],0)</f>
        <v>14.35</v>
      </c>
      <c r="Z732">
        <f>(IF(Sala[[#This Row],[Cobrada]]="Sí",Sala[[#This Row],[Monto total]],0))+Sala[[#This Row],[Propina real]]</f>
        <v>78.349999999999994</v>
      </c>
    </row>
    <row r="733" spans="1:26" x14ac:dyDescent="0.25">
      <c r="A733">
        <v>12</v>
      </c>
      <c r="B733" t="s">
        <v>577</v>
      </c>
      <c r="C733">
        <v>3</v>
      </c>
      <c r="D733" s="2">
        <v>45023</v>
      </c>
      <c r="E733" s="3">
        <v>0.13680555555555557</v>
      </c>
      <c r="F733" s="2">
        <v>45023</v>
      </c>
      <c r="G733" s="3">
        <v>0.30069444444444443</v>
      </c>
      <c r="H733" s="1" t="s">
        <v>23</v>
      </c>
      <c r="I733" t="s">
        <v>8</v>
      </c>
      <c r="J733" t="s">
        <v>601</v>
      </c>
      <c r="K733" s="9">
        <v>43.35</v>
      </c>
      <c r="L733" t="s">
        <v>9</v>
      </c>
      <c r="M733">
        <v>732</v>
      </c>
      <c r="N733" t="s">
        <v>18</v>
      </c>
      <c r="O733" s="3">
        <f>(Sala[[#This Row],[Hora de Salida]]-Sala[[#This Row],[Hora de llegada]])+IF(Sala[[#This Row],[Estado de la Mesa]]="Ocupada",(TEXT((15/(60*24)),"h:mm")),(TEXT(0,"h:mm")))</f>
        <v>0.16388888888888886</v>
      </c>
      <c r="P733" s="43">
        <f>(SUMIF(Cocina[Número de Orden],Sala[[#This Row],[Número de Orden]],Cocina[Tiempo de Preparación]))</f>
        <v>121</v>
      </c>
      <c r="Q733" s="5" t="str">
        <f>TEXT(((SUMIF(Cocina[Número de Orden],Sala[[#This Row],[Número de Orden]],Cocina[Tiempo de Preparación]))/(60*24)),"h:mm")</f>
        <v>2:01</v>
      </c>
      <c r="R733" s="3">
        <f>MAX((Sala[[#This Row],[Tiempo de permanencia]]-Sala[[#This Row],[Tiempo de preparación (h)]]),0)</f>
        <v>7.9861111111111077E-2</v>
      </c>
      <c r="S733" s="8">
        <f>SUMIF(Cocina[Número de Orden],Sala[[#This Row],[Número de Orden]],Cocina[Ganancia bruta])</f>
        <v>306</v>
      </c>
      <c r="T733" s="8">
        <f>SUMIF(Cocina[Número de Orden],Sala[[#This Row],[Número de Orden]],Cocina[Costo Unitario])</f>
        <v>62</v>
      </c>
      <c r="U733" s="2">
        <f>Sala[[#This Row],[Fecha de Salida]]</f>
        <v>45023</v>
      </c>
      <c r="V733" s="7" t="str">
        <f>TEXT(Sala[[#This Row],[Fecha factura]],"dddd")</f>
        <v>viernes</v>
      </c>
      <c r="W733" t="str">
        <f>IF(Sala[[#This Row],[Tiempo de degustación]]&gt;0,"Sí","No")</f>
        <v>Sí</v>
      </c>
      <c r="X733" t="str">
        <f>IF(Sala[[#This Row],[Cobrada]]="Sí",Sala[[#This Row],[Método de Pago]],"Impago")</f>
        <v>Tarjeta de crédito</v>
      </c>
      <c r="Y733">
        <f>IF(Sala[[#This Row],[Cobrada]]="Sí",Sala[[#This Row],[Propina]],0)</f>
        <v>43.35</v>
      </c>
      <c r="Z733">
        <f>(IF(Sala[[#This Row],[Cobrada]]="Sí",Sala[[#This Row],[Monto total]],0))+Sala[[#This Row],[Propina real]]</f>
        <v>349.35</v>
      </c>
    </row>
    <row r="734" spans="1:26" x14ac:dyDescent="0.25">
      <c r="A734">
        <v>14</v>
      </c>
      <c r="B734" t="s">
        <v>201</v>
      </c>
      <c r="C734">
        <v>6</v>
      </c>
      <c r="D734" s="2">
        <v>45023</v>
      </c>
      <c r="E734" s="3">
        <v>0.15277777777777779</v>
      </c>
      <c r="F734" s="2">
        <v>45023</v>
      </c>
      <c r="G734" s="3">
        <v>0.22777777777777777</v>
      </c>
      <c r="H734" s="1" t="s">
        <v>23</v>
      </c>
      <c r="I734" t="s">
        <v>25</v>
      </c>
      <c r="J734" t="s">
        <v>601</v>
      </c>
      <c r="K734" s="9">
        <v>35.090000000000003</v>
      </c>
      <c r="L734" t="s">
        <v>17</v>
      </c>
      <c r="M734">
        <v>733</v>
      </c>
      <c r="N734" t="s">
        <v>59</v>
      </c>
      <c r="O734" s="3">
        <f>(Sala[[#This Row],[Hora de Salida]]-Sala[[#This Row],[Hora de llegada]])+IF(Sala[[#This Row],[Estado de la Mesa]]="Ocupada",(TEXT((15/(60*24)),"h:mm")),(TEXT(0,"h:mm")))</f>
        <v>7.4999999999999983E-2</v>
      </c>
      <c r="P734" s="43">
        <f>(SUMIF(Cocina[Número de Orden],Sala[[#This Row],[Número de Orden]],Cocina[Tiempo de Preparación]))</f>
        <v>74</v>
      </c>
      <c r="Q734" s="5" t="str">
        <f>TEXT(((SUMIF(Cocina[Número de Orden],Sala[[#This Row],[Número de Orden]],Cocina[Tiempo de Preparación]))/(60*24)),"h:mm")</f>
        <v>1:14</v>
      </c>
      <c r="R734" s="3">
        <f>MAX((Sala[[#This Row],[Tiempo de permanencia]]-Sala[[#This Row],[Tiempo de preparación (h)]]),0)</f>
        <v>2.3611111111111097E-2</v>
      </c>
      <c r="S734" s="8">
        <f>SUMIF(Cocina[Número de Orden],Sala[[#This Row],[Número de Orden]],Cocina[Ganancia bruta])</f>
        <v>186</v>
      </c>
      <c r="T734" s="8">
        <f>SUMIF(Cocina[Número de Orden],Sala[[#This Row],[Número de Orden]],Cocina[Costo Unitario])</f>
        <v>52</v>
      </c>
      <c r="U734" s="2">
        <f>Sala[[#This Row],[Fecha de Salida]]</f>
        <v>45023</v>
      </c>
      <c r="V734" s="7" t="str">
        <f>TEXT(Sala[[#This Row],[Fecha factura]],"dddd")</f>
        <v>viernes</v>
      </c>
      <c r="W734" t="str">
        <f>IF(Sala[[#This Row],[Tiempo de degustación]]&gt;0,"Sí","No")</f>
        <v>Sí</v>
      </c>
      <c r="X734" t="str">
        <f>IF(Sala[[#This Row],[Cobrada]]="Sí",Sala[[#This Row],[Método de Pago]],"Impago")</f>
        <v>Tarjeta de crédito</v>
      </c>
      <c r="Y734">
        <f>IF(Sala[[#This Row],[Cobrada]]="Sí",Sala[[#This Row],[Propina]],0)</f>
        <v>35.090000000000003</v>
      </c>
      <c r="Z734">
        <f>(IF(Sala[[#This Row],[Cobrada]]="Sí",Sala[[#This Row],[Monto total]],0))+Sala[[#This Row],[Propina real]]</f>
        <v>221.09</v>
      </c>
    </row>
    <row r="735" spans="1:26" x14ac:dyDescent="0.25">
      <c r="A735">
        <v>14</v>
      </c>
      <c r="B735" t="s">
        <v>578</v>
      </c>
      <c r="C735">
        <v>2</v>
      </c>
      <c r="D735" s="2">
        <v>45023</v>
      </c>
      <c r="E735" s="3">
        <v>0.10208333333333333</v>
      </c>
      <c r="F735" s="2">
        <v>45023</v>
      </c>
      <c r="G735" s="3">
        <v>0.20624999999999999</v>
      </c>
      <c r="H735" s="1" t="s">
        <v>16</v>
      </c>
      <c r="I735" t="s">
        <v>8</v>
      </c>
      <c r="J735" t="s">
        <v>13</v>
      </c>
      <c r="K735" s="9">
        <v>46.82</v>
      </c>
      <c r="L735" t="s">
        <v>17</v>
      </c>
      <c r="M735">
        <v>734</v>
      </c>
      <c r="N735" t="s">
        <v>29</v>
      </c>
      <c r="O735" s="3">
        <f>(Sala[[#This Row],[Hora de Salida]]-Sala[[#This Row],[Hora de llegada]])+IF(Sala[[#This Row],[Estado de la Mesa]]="Ocupada",(TEXT((15/(60*24)),"h:mm")),(TEXT(0,"h:mm")))</f>
        <v>0.10416666666666666</v>
      </c>
      <c r="P735" s="43">
        <f>(SUMIF(Cocina[Número de Orden],Sala[[#This Row],[Número de Orden]],Cocina[Tiempo de Preparación]))</f>
        <v>52</v>
      </c>
      <c r="Q735" s="5" t="str">
        <f>TEXT(((SUMIF(Cocina[Número de Orden],Sala[[#This Row],[Número de Orden]],Cocina[Tiempo de Preparación]))/(60*24)),"h:mm")</f>
        <v>0:52</v>
      </c>
      <c r="R735" s="3">
        <f>MAX((Sala[[#This Row],[Tiempo de permanencia]]-Sala[[#This Row],[Tiempo de preparación (h)]]),0)</f>
        <v>6.805555555555555E-2</v>
      </c>
      <c r="S735" s="8">
        <f>SUMIF(Cocina[Número de Orden],Sala[[#This Row],[Número de Orden]],Cocina[Ganancia bruta])</f>
        <v>139</v>
      </c>
      <c r="T735" s="8">
        <f>SUMIF(Cocina[Número de Orden],Sala[[#This Row],[Número de Orden]],Cocina[Costo Unitario])</f>
        <v>44</v>
      </c>
      <c r="U735" s="2">
        <f>Sala[[#This Row],[Fecha de Salida]]</f>
        <v>45023</v>
      </c>
      <c r="V735" s="7" t="str">
        <f>TEXT(Sala[[#This Row],[Fecha factura]],"dddd")</f>
        <v>viernes</v>
      </c>
      <c r="W735" t="str">
        <f>IF(Sala[[#This Row],[Tiempo de degustación]]&gt;0,"Sí","No")</f>
        <v>Sí</v>
      </c>
      <c r="X735" t="str">
        <f>IF(Sala[[#This Row],[Cobrada]]="Sí",Sala[[#This Row],[Método de Pago]],"Impago")</f>
        <v>Efectivo</v>
      </c>
      <c r="Y735">
        <f>IF(Sala[[#This Row],[Cobrada]]="Sí",Sala[[#This Row],[Propina]],0)</f>
        <v>46.82</v>
      </c>
      <c r="Z735">
        <f>(IF(Sala[[#This Row],[Cobrada]]="Sí",Sala[[#This Row],[Monto total]],0))+Sala[[#This Row],[Propina real]]</f>
        <v>185.82</v>
      </c>
    </row>
    <row r="736" spans="1:26" x14ac:dyDescent="0.25">
      <c r="A736">
        <v>20</v>
      </c>
      <c r="B736" t="s">
        <v>330</v>
      </c>
      <c r="C736">
        <v>4</v>
      </c>
      <c r="D736" s="2">
        <v>45023</v>
      </c>
      <c r="E736" s="3">
        <v>7.7777777777777779E-2</v>
      </c>
      <c r="F736" s="2">
        <v>45023</v>
      </c>
      <c r="G736" s="3">
        <v>0.15763888888888888</v>
      </c>
      <c r="H736" s="1" t="s">
        <v>7</v>
      </c>
      <c r="I736" t="s">
        <v>12</v>
      </c>
      <c r="J736" t="s">
        <v>601</v>
      </c>
      <c r="K736" s="9">
        <v>38.43</v>
      </c>
      <c r="L736" t="s">
        <v>17</v>
      </c>
      <c r="M736">
        <v>735</v>
      </c>
      <c r="N736" t="s">
        <v>594</v>
      </c>
      <c r="O736" s="3">
        <f>(Sala[[#This Row],[Hora de Salida]]-Sala[[#This Row],[Hora de llegada]])+IF(Sala[[#This Row],[Estado de la Mesa]]="Ocupada",(TEXT((15/(60*24)),"h:mm")),(TEXT(0,"h:mm")))</f>
        <v>7.9861111111111105E-2</v>
      </c>
      <c r="P736" s="43">
        <f>(SUMIF(Cocina[Número de Orden],Sala[[#This Row],[Número de Orden]],Cocina[Tiempo de Preparación]))</f>
        <v>87</v>
      </c>
      <c r="Q736" s="5" t="str">
        <f>TEXT(((SUMIF(Cocina[Número de Orden],Sala[[#This Row],[Número de Orden]],Cocina[Tiempo de Preparación]))/(60*24)),"h:mm")</f>
        <v>1:27</v>
      </c>
      <c r="R736" s="3">
        <f>MAX((Sala[[#This Row],[Tiempo de permanencia]]-Sala[[#This Row],[Tiempo de preparación (h)]]),0)</f>
        <v>1.9444444444444438E-2</v>
      </c>
      <c r="S736" s="8">
        <f>SUMIF(Cocina[Número de Orden],Sala[[#This Row],[Número de Orden]],Cocina[Ganancia bruta])</f>
        <v>142</v>
      </c>
      <c r="T736" s="8">
        <f>SUMIF(Cocina[Número de Orden],Sala[[#This Row],[Número de Orden]],Cocina[Costo Unitario])</f>
        <v>33</v>
      </c>
      <c r="U736" s="2">
        <f>Sala[[#This Row],[Fecha de Salida]]</f>
        <v>45023</v>
      </c>
      <c r="V736" s="7" t="str">
        <f>TEXT(Sala[[#This Row],[Fecha factura]],"dddd")</f>
        <v>viernes</v>
      </c>
      <c r="W736" t="str">
        <f>IF(Sala[[#This Row],[Tiempo de degustación]]&gt;0,"Sí","No")</f>
        <v>Sí</v>
      </c>
      <c r="X736" t="str">
        <f>IF(Sala[[#This Row],[Cobrada]]="Sí",Sala[[#This Row],[Método de Pago]],"Impago")</f>
        <v>Tarjeta de crédito</v>
      </c>
      <c r="Y736">
        <f>IF(Sala[[#This Row],[Cobrada]]="Sí",Sala[[#This Row],[Propina]],0)</f>
        <v>38.43</v>
      </c>
      <c r="Z736">
        <f>(IF(Sala[[#This Row],[Cobrada]]="Sí",Sala[[#This Row],[Monto total]],0))+Sala[[#This Row],[Propina real]]</f>
        <v>180.43</v>
      </c>
    </row>
    <row r="737" spans="1:26" x14ac:dyDescent="0.25">
      <c r="A737">
        <v>17</v>
      </c>
      <c r="B737" t="s">
        <v>208</v>
      </c>
      <c r="C737">
        <v>2</v>
      </c>
      <c r="D737" s="2">
        <v>45023</v>
      </c>
      <c r="E737" s="3">
        <v>4.7222222222222221E-2</v>
      </c>
      <c r="F737" s="2">
        <v>45023</v>
      </c>
      <c r="G737" s="3">
        <v>0.14166666666666666</v>
      </c>
      <c r="H737" s="1" t="s">
        <v>23</v>
      </c>
      <c r="I737" t="s">
        <v>12</v>
      </c>
      <c r="J737" t="s">
        <v>601</v>
      </c>
      <c r="K737" s="9">
        <v>25.91</v>
      </c>
      <c r="L737" t="s">
        <v>28</v>
      </c>
      <c r="M737">
        <v>736</v>
      </c>
      <c r="N737" t="s">
        <v>594</v>
      </c>
      <c r="O737" s="3">
        <f>(Sala[[#This Row],[Hora de Salida]]-Sala[[#This Row],[Hora de llegada]])+IF(Sala[[#This Row],[Estado de la Mesa]]="Ocupada",(TEXT((15/(60*24)),"h:mm")),(TEXT(0,"h:mm")))</f>
        <v>0.10486111111111111</v>
      </c>
      <c r="P737" s="43">
        <f>(SUMIF(Cocina[Número de Orden],Sala[[#This Row],[Número de Orden]],Cocina[Tiempo de Preparación]))</f>
        <v>92</v>
      </c>
      <c r="Q737" s="5" t="str">
        <f>TEXT(((SUMIF(Cocina[Número de Orden],Sala[[#This Row],[Número de Orden]],Cocina[Tiempo de Preparación]))/(60*24)),"h:mm")</f>
        <v>1:32</v>
      </c>
      <c r="R737" s="3">
        <f>MAX((Sala[[#This Row],[Tiempo de permanencia]]-Sala[[#This Row],[Tiempo de preparación (h)]]),0)</f>
        <v>4.0972222222222229E-2</v>
      </c>
      <c r="S737" s="8">
        <f>SUMIF(Cocina[Número de Orden],Sala[[#This Row],[Número de Orden]],Cocina[Ganancia bruta])</f>
        <v>215</v>
      </c>
      <c r="T737" s="8">
        <f>SUMIF(Cocina[Número de Orden],Sala[[#This Row],[Número de Orden]],Cocina[Costo Unitario])</f>
        <v>48</v>
      </c>
      <c r="U737" s="2">
        <f>Sala[[#This Row],[Fecha de Salida]]</f>
        <v>45023</v>
      </c>
      <c r="V737" s="7" t="str">
        <f>TEXT(Sala[[#This Row],[Fecha factura]],"dddd")</f>
        <v>viernes</v>
      </c>
      <c r="W737" t="str">
        <f>IF(Sala[[#This Row],[Tiempo de degustación]]&gt;0,"Sí","No")</f>
        <v>Sí</v>
      </c>
      <c r="X737" t="str">
        <f>IF(Sala[[#This Row],[Cobrada]]="Sí",Sala[[#This Row],[Método de Pago]],"Impago")</f>
        <v>Tarjeta de crédito</v>
      </c>
      <c r="Y737">
        <f>IF(Sala[[#This Row],[Cobrada]]="Sí",Sala[[#This Row],[Propina]],0)</f>
        <v>25.91</v>
      </c>
      <c r="Z737">
        <f>(IF(Sala[[#This Row],[Cobrada]]="Sí",Sala[[#This Row],[Monto total]],0))+Sala[[#This Row],[Propina real]]</f>
        <v>240.91</v>
      </c>
    </row>
    <row r="738" spans="1:26" x14ac:dyDescent="0.25">
      <c r="A738">
        <v>6</v>
      </c>
      <c r="B738" t="s">
        <v>579</v>
      </c>
      <c r="C738">
        <v>1</v>
      </c>
      <c r="D738" s="2">
        <v>45023</v>
      </c>
      <c r="E738" s="3">
        <v>2.7083333333333334E-2</v>
      </c>
      <c r="F738" s="2">
        <v>45023</v>
      </c>
      <c r="G738" s="3">
        <v>0.12916666666666668</v>
      </c>
      <c r="H738" s="1" t="s">
        <v>16</v>
      </c>
      <c r="I738" t="s">
        <v>12</v>
      </c>
      <c r="J738" t="s">
        <v>600</v>
      </c>
      <c r="K738" s="9">
        <v>24.09</v>
      </c>
      <c r="L738" t="s">
        <v>9</v>
      </c>
      <c r="M738">
        <v>737</v>
      </c>
      <c r="N738" t="s">
        <v>21</v>
      </c>
      <c r="O738" s="3">
        <f>(Sala[[#This Row],[Hora de Salida]]-Sala[[#This Row],[Hora de llegada]])+IF(Sala[[#This Row],[Estado de la Mesa]]="Ocupada",(TEXT((15/(60*24)),"h:mm")),(TEXT(0,"h:mm")))</f>
        <v>0.10208333333333335</v>
      </c>
      <c r="P738" s="43">
        <f>(SUMIF(Cocina[Número de Orden],Sala[[#This Row],[Número de Orden]],Cocina[Tiempo de Preparación]))</f>
        <v>22</v>
      </c>
      <c r="Q738" s="5" t="str">
        <f>TEXT(((SUMIF(Cocina[Número de Orden],Sala[[#This Row],[Número de Orden]],Cocina[Tiempo de Preparación]))/(60*24)),"h:mm")</f>
        <v>0:22</v>
      </c>
      <c r="R738" s="3">
        <f>MAX((Sala[[#This Row],[Tiempo de permanencia]]-Sala[[#This Row],[Tiempo de preparación (h)]]),0)</f>
        <v>8.6805555555555566E-2</v>
      </c>
      <c r="S738" s="8">
        <f>SUMIF(Cocina[Número de Orden],Sala[[#This Row],[Número de Orden]],Cocina[Ganancia bruta])</f>
        <v>118</v>
      </c>
      <c r="T738" s="8">
        <f>SUMIF(Cocina[Número de Orden],Sala[[#This Row],[Número de Orden]],Cocina[Costo Unitario])</f>
        <v>35</v>
      </c>
      <c r="U738" s="2">
        <f>Sala[[#This Row],[Fecha de Salida]]</f>
        <v>45023</v>
      </c>
      <c r="V738" s="7" t="str">
        <f>TEXT(Sala[[#This Row],[Fecha factura]],"dddd")</f>
        <v>viernes</v>
      </c>
      <c r="W738" t="str">
        <f>IF(Sala[[#This Row],[Tiempo de degustación]]&gt;0,"Sí","No")</f>
        <v>Sí</v>
      </c>
      <c r="X738" t="str">
        <f>IF(Sala[[#This Row],[Cobrada]]="Sí",Sala[[#This Row],[Método de Pago]],"Impago")</f>
        <v>Tarjeta de débito</v>
      </c>
      <c r="Y738">
        <f>IF(Sala[[#This Row],[Cobrada]]="Sí",Sala[[#This Row],[Propina]],0)</f>
        <v>24.09</v>
      </c>
      <c r="Z738">
        <f>(IF(Sala[[#This Row],[Cobrada]]="Sí",Sala[[#This Row],[Monto total]],0))+Sala[[#This Row],[Propina real]]</f>
        <v>142.09</v>
      </c>
    </row>
    <row r="739" spans="1:26" x14ac:dyDescent="0.25">
      <c r="A739">
        <v>15</v>
      </c>
      <c r="B739" t="s">
        <v>458</v>
      </c>
      <c r="C739">
        <v>1</v>
      </c>
      <c r="D739" s="2">
        <v>45023</v>
      </c>
      <c r="E739" s="3">
        <v>3.5416666666666666E-2</v>
      </c>
      <c r="F739" s="2">
        <v>45023</v>
      </c>
      <c r="G739" s="3">
        <v>8.611111111111111E-2</v>
      </c>
      <c r="H739" s="1" t="s">
        <v>7</v>
      </c>
      <c r="I739" t="s">
        <v>8</v>
      </c>
      <c r="J739" t="s">
        <v>601</v>
      </c>
      <c r="K739" s="9">
        <v>17.37</v>
      </c>
      <c r="L739" t="s">
        <v>28</v>
      </c>
      <c r="M739">
        <v>738</v>
      </c>
      <c r="N739" t="s">
        <v>594</v>
      </c>
      <c r="O739" s="3">
        <f>(Sala[[#This Row],[Hora de Salida]]-Sala[[#This Row],[Hora de llegada]])+IF(Sala[[#This Row],[Estado de la Mesa]]="Ocupada",(TEXT((15/(60*24)),"h:mm")),(TEXT(0,"h:mm")))</f>
        <v>6.1111111111111109E-2</v>
      </c>
      <c r="P739" s="43">
        <f>(SUMIF(Cocina[Número de Orden],Sala[[#This Row],[Número de Orden]],Cocina[Tiempo de Preparación]))</f>
        <v>94</v>
      </c>
      <c r="Q739" s="5" t="str">
        <f>TEXT(((SUMIF(Cocina[Número de Orden],Sala[[#This Row],[Número de Orden]],Cocina[Tiempo de Preparación]))/(60*24)),"h:mm")</f>
        <v>1:34</v>
      </c>
      <c r="R739" s="3">
        <f>MAX((Sala[[#This Row],[Tiempo de permanencia]]-Sala[[#This Row],[Tiempo de preparación (h)]]),0)</f>
        <v>0</v>
      </c>
      <c r="S739" s="8">
        <f>SUMIF(Cocina[Número de Orden],Sala[[#This Row],[Número de Orden]],Cocina[Ganancia bruta])</f>
        <v>134</v>
      </c>
      <c r="T739" s="8">
        <f>SUMIF(Cocina[Número de Orden],Sala[[#This Row],[Número de Orden]],Cocina[Costo Unitario])</f>
        <v>41</v>
      </c>
      <c r="U739" s="2">
        <f>Sala[[#This Row],[Fecha de Salida]]</f>
        <v>45023</v>
      </c>
      <c r="V739" s="7" t="str">
        <f>TEXT(Sala[[#This Row],[Fecha factura]],"dddd")</f>
        <v>viernes</v>
      </c>
      <c r="W739" t="str">
        <f>IF(Sala[[#This Row],[Tiempo de degustación]]&gt;0,"Sí","No")</f>
        <v>No</v>
      </c>
      <c r="X739" t="str">
        <f>IF(Sala[[#This Row],[Cobrada]]="Sí",Sala[[#This Row],[Método de Pago]],"Impago")</f>
        <v>Impago</v>
      </c>
      <c r="Y739">
        <f>IF(Sala[[#This Row],[Cobrada]]="Sí",Sala[[#This Row],[Propina]],0)</f>
        <v>0</v>
      </c>
      <c r="Z739">
        <f>(IF(Sala[[#This Row],[Cobrada]]="Sí",Sala[[#This Row],[Monto total]],0))+Sala[[#This Row],[Propina real]]</f>
        <v>0</v>
      </c>
    </row>
    <row r="740" spans="1:26" x14ac:dyDescent="0.25">
      <c r="A740">
        <v>10</v>
      </c>
      <c r="B740" t="s">
        <v>580</v>
      </c>
      <c r="C740">
        <v>5</v>
      </c>
      <c r="D740" s="2">
        <v>45023</v>
      </c>
      <c r="E740" s="3">
        <v>0.16180555555555556</v>
      </c>
      <c r="F740" s="2">
        <v>45023</v>
      </c>
      <c r="G740" s="3">
        <v>0.25694444444444442</v>
      </c>
      <c r="H740" s="1" t="s">
        <v>16</v>
      </c>
      <c r="I740" t="s">
        <v>8</v>
      </c>
      <c r="J740" t="s">
        <v>600</v>
      </c>
      <c r="K740" s="9">
        <v>33.69</v>
      </c>
      <c r="L740" t="s">
        <v>9</v>
      </c>
      <c r="M740">
        <v>739</v>
      </c>
      <c r="N740" t="s">
        <v>14</v>
      </c>
      <c r="O740" s="3">
        <f>(Sala[[#This Row],[Hora de Salida]]-Sala[[#This Row],[Hora de llegada]])+IF(Sala[[#This Row],[Estado de la Mesa]]="Ocupada",(TEXT((15/(60*24)),"h:mm")),(TEXT(0,"h:mm")))</f>
        <v>9.5138888888888856E-2</v>
      </c>
      <c r="P740" s="43">
        <f>(SUMIF(Cocina[Número de Orden],Sala[[#This Row],[Número de Orden]],Cocina[Tiempo de Preparación]))</f>
        <v>54</v>
      </c>
      <c r="Q740" s="5" t="str">
        <f>TEXT(((SUMIF(Cocina[Número de Orden],Sala[[#This Row],[Número de Orden]],Cocina[Tiempo de Preparación]))/(60*24)),"h:mm")</f>
        <v>0:54</v>
      </c>
      <c r="R740" s="3">
        <f>MAX((Sala[[#This Row],[Tiempo de permanencia]]-Sala[[#This Row],[Tiempo de preparación (h)]]),0)</f>
        <v>5.7638888888888858E-2</v>
      </c>
      <c r="S740" s="8">
        <f>SUMIF(Cocina[Número de Orden],Sala[[#This Row],[Número de Orden]],Cocina[Ganancia bruta])</f>
        <v>46</v>
      </c>
      <c r="T740" s="8">
        <f>SUMIF(Cocina[Número de Orden],Sala[[#This Row],[Número de Orden]],Cocina[Costo Unitario])</f>
        <v>14</v>
      </c>
      <c r="U740" s="2">
        <f>Sala[[#This Row],[Fecha de Salida]]</f>
        <v>45023</v>
      </c>
      <c r="V740" s="7" t="str">
        <f>TEXT(Sala[[#This Row],[Fecha factura]],"dddd")</f>
        <v>viernes</v>
      </c>
      <c r="W740" t="str">
        <f>IF(Sala[[#This Row],[Tiempo de degustación]]&gt;0,"Sí","No")</f>
        <v>Sí</v>
      </c>
      <c r="X740" t="str">
        <f>IF(Sala[[#This Row],[Cobrada]]="Sí",Sala[[#This Row],[Método de Pago]],"Impago")</f>
        <v>Tarjeta de débito</v>
      </c>
      <c r="Y740">
        <f>IF(Sala[[#This Row],[Cobrada]]="Sí",Sala[[#This Row],[Propina]],0)</f>
        <v>33.69</v>
      </c>
      <c r="Z740">
        <f>(IF(Sala[[#This Row],[Cobrada]]="Sí",Sala[[#This Row],[Monto total]],0))+Sala[[#This Row],[Propina real]]</f>
        <v>79.69</v>
      </c>
    </row>
    <row r="741" spans="1:26" x14ac:dyDescent="0.25">
      <c r="A741">
        <v>16</v>
      </c>
      <c r="B741" t="s">
        <v>581</v>
      </c>
      <c r="C741">
        <v>6</v>
      </c>
      <c r="D741" s="2">
        <v>45023</v>
      </c>
      <c r="E741" s="3">
        <v>0.15902777777777777</v>
      </c>
      <c r="F741" s="2">
        <v>45023</v>
      </c>
      <c r="G741" s="3">
        <v>0.26666666666666666</v>
      </c>
      <c r="H741" s="1" t="s">
        <v>11</v>
      </c>
      <c r="I741" t="s">
        <v>8</v>
      </c>
      <c r="J741" t="s">
        <v>600</v>
      </c>
      <c r="K741" s="9">
        <v>16.05</v>
      </c>
      <c r="L741" t="s">
        <v>9</v>
      </c>
      <c r="M741">
        <v>740</v>
      </c>
      <c r="N741" t="s">
        <v>44</v>
      </c>
      <c r="O741" s="3">
        <f>(Sala[[#This Row],[Hora de Salida]]-Sala[[#This Row],[Hora de llegada]])+IF(Sala[[#This Row],[Estado de la Mesa]]="Ocupada",(TEXT((15/(60*24)),"h:mm")),(TEXT(0,"h:mm")))</f>
        <v>0.1076388888888889</v>
      </c>
      <c r="P741" s="43">
        <f>(SUMIF(Cocina[Número de Orden],Sala[[#This Row],[Número de Orden]],Cocina[Tiempo de Preparación]))</f>
        <v>113</v>
      </c>
      <c r="Q741" s="5" t="str">
        <f>TEXT(((SUMIF(Cocina[Número de Orden],Sala[[#This Row],[Número de Orden]],Cocina[Tiempo de Preparación]))/(60*24)),"h:mm")</f>
        <v>1:53</v>
      </c>
      <c r="R741" s="3">
        <f>MAX((Sala[[#This Row],[Tiempo de permanencia]]-Sala[[#This Row],[Tiempo de preparación (h)]]),0)</f>
        <v>2.9166666666666674E-2</v>
      </c>
      <c r="S741" s="8">
        <f>SUMIF(Cocina[Número de Orden],Sala[[#This Row],[Número de Orden]],Cocina[Ganancia bruta])</f>
        <v>293</v>
      </c>
      <c r="T741" s="8">
        <f>SUMIF(Cocina[Número de Orden],Sala[[#This Row],[Número de Orden]],Cocina[Costo Unitario])</f>
        <v>71</v>
      </c>
      <c r="U741" s="2">
        <f>Sala[[#This Row],[Fecha de Salida]]</f>
        <v>45023</v>
      </c>
      <c r="V741" s="7" t="str">
        <f>TEXT(Sala[[#This Row],[Fecha factura]],"dddd")</f>
        <v>viernes</v>
      </c>
      <c r="W741" t="str">
        <f>IF(Sala[[#This Row],[Tiempo de degustación]]&gt;0,"Sí","No")</f>
        <v>Sí</v>
      </c>
      <c r="X741" t="str">
        <f>IF(Sala[[#This Row],[Cobrada]]="Sí",Sala[[#This Row],[Método de Pago]],"Impago")</f>
        <v>Tarjeta de débito</v>
      </c>
      <c r="Y741">
        <f>IF(Sala[[#This Row],[Cobrada]]="Sí",Sala[[#This Row],[Propina]],0)</f>
        <v>16.05</v>
      </c>
      <c r="Z741">
        <f>(IF(Sala[[#This Row],[Cobrada]]="Sí",Sala[[#This Row],[Monto total]],0))+Sala[[#This Row],[Propina real]]</f>
        <v>309.05</v>
      </c>
    </row>
    <row r="742" spans="1:26" x14ac:dyDescent="0.25">
      <c r="A742">
        <v>14</v>
      </c>
      <c r="B742" t="s">
        <v>385</v>
      </c>
      <c r="C742">
        <v>4</v>
      </c>
      <c r="D742" s="2">
        <v>45023</v>
      </c>
      <c r="E742" s="3">
        <v>2.013888888888889E-2</v>
      </c>
      <c r="F742" s="2">
        <v>45023</v>
      </c>
      <c r="G742" s="3">
        <v>0.18263888888888888</v>
      </c>
      <c r="H742" s="1" t="s">
        <v>16</v>
      </c>
      <c r="I742" t="s">
        <v>8</v>
      </c>
      <c r="J742" t="s">
        <v>600</v>
      </c>
      <c r="K742" s="9">
        <v>40.31</v>
      </c>
      <c r="L742" t="s">
        <v>28</v>
      </c>
      <c r="M742">
        <v>741</v>
      </c>
      <c r="N742" t="s">
        <v>34</v>
      </c>
      <c r="O742" s="3">
        <f>(Sala[[#This Row],[Hora de Salida]]-Sala[[#This Row],[Hora de llegada]])+IF(Sala[[#This Row],[Estado de la Mesa]]="Ocupada",(TEXT((15/(60*24)),"h:mm")),(TEXT(0,"h:mm")))</f>
        <v>0.17291666666666664</v>
      </c>
      <c r="P742" s="43">
        <f>(SUMIF(Cocina[Número de Orden],Sala[[#This Row],[Número de Orden]],Cocina[Tiempo de Preparación]))</f>
        <v>165</v>
      </c>
      <c r="Q742" s="5" t="str">
        <f>TEXT(((SUMIF(Cocina[Número de Orden],Sala[[#This Row],[Número de Orden]],Cocina[Tiempo de Preparación]))/(60*24)),"h:mm")</f>
        <v>2:45</v>
      </c>
      <c r="R742" s="3">
        <f>MAX((Sala[[#This Row],[Tiempo de permanencia]]-Sala[[#This Row],[Tiempo de preparación (h)]]),0)</f>
        <v>5.8333333333333307E-2</v>
      </c>
      <c r="S742" s="8">
        <f>SUMIF(Cocina[Número de Orden],Sala[[#This Row],[Número de Orden]],Cocina[Ganancia bruta])</f>
        <v>285</v>
      </c>
      <c r="T742" s="8">
        <f>SUMIF(Cocina[Número de Orden],Sala[[#This Row],[Número de Orden]],Cocina[Costo Unitario])</f>
        <v>67</v>
      </c>
      <c r="U742" s="2">
        <f>Sala[[#This Row],[Fecha de Salida]]</f>
        <v>45023</v>
      </c>
      <c r="V742" s="7" t="str">
        <f>TEXT(Sala[[#This Row],[Fecha factura]],"dddd")</f>
        <v>viernes</v>
      </c>
      <c r="W742" t="str">
        <f>IF(Sala[[#This Row],[Tiempo de degustación]]&gt;0,"Sí","No")</f>
        <v>Sí</v>
      </c>
      <c r="X742" t="str">
        <f>IF(Sala[[#This Row],[Cobrada]]="Sí",Sala[[#This Row],[Método de Pago]],"Impago")</f>
        <v>Tarjeta de débito</v>
      </c>
      <c r="Y742">
        <f>IF(Sala[[#This Row],[Cobrada]]="Sí",Sala[[#This Row],[Propina]],0)</f>
        <v>40.31</v>
      </c>
      <c r="Z742">
        <f>(IF(Sala[[#This Row],[Cobrada]]="Sí",Sala[[#This Row],[Monto total]],0))+Sala[[#This Row],[Propina real]]</f>
        <v>325.31</v>
      </c>
    </row>
    <row r="743" spans="1:26" x14ac:dyDescent="0.25">
      <c r="A743">
        <v>20</v>
      </c>
      <c r="B743" t="s">
        <v>478</v>
      </c>
      <c r="C743">
        <v>4</v>
      </c>
      <c r="D743" s="2">
        <v>45023</v>
      </c>
      <c r="E743" s="3">
        <v>2.5000000000000001E-2</v>
      </c>
      <c r="F743" s="2">
        <v>45023</v>
      </c>
      <c r="G743" s="3">
        <v>9.8611111111111108E-2</v>
      </c>
      <c r="H743" s="1" t="s">
        <v>16</v>
      </c>
      <c r="I743" t="s">
        <v>12</v>
      </c>
      <c r="J743" t="s">
        <v>601</v>
      </c>
      <c r="K743" s="9">
        <v>10.51</v>
      </c>
      <c r="L743" t="s">
        <v>9</v>
      </c>
      <c r="M743">
        <v>742</v>
      </c>
      <c r="N743" t="s">
        <v>14</v>
      </c>
      <c r="O743" s="3">
        <f>(Sala[[#This Row],[Hora de Salida]]-Sala[[#This Row],[Hora de llegada]])+IF(Sala[[#This Row],[Estado de la Mesa]]="Ocupada",(TEXT((15/(60*24)),"h:mm")),(TEXT(0,"h:mm")))</f>
        <v>7.3611111111111099E-2</v>
      </c>
      <c r="P743" s="43">
        <f>(SUMIF(Cocina[Número de Orden],Sala[[#This Row],[Número de Orden]],Cocina[Tiempo de Preparación]))</f>
        <v>145</v>
      </c>
      <c r="Q743" s="5" t="str">
        <f>TEXT(((SUMIF(Cocina[Número de Orden],Sala[[#This Row],[Número de Orden]],Cocina[Tiempo de Preparación]))/(60*24)),"h:mm")</f>
        <v>2:25</v>
      </c>
      <c r="R743" s="3">
        <f>MAX((Sala[[#This Row],[Tiempo de permanencia]]-Sala[[#This Row],[Tiempo de preparación (h)]]),0)</f>
        <v>0</v>
      </c>
      <c r="S743" s="8">
        <f>SUMIF(Cocina[Número de Orden],Sala[[#This Row],[Número de Orden]],Cocina[Ganancia bruta])</f>
        <v>166</v>
      </c>
      <c r="T743" s="8">
        <f>SUMIF(Cocina[Número de Orden],Sala[[#This Row],[Número de Orden]],Cocina[Costo Unitario])</f>
        <v>63</v>
      </c>
      <c r="U743" s="2">
        <f>Sala[[#This Row],[Fecha de Salida]]</f>
        <v>45023</v>
      </c>
      <c r="V743" s="7" t="str">
        <f>TEXT(Sala[[#This Row],[Fecha factura]],"dddd")</f>
        <v>viernes</v>
      </c>
      <c r="W743" t="str">
        <f>IF(Sala[[#This Row],[Tiempo de degustación]]&gt;0,"Sí","No")</f>
        <v>No</v>
      </c>
      <c r="X743" t="str">
        <f>IF(Sala[[#This Row],[Cobrada]]="Sí",Sala[[#This Row],[Método de Pago]],"Impago")</f>
        <v>Impago</v>
      </c>
      <c r="Y743">
        <f>IF(Sala[[#This Row],[Cobrada]]="Sí",Sala[[#This Row],[Propina]],0)</f>
        <v>0</v>
      </c>
      <c r="Z743">
        <f>(IF(Sala[[#This Row],[Cobrada]]="Sí",Sala[[#This Row],[Monto total]],0))+Sala[[#This Row],[Propina real]]</f>
        <v>0</v>
      </c>
    </row>
    <row r="744" spans="1:26" x14ac:dyDescent="0.25">
      <c r="A744">
        <v>19</v>
      </c>
      <c r="B744" t="s">
        <v>335</v>
      </c>
      <c r="C744">
        <v>2</v>
      </c>
      <c r="D744" s="2">
        <v>45023</v>
      </c>
      <c r="E744" s="3">
        <v>0.15763888888888888</v>
      </c>
      <c r="F744" s="2">
        <v>45023</v>
      </c>
      <c r="G744" s="3">
        <v>0.32222222222222224</v>
      </c>
      <c r="H744" s="1" t="s">
        <v>7</v>
      </c>
      <c r="I744" t="s">
        <v>8</v>
      </c>
      <c r="J744" t="s">
        <v>600</v>
      </c>
      <c r="K744" s="9">
        <v>25.7</v>
      </c>
      <c r="L744" t="s">
        <v>28</v>
      </c>
      <c r="M744">
        <v>743</v>
      </c>
      <c r="N744" t="s">
        <v>18</v>
      </c>
      <c r="O744" s="3">
        <f>(Sala[[#This Row],[Hora de Salida]]-Sala[[#This Row],[Hora de llegada]])+IF(Sala[[#This Row],[Estado de la Mesa]]="Ocupada",(TEXT((15/(60*24)),"h:mm")),(TEXT(0,"h:mm")))</f>
        <v>0.17500000000000002</v>
      </c>
      <c r="P744" s="43">
        <f>(SUMIF(Cocina[Número de Orden],Sala[[#This Row],[Número de Orden]],Cocina[Tiempo de Preparación]))</f>
        <v>143</v>
      </c>
      <c r="Q744" s="5" t="str">
        <f>TEXT(((SUMIF(Cocina[Número de Orden],Sala[[#This Row],[Número de Orden]],Cocina[Tiempo de Preparación]))/(60*24)),"h:mm")</f>
        <v>2:23</v>
      </c>
      <c r="R744" s="3">
        <f>MAX((Sala[[#This Row],[Tiempo de permanencia]]-Sala[[#This Row],[Tiempo de preparación (h)]]),0)</f>
        <v>7.5694444444444467E-2</v>
      </c>
      <c r="S744" s="8">
        <f>SUMIF(Cocina[Número de Orden],Sala[[#This Row],[Número de Orden]],Cocina[Ganancia bruta])</f>
        <v>134</v>
      </c>
      <c r="T744" s="8">
        <f>SUMIF(Cocina[Número de Orden],Sala[[#This Row],[Número de Orden]],Cocina[Costo Unitario])</f>
        <v>39</v>
      </c>
      <c r="U744" s="2">
        <f>Sala[[#This Row],[Fecha de Salida]]</f>
        <v>45023</v>
      </c>
      <c r="V744" s="7" t="str">
        <f>TEXT(Sala[[#This Row],[Fecha factura]],"dddd")</f>
        <v>viernes</v>
      </c>
      <c r="W744" t="str">
        <f>IF(Sala[[#This Row],[Tiempo de degustación]]&gt;0,"Sí","No")</f>
        <v>Sí</v>
      </c>
      <c r="X744" t="str">
        <f>IF(Sala[[#This Row],[Cobrada]]="Sí",Sala[[#This Row],[Método de Pago]],"Impago")</f>
        <v>Tarjeta de débito</v>
      </c>
      <c r="Y744">
        <f>IF(Sala[[#This Row],[Cobrada]]="Sí",Sala[[#This Row],[Propina]],0)</f>
        <v>25.7</v>
      </c>
      <c r="Z744">
        <f>(IF(Sala[[#This Row],[Cobrada]]="Sí",Sala[[#This Row],[Monto total]],0))+Sala[[#This Row],[Propina real]]</f>
        <v>159.69999999999999</v>
      </c>
    </row>
    <row r="745" spans="1:26" x14ac:dyDescent="0.25">
      <c r="A745">
        <v>11</v>
      </c>
      <c r="B745" t="s">
        <v>30</v>
      </c>
      <c r="C745">
        <v>1</v>
      </c>
      <c r="D745" s="2">
        <v>45023</v>
      </c>
      <c r="E745" s="3">
        <v>8.2638888888888887E-2</v>
      </c>
      <c r="F745" s="2">
        <v>45023</v>
      </c>
      <c r="G745" s="3">
        <v>0.24236111111111111</v>
      </c>
      <c r="H745" s="1" t="s">
        <v>11</v>
      </c>
      <c r="I745" t="s">
        <v>8</v>
      </c>
      <c r="J745" t="s">
        <v>601</v>
      </c>
      <c r="K745" s="9">
        <v>26.5</v>
      </c>
      <c r="L745" t="s">
        <v>17</v>
      </c>
      <c r="M745">
        <v>744</v>
      </c>
      <c r="N745" t="s">
        <v>594</v>
      </c>
      <c r="O745" s="3">
        <f>(Sala[[#This Row],[Hora de Salida]]-Sala[[#This Row],[Hora de llegada]])+IF(Sala[[#This Row],[Estado de la Mesa]]="Ocupada",(TEXT((15/(60*24)),"h:mm")),(TEXT(0,"h:mm")))</f>
        <v>0.15972222222222221</v>
      </c>
      <c r="P745" s="43">
        <f>(SUMIF(Cocina[Número de Orden],Sala[[#This Row],[Número de Orden]],Cocina[Tiempo de Preparación]))</f>
        <v>67</v>
      </c>
      <c r="Q745" s="5" t="str">
        <f>TEXT(((SUMIF(Cocina[Número de Orden],Sala[[#This Row],[Número de Orden]],Cocina[Tiempo de Preparación]))/(60*24)),"h:mm")</f>
        <v>1:07</v>
      </c>
      <c r="R745" s="3">
        <f>MAX((Sala[[#This Row],[Tiempo de permanencia]]-Sala[[#This Row],[Tiempo de preparación (h)]]),0)</f>
        <v>0.11319444444444443</v>
      </c>
      <c r="S745" s="8">
        <f>SUMIF(Cocina[Número de Orden],Sala[[#This Row],[Número de Orden]],Cocina[Ganancia bruta])</f>
        <v>76</v>
      </c>
      <c r="T745" s="8">
        <f>SUMIF(Cocina[Número de Orden],Sala[[#This Row],[Número de Orden]],Cocina[Costo Unitario])</f>
        <v>27</v>
      </c>
      <c r="U745" s="2">
        <f>Sala[[#This Row],[Fecha de Salida]]</f>
        <v>45023</v>
      </c>
      <c r="V745" s="7" t="str">
        <f>TEXT(Sala[[#This Row],[Fecha factura]],"dddd")</f>
        <v>viernes</v>
      </c>
      <c r="W745" t="str">
        <f>IF(Sala[[#This Row],[Tiempo de degustación]]&gt;0,"Sí","No")</f>
        <v>Sí</v>
      </c>
      <c r="X745" t="str">
        <f>IF(Sala[[#This Row],[Cobrada]]="Sí",Sala[[#This Row],[Método de Pago]],"Impago")</f>
        <v>Tarjeta de crédito</v>
      </c>
      <c r="Y745">
        <f>IF(Sala[[#This Row],[Cobrada]]="Sí",Sala[[#This Row],[Propina]],0)</f>
        <v>26.5</v>
      </c>
      <c r="Z745">
        <f>(IF(Sala[[#This Row],[Cobrada]]="Sí",Sala[[#This Row],[Monto total]],0))+Sala[[#This Row],[Propina real]]</f>
        <v>102.5</v>
      </c>
    </row>
    <row r="746" spans="1:26" x14ac:dyDescent="0.25">
      <c r="A746">
        <v>3</v>
      </c>
      <c r="B746" t="s">
        <v>560</v>
      </c>
      <c r="C746">
        <v>1</v>
      </c>
      <c r="D746" s="2">
        <v>45023</v>
      </c>
      <c r="E746" s="3">
        <v>0.10694444444444444</v>
      </c>
      <c r="F746" s="2">
        <v>45023</v>
      </c>
      <c r="G746" s="3">
        <v>0.20277777777777778</v>
      </c>
      <c r="H746" s="1" t="s">
        <v>20</v>
      </c>
      <c r="I746" t="s">
        <v>8</v>
      </c>
      <c r="J746" t="s">
        <v>13</v>
      </c>
      <c r="K746" s="9">
        <v>18.75</v>
      </c>
      <c r="L746" t="s">
        <v>17</v>
      </c>
      <c r="M746">
        <v>745</v>
      </c>
      <c r="N746" t="s">
        <v>32</v>
      </c>
      <c r="O746" s="3">
        <f>(Sala[[#This Row],[Hora de Salida]]-Sala[[#This Row],[Hora de llegada]])+IF(Sala[[#This Row],[Estado de la Mesa]]="Ocupada",(TEXT((15/(60*24)),"h:mm")),(TEXT(0,"h:mm")))</f>
        <v>9.583333333333334E-2</v>
      </c>
      <c r="P746" s="43">
        <f>(SUMIF(Cocina[Número de Orden],Sala[[#This Row],[Número de Orden]],Cocina[Tiempo de Preparación]))</f>
        <v>73</v>
      </c>
      <c r="Q746" s="5" t="str">
        <f>TEXT(((SUMIF(Cocina[Número de Orden],Sala[[#This Row],[Número de Orden]],Cocina[Tiempo de Preparación]))/(60*24)),"h:mm")</f>
        <v>1:13</v>
      </c>
      <c r="R746" s="3">
        <f>MAX((Sala[[#This Row],[Tiempo de permanencia]]-Sala[[#This Row],[Tiempo de preparación (h)]]),0)</f>
        <v>4.5138888888888895E-2</v>
      </c>
      <c r="S746" s="8">
        <f>SUMIF(Cocina[Número de Orden],Sala[[#This Row],[Número de Orden]],Cocina[Ganancia bruta])</f>
        <v>284</v>
      </c>
      <c r="T746" s="8">
        <f>SUMIF(Cocina[Número de Orden],Sala[[#This Row],[Número de Orden]],Cocina[Costo Unitario])</f>
        <v>66</v>
      </c>
      <c r="U746" s="2">
        <f>Sala[[#This Row],[Fecha de Salida]]</f>
        <v>45023</v>
      </c>
      <c r="V746" s="7" t="str">
        <f>TEXT(Sala[[#This Row],[Fecha factura]],"dddd")</f>
        <v>viernes</v>
      </c>
      <c r="W746" t="str">
        <f>IF(Sala[[#This Row],[Tiempo de degustación]]&gt;0,"Sí","No")</f>
        <v>Sí</v>
      </c>
      <c r="X746" t="str">
        <f>IF(Sala[[#This Row],[Cobrada]]="Sí",Sala[[#This Row],[Método de Pago]],"Impago")</f>
        <v>Efectivo</v>
      </c>
      <c r="Y746">
        <f>IF(Sala[[#This Row],[Cobrada]]="Sí",Sala[[#This Row],[Propina]],0)</f>
        <v>18.75</v>
      </c>
      <c r="Z746">
        <f>(IF(Sala[[#This Row],[Cobrada]]="Sí",Sala[[#This Row],[Monto total]],0))+Sala[[#This Row],[Propina real]]</f>
        <v>302.75</v>
      </c>
    </row>
    <row r="747" spans="1:26" x14ac:dyDescent="0.25">
      <c r="A747">
        <v>13</v>
      </c>
      <c r="B747" t="s">
        <v>565</v>
      </c>
      <c r="C747">
        <v>2</v>
      </c>
      <c r="D747" s="2">
        <v>45023</v>
      </c>
      <c r="E747" s="3">
        <v>0.13194444444444445</v>
      </c>
      <c r="F747" s="2">
        <v>45023</v>
      </c>
      <c r="G747" s="3">
        <v>0.26874999999999999</v>
      </c>
      <c r="H747" s="1" t="s">
        <v>11</v>
      </c>
      <c r="I747" t="s">
        <v>8</v>
      </c>
      <c r="J747" t="s">
        <v>601</v>
      </c>
      <c r="K747" s="9">
        <v>44.9</v>
      </c>
      <c r="L747" t="s">
        <v>28</v>
      </c>
      <c r="M747">
        <v>746</v>
      </c>
      <c r="N747" t="s">
        <v>47</v>
      </c>
      <c r="O747" s="3">
        <f>(Sala[[#This Row],[Hora de Salida]]-Sala[[#This Row],[Hora de llegada]])+IF(Sala[[#This Row],[Estado de la Mesa]]="Ocupada",(TEXT((15/(60*24)),"h:mm")),(TEXT(0,"h:mm")))</f>
        <v>0.1472222222222222</v>
      </c>
      <c r="P747" s="43">
        <f>(SUMIF(Cocina[Número de Orden],Sala[[#This Row],[Número de Orden]],Cocina[Tiempo de Preparación]))</f>
        <v>77</v>
      </c>
      <c r="Q747" s="5" t="str">
        <f>TEXT(((SUMIF(Cocina[Número de Orden],Sala[[#This Row],[Número de Orden]],Cocina[Tiempo de Preparación]))/(60*24)),"h:mm")</f>
        <v>1:17</v>
      </c>
      <c r="R747" s="3">
        <f>MAX((Sala[[#This Row],[Tiempo de permanencia]]-Sala[[#This Row],[Tiempo de preparación (h)]]),0)</f>
        <v>9.3749999999999972E-2</v>
      </c>
      <c r="S747" s="8">
        <f>SUMIF(Cocina[Número de Orden],Sala[[#This Row],[Número de Orden]],Cocina[Ganancia bruta])</f>
        <v>201</v>
      </c>
      <c r="T747" s="8">
        <f>SUMIF(Cocina[Número de Orden],Sala[[#This Row],[Número de Orden]],Cocina[Costo Unitario])</f>
        <v>40</v>
      </c>
      <c r="U747" s="2">
        <f>Sala[[#This Row],[Fecha de Salida]]</f>
        <v>45023</v>
      </c>
      <c r="V747" s="7" t="str">
        <f>TEXT(Sala[[#This Row],[Fecha factura]],"dddd")</f>
        <v>viernes</v>
      </c>
      <c r="W747" t="str">
        <f>IF(Sala[[#This Row],[Tiempo de degustación]]&gt;0,"Sí","No")</f>
        <v>Sí</v>
      </c>
      <c r="X747" t="str">
        <f>IF(Sala[[#This Row],[Cobrada]]="Sí",Sala[[#This Row],[Método de Pago]],"Impago")</f>
        <v>Tarjeta de crédito</v>
      </c>
      <c r="Y747">
        <f>IF(Sala[[#This Row],[Cobrada]]="Sí",Sala[[#This Row],[Propina]],0)</f>
        <v>44.9</v>
      </c>
      <c r="Z747">
        <f>(IF(Sala[[#This Row],[Cobrada]]="Sí",Sala[[#This Row],[Monto total]],0))+Sala[[#This Row],[Propina real]]</f>
        <v>245.9</v>
      </c>
    </row>
    <row r="748" spans="1:26" x14ac:dyDescent="0.25">
      <c r="A748">
        <v>16</v>
      </c>
      <c r="B748" t="s">
        <v>582</v>
      </c>
      <c r="C748">
        <v>3</v>
      </c>
      <c r="D748" s="2">
        <v>45023</v>
      </c>
      <c r="E748" s="3">
        <v>0.12013888888888889</v>
      </c>
      <c r="F748" s="2">
        <v>45023</v>
      </c>
      <c r="G748" s="3">
        <v>0.20069444444444445</v>
      </c>
      <c r="H748" s="1" t="s">
        <v>11</v>
      </c>
      <c r="I748" t="s">
        <v>12</v>
      </c>
      <c r="J748" t="s">
        <v>600</v>
      </c>
      <c r="K748" s="9">
        <v>37.229999999999997</v>
      </c>
      <c r="L748" t="s">
        <v>9</v>
      </c>
      <c r="M748">
        <v>747</v>
      </c>
      <c r="N748" t="s">
        <v>34</v>
      </c>
      <c r="O748" s="3">
        <f>(Sala[[#This Row],[Hora de Salida]]-Sala[[#This Row],[Hora de llegada]])+IF(Sala[[#This Row],[Estado de la Mesa]]="Ocupada",(TEXT((15/(60*24)),"h:mm")),(TEXT(0,"h:mm")))</f>
        <v>8.0555555555555561E-2</v>
      </c>
      <c r="P748" s="43">
        <f>(SUMIF(Cocina[Número de Orden],Sala[[#This Row],[Número de Orden]],Cocina[Tiempo de Preparación]))</f>
        <v>28</v>
      </c>
      <c r="Q748" s="5" t="str">
        <f>TEXT(((SUMIF(Cocina[Número de Orden],Sala[[#This Row],[Número de Orden]],Cocina[Tiempo de Preparación]))/(60*24)),"h:mm")</f>
        <v>0:28</v>
      </c>
      <c r="R748" s="3">
        <f>MAX((Sala[[#This Row],[Tiempo de permanencia]]-Sala[[#This Row],[Tiempo de preparación (h)]]),0)</f>
        <v>6.1111111111111116E-2</v>
      </c>
      <c r="S748" s="8">
        <f>SUMIF(Cocina[Número de Orden],Sala[[#This Row],[Número de Orden]],Cocina[Ganancia bruta])</f>
        <v>25</v>
      </c>
      <c r="T748" s="8">
        <f>SUMIF(Cocina[Número de Orden],Sala[[#This Row],[Número de Orden]],Cocina[Costo Unitario])</f>
        <v>15</v>
      </c>
      <c r="U748" s="2">
        <f>Sala[[#This Row],[Fecha de Salida]]</f>
        <v>45023</v>
      </c>
      <c r="V748" s="7" t="str">
        <f>TEXT(Sala[[#This Row],[Fecha factura]],"dddd")</f>
        <v>viernes</v>
      </c>
      <c r="W748" t="str">
        <f>IF(Sala[[#This Row],[Tiempo de degustación]]&gt;0,"Sí","No")</f>
        <v>Sí</v>
      </c>
      <c r="X748" t="str">
        <f>IF(Sala[[#This Row],[Cobrada]]="Sí",Sala[[#This Row],[Método de Pago]],"Impago")</f>
        <v>Tarjeta de débito</v>
      </c>
      <c r="Y748">
        <f>IF(Sala[[#This Row],[Cobrada]]="Sí",Sala[[#This Row],[Propina]],0)</f>
        <v>37.229999999999997</v>
      </c>
      <c r="Z748">
        <f>(IF(Sala[[#This Row],[Cobrada]]="Sí",Sala[[#This Row],[Monto total]],0))+Sala[[#This Row],[Propina real]]</f>
        <v>62.23</v>
      </c>
    </row>
    <row r="749" spans="1:26" x14ac:dyDescent="0.25">
      <c r="A749">
        <v>2</v>
      </c>
      <c r="B749" t="s">
        <v>583</v>
      </c>
      <c r="C749">
        <v>4</v>
      </c>
      <c r="D749" s="2">
        <v>45023</v>
      </c>
      <c r="E749" s="3">
        <v>0.10555555555555556</v>
      </c>
      <c r="F749" s="2">
        <v>45023</v>
      </c>
      <c r="G749" s="3">
        <v>0.24861111111111112</v>
      </c>
      <c r="H749" s="1" t="s">
        <v>16</v>
      </c>
      <c r="I749" t="s">
        <v>8</v>
      </c>
      <c r="J749" t="s">
        <v>601</v>
      </c>
      <c r="K749" s="9">
        <v>12.55</v>
      </c>
      <c r="L749" t="s">
        <v>9</v>
      </c>
      <c r="M749">
        <v>748</v>
      </c>
      <c r="N749" t="s">
        <v>29</v>
      </c>
      <c r="O749" s="3">
        <f>(Sala[[#This Row],[Hora de Salida]]-Sala[[#This Row],[Hora de llegada]])+IF(Sala[[#This Row],[Estado de la Mesa]]="Ocupada",(TEXT((15/(60*24)),"h:mm")),(TEXT(0,"h:mm")))</f>
        <v>0.14305555555555555</v>
      </c>
      <c r="P749" s="43">
        <f>(SUMIF(Cocina[Número de Orden],Sala[[#This Row],[Número de Orden]],Cocina[Tiempo de Preparación]))</f>
        <v>37</v>
      </c>
      <c r="Q749" s="5" t="str">
        <f>TEXT(((SUMIF(Cocina[Número de Orden],Sala[[#This Row],[Número de Orden]],Cocina[Tiempo de Preparación]))/(60*24)),"h:mm")</f>
        <v>0:37</v>
      </c>
      <c r="R749" s="3">
        <f>MAX((Sala[[#This Row],[Tiempo de permanencia]]-Sala[[#This Row],[Tiempo de preparación (h)]]),0)</f>
        <v>0.11736111111111111</v>
      </c>
      <c r="S749" s="8">
        <f>SUMIF(Cocina[Número de Orden],Sala[[#This Row],[Número de Orden]],Cocina[Ganancia bruta])</f>
        <v>110</v>
      </c>
      <c r="T749" s="8">
        <f>SUMIF(Cocina[Número de Orden],Sala[[#This Row],[Número de Orden]],Cocina[Costo Unitario])</f>
        <v>34</v>
      </c>
      <c r="U749" s="2">
        <f>Sala[[#This Row],[Fecha de Salida]]</f>
        <v>45023</v>
      </c>
      <c r="V749" s="7" t="str">
        <f>TEXT(Sala[[#This Row],[Fecha factura]],"dddd")</f>
        <v>viernes</v>
      </c>
      <c r="W749" t="str">
        <f>IF(Sala[[#This Row],[Tiempo de degustación]]&gt;0,"Sí","No")</f>
        <v>Sí</v>
      </c>
      <c r="X749" t="str">
        <f>IF(Sala[[#This Row],[Cobrada]]="Sí",Sala[[#This Row],[Método de Pago]],"Impago")</f>
        <v>Tarjeta de crédito</v>
      </c>
      <c r="Y749">
        <f>IF(Sala[[#This Row],[Cobrada]]="Sí",Sala[[#This Row],[Propina]],0)</f>
        <v>12.55</v>
      </c>
      <c r="Z749">
        <f>(IF(Sala[[#This Row],[Cobrada]]="Sí",Sala[[#This Row],[Monto total]],0))+Sala[[#This Row],[Propina real]]</f>
        <v>122.55</v>
      </c>
    </row>
    <row r="750" spans="1:26" x14ac:dyDescent="0.25">
      <c r="A750">
        <v>1</v>
      </c>
      <c r="B750" t="s">
        <v>582</v>
      </c>
      <c r="C750">
        <v>2</v>
      </c>
      <c r="D750" s="2">
        <v>45023</v>
      </c>
      <c r="E750" s="3">
        <v>5.6250000000000001E-2</v>
      </c>
      <c r="F750" s="2">
        <v>45023</v>
      </c>
      <c r="G750" s="3">
        <v>0.11944444444444445</v>
      </c>
      <c r="H750" s="1" t="s">
        <v>23</v>
      </c>
      <c r="I750" t="s">
        <v>8</v>
      </c>
      <c r="J750" t="s">
        <v>600</v>
      </c>
      <c r="K750" s="9">
        <v>24.12</v>
      </c>
      <c r="L750" t="s">
        <v>28</v>
      </c>
      <c r="M750">
        <v>749</v>
      </c>
      <c r="N750" t="s">
        <v>593</v>
      </c>
      <c r="O750" s="3">
        <f>(Sala[[#This Row],[Hora de Salida]]-Sala[[#This Row],[Hora de llegada]])+IF(Sala[[#This Row],[Estado de la Mesa]]="Ocupada",(TEXT((15/(60*24)),"h:mm")),(TEXT(0,"h:mm")))</f>
        <v>7.3611111111111113E-2</v>
      </c>
      <c r="P750" s="43">
        <f>(SUMIF(Cocina[Número de Orden],Sala[[#This Row],[Número de Orden]],Cocina[Tiempo de Preparación]))</f>
        <v>8</v>
      </c>
      <c r="Q750" s="5" t="str">
        <f>TEXT(((SUMIF(Cocina[Número de Orden],Sala[[#This Row],[Número de Orden]],Cocina[Tiempo de Preparación]))/(60*24)),"h:mm")</f>
        <v>0:08</v>
      </c>
      <c r="R750" s="3">
        <f>MAX((Sala[[#This Row],[Tiempo de permanencia]]-Sala[[#This Row],[Tiempo de preparación (h)]]),0)</f>
        <v>6.8055555555555564E-2</v>
      </c>
      <c r="S750" s="8">
        <f>SUMIF(Cocina[Número de Orden],Sala[[#This Row],[Número de Orden]],Cocina[Ganancia bruta])</f>
        <v>70</v>
      </c>
      <c r="T750" s="8">
        <f>SUMIF(Cocina[Número de Orden],Sala[[#This Row],[Número de Orden]],Cocina[Costo Unitario])</f>
        <v>21</v>
      </c>
      <c r="U750" s="2">
        <f>Sala[[#This Row],[Fecha de Salida]]</f>
        <v>45023</v>
      </c>
      <c r="V750" s="7" t="str">
        <f>TEXT(Sala[[#This Row],[Fecha factura]],"dddd")</f>
        <v>viernes</v>
      </c>
      <c r="W750" t="str">
        <f>IF(Sala[[#This Row],[Tiempo de degustación]]&gt;0,"Sí","No")</f>
        <v>Sí</v>
      </c>
      <c r="X750" t="str">
        <f>IF(Sala[[#This Row],[Cobrada]]="Sí",Sala[[#This Row],[Método de Pago]],"Impago")</f>
        <v>Tarjeta de débito</v>
      </c>
      <c r="Y750">
        <f>IF(Sala[[#This Row],[Cobrada]]="Sí",Sala[[#This Row],[Propina]],0)</f>
        <v>24.12</v>
      </c>
      <c r="Z750">
        <f>(IF(Sala[[#This Row],[Cobrada]]="Sí",Sala[[#This Row],[Monto total]],0))+Sala[[#This Row],[Propina real]]</f>
        <v>94.12</v>
      </c>
    </row>
    <row r="751" spans="1:26" x14ac:dyDescent="0.25">
      <c r="A751">
        <v>6</v>
      </c>
      <c r="B751" t="s">
        <v>584</v>
      </c>
      <c r="C751">
        <v>4</v>
      </c>
      <c r="D751" s="2">
        <v>45023</v>
      </c>
      <c r="E751" s="3">
        <v>7.3611111111111113E-2</v>
      </c>
      <c r="F751" s="2">
        <v>45023</v>
      </c>
      <c r="G751" s="3">
        <v>0.125</v>
      </c>
      <c r="H751" s="1" t="s">
        <v>11</v>
      </c>
      <c r="I751" t="s">
        <v>8</v>
      </c>
      <c r="J751" t="s">
        <v>601</v>
      </c>
      <c r="K751" s="9">
        <v>21.82</v>
      </c>
      <c r="L751" t="s">
        <v>17</v>
      </c>
      <c r="M751">
        <v>750</v>
      </c>
      <c r="N751" t="s">
        <v>32</v>
      </c>
      <c r="O751" s="3">
        <f>(Sala[[#This Row],[Hora de Salida]]-Sala[[#This Row],[Hora de llegada]])+IF(Sala[[#This Row],[Estado de la Mesa]]="Ocupada",(TEXT((15/(60*24)),"h:mm")),(TEXT(0,"h:mm")))</f>
        <v>5.1388888888888887E-2</v>
      </c>
      <c r="P751" s="43">
        <f>(SUMIF(Cocina[Número de Orden],Sala[[#This Row],[Número de Orden]],Cocina[Tiempo de Preparación]))</f>
        <v>86</v>
      </c>
      <c r="Q751" s="5" t="str">
        <f>TEXT(((SUMIF(Cocina[Número de Orden],Sala[[#This Row],[Número de Orden]],Cocina[Tiempo de Preparación]))/(60*24)),"h:mm")</f>
        <v>1:26</v>
      </c>
      <c r="R751" s="3">
        <f>MAX((Sala[[#This Row],[Tiempo de permanencia]]-Sala[[#This Row],[Tiempo de preparación (h)]]),0)</f>
        <v>0</v>
      </c>
      <c r="S751" s="8">
        <f>SUMIF(Cocina[Número de Orden],Sala[[#This Row],[Número de Orden]],Cocina[Ganancia bruta])</f>
        <v>119</v>
      </c>
      <c r="T751" s="8">
        <f>SUMIF(Cocina[Número de Orden],Sala[[#This Row],[Número de Orden]],Cocina[Costo Unitario])</f>
        <v>34</v>
      </c>
      <c r="U751" s="2">
        <f>Sala[[#This Row],[Fecha de Salida]]</f>
        <v>45023</v>
      </c>
      <c r="V751" s="7" t="str">
        <f>TEXT(Sala[[#This Row],[Fecha factura]],"dddd")</f>
        <v>viernes</v>
      </c>
      <c r="W751" t="str">
        <f>IF(Sala[[#This Row],[Tiempo de degustación]]&gt;0,"Sí","No")</f>
        <v>No</v>
      </c>
      <c r="X751" t="str">
        <f>IF(Sala[[#This Row],[Cobrada]]="Sí",Sala[[#This Row],[Método de Pago]],"Impago")</f>
        <v>Impago</v>
      </c>
      <c r="Y751">
        <f>IF(Sala[[#This Row],[Cobrada]]="Sí",Sala[[#This Row],[Propina]],0)</f>
        <v>0</v>
      </c>
      <c r="Z751">
        <f>(IF(Sala[[#This Row],[Cobrada]]="Sí",Sala[[#This Row],[Monto total]],0))+Sala[[#This Row],[Propina real]]</f>
        <v>0</v>
      </c>
    </row>
    <row r="752" spans="1:26" x14ac:dyDescent="0.25">
      <c r="A752">
        <v>17</v>
      </c>
      <c r="B752" t="s">
        <v>396</v>
      </c>
      <c r="C752">
        <v>6</v>
      </c>
      <c r="D752" s="2">
        <v>45023</v>
      </c>
      <c r="E752" s="3">
        <v>6.3888888888888884E-2</v>
      </c>
      <c r="F752" s="2">
        <v>45023</v>
      </c>
      <c r="G752" s="3">
        <v>0.13194444444444445</v>
      </c>
      <c r="H752" s="1" t="s">
        <v>16</v>
      </c>
      <c r="I752" t="s">
        <v>12</v>
      </c>
      <c r="J752" t="s">
        <v>601</v>
      </c>
      <c r="K752" s="9">
        <v>49.35</v>
      </c>
      <c r="L752" t="s">
        <v>17</v>
      </c>
      <c r="M752">
        <v>751</v>
      </c>
      <c r="N752" t="s">
        <v>18</v>
      </c>
      <c r="O752" s="3">
        <f>(Sala[[#This Row],[Hora de Salida]]-Sala[[#This Row],[Hora de llegada]])+IF(Sala[[#This Row],[Estado de la Mesa]]="Ocupada",(TEXT((15/(60*24)),"h:mm")),(TEXT(0,"h:mm")))</f>
        <v>6.8055555555555564E-2</v>
      </c>
      <c r="P752" s="43">
        <f>(SUMIF(Cocina[Número de Orden],Sala[[#This Row],[Número de Orden]],Cocina[Tiempo de Preparación]))</f>
        <v>87</v>
      </c>
      <c r="Q752" s="5" t="str">
        <f>TEXT(((SUMIF(Cocina[Número de Orden],Sala[[#This Row],[Número de Orden]],Cocina[Tiempo de Preparación]))/(60*24)),"h:mm")</f>
        <v>1:27</v>
      </c>
      <c r="R752" s="3">
        <f>MAX((Sala[[#This Row],[Tiempo de permanencia]]-Sala[[#This Row],[Tiempo de preparación (h)]]),0)</f>
        <v>7.6388888888888964E-3</v>
      </c>
      <c r="S752" s="8">
        <f>SUMIF(Cocina[Número de Orden],Sala[[#This Row],[Número de Orden]],Cocina[Ganancia bruta])</f>
        <v>170</v>
      </c>
      <c r="T752" s="8">
        <f>SUMIF(Cocina[Número de Orden],Sala[[#This Row],[Número de Orden]],Cocina[Costo Unitario])</f>
        <v>45</v>
      </c>
      <c r="U752" s="2">
        <f>Sala[[#This Row],[Fecha de Salida]]</f>
        <v>45023</v>
      </c>
      <c r="V752" s="7" t="str">
        <f>TEXT(Sala[[#This Row],[Fecha factura]],"dddd")</f>
        <v>viernes</v>
      </c>
      <c r="W752" t="str">
        <f>IF(Sala[[#This Row],[Tiempo de degustación]]&gt;0,"Sí","No")</f>
        <v>Sí</v>
      </c>
      <c r="X752" t="str">
        <f>IF(Sala[[#This Row],[Cobrada]]="Sí",Sala[[#This Row],[Método de Pago]],"Impago")</f>
        <v>Tarjeta de crédito</v>
      </c>
      <c r="Y752">
        <f>IF(Sala[[#This Row],[Cobrada]]="Sí",Sala[[#This Row],[Propina]],0)</f>
        <v>49.35</v>
      </c>
      <c r="Z752">
        <f>(IF(Sala[[#This Row],[Cobrada]]="Sí",Sala[[#This Row],[Monto total]],0))+Sala[[#This Row],[Propina real]]</f>
        <v>219.35</v>
      </c>
    </row>
    <row r="753" spans="1:26" x14ac:dyDescent="0.25">
      <c r="A753">
        <v>3</v>
      </c>
      <c r="B753" t="s">
        <v>398</v>
      </c>
      <c r="C753">
        <v>5</v>
      </c>
      <c r="D753" s="2">
        <v>45023</v>
      </c>
      <c r="E753" s="3">
        <v>8.6805555555555552E-2</v>
      </c>
      <c r="F753" s="2">
        <v>45023</v>
      </c>
      <c r="G753" s="3">
        <v>0.18263888888888888</v>
      </c>
      <c r="H753" s="1" t="s">
        <v>7</v>
      </c>
      <c r="I753" t="s">
        <v>8</v>
      </c>
      <c r="J753" t="s">
        <v>601</v>
      </c>
      <c r="K753" s="9">
        <v>46.27</v>
      </c>
      <c r="L753" t="s">
        <v>17</v>
      </c>
      <c r="M753">
        <v>752</v>
      </c>
      <c r="N753" t="s">
        <v>593</v>
      </c>
      <c r="O753" s="3">
        <f>(Sala[[#This Row],[Hora de Salida]]-Sala[[#This Row],[Hora de llegada]])+IF(Sala[[#This Row],[Estado de la Mesa]]="Ocupada",(TEXT((15/(60*24)),"h:mm")),(TEXT(0,"h:mm")))</f>
        <v>9.5833333333333326E-2</v>
      </c>
      <c r="P753" s="43">
        <f>(SUMIF(Cocina[Número de Orden],Sala[[#This Row],[Número de Orden]],Cocina[Tiempo de Preparación]))</f>
        <v>30</v>
      </c>
      <c r="Q753" s="5" t="str">
        <f>TEXT(((SUMIF(Cocina[Número de Orden],Sala[[#This Row],[Número de Orden]],Cocina[Tiempo de Preparación]))/(60*24)),"h:mm")</f>
        <v>0:30</v>
      </c>
      <c r="R753" s="3">
        <f>MAX((Sala[[#This Row],[Tiempo de permanencia]]-Sala[[#This Row],[Tiempo de preparación (h)]]),0)</f>
        <v>7.4999999999999997E-2</v>
      </c>
      <c r="S753" s="8">
        <f>SUMIF(Cocina[Número de Orden],Sala[[#This Row],[Número de Orden]],Cocina[Ganancia bruta])</f>
        <v>60</v>
      </c>
      <c r="T753" s="8">
        <f>SUMIF(Cocina[Número de Orden],Sala[[#This Row],[Número de Orden]],Cocina[Costo Unitario])</f>
        <v>18</v>
      </c>
      <c r="U753" s="2">
        <f>Sala[[#This Row],[Fecha de Salida]]</f>
        <v>45023</v>
      </c>
      <c r="V753" s="7" t="str">
        <f>TEXT(Sala[[#This Row],[Fecha factura]],"dddd")</f>
        <v>viernes</v>
      </c>
      <c r="W753" t="str">
        <f>IF(Sala[[#This Row],[Tiempo de degustación]]&gt;0,"Sí","No")</f>
        <v>Sí</v>
      </c>
      <c r="X753" t="str">
        <f>IF(Sala[[#This Row],[Cobrada]]="Sí",Sala[[#This Row],[Método de Pago]],"Impago")</f>
        <v>Tarjeta de crédito</v>
      </c>
      <c r="Y753">
        <f>IF(Sala[[#This Row],[Cobrada]]="Sí",Sala[[#This Row],[Propina]],0)</f>
        <v>46.27</v>
      </c>
      <c r="Z753">
        <f>(IF(Sala[[#This Row],[Cobrada]]="Sí",Sala[[#This Row],[Monto total]],0))+Sala[[#This Row],[Propina real]]</f>
        <v>106.27000000000001</v>
      </c>
    </row>
    <row r="754" spans="1:26" x14ac:dyDescent="0.25">
      <c r="A754">
        <v>11</v>
      </c>
      <c r="B754" t="s">
        <v>297</v>
      </c>
      <c r="C754">
        <v>4</v>
      </c>
      <c r="D754" s="2">
        <v>45023</v>
      </c>
      <c r="E754" s="3">
        <v>0.10208333333333333</v>
      </c>
      <c r="F754" s="2">
        <v>45023</v>
      </c>
      <c r="G754" s="3">
        <v>0.19305555555555556</v>
      </c>
      <c r="H754" s="1" t="s">
        <v>23</v>
      </c>
      <c r="I754" t="s">
        <v>8</v>
      </c>
      <c r="J754" t="s">
        <v>600</v>
      </c>
      <c r="K754" s="9">
        <v>26.24</v>
      </c>
      <c r="L754" t="s">
        <v>17</v>
      </c>
      <c r="M754">
        <v>753</v>
      </c>
      <c r="N754" t="s">
        <v>47</v>
      </c>
      <c r="O754" s="3">
        <f>(Sala[[#This Row],[Hora de Salida]]-Sala[[#This Row],[Hora de llegada]])+IF(Sala[[#This Row],[Estado de la Mesa]]="Ocupada",(TEXT((15/(60*24)),"h:mm")),(TEXT(0,"h:mm")))</f>
        <v>9.0972222222222232E-2</v>
      </c>
      <c r="P754" s="43">
        <f>(SUMIF(Cocina[Número de Orden],Sala[[#This Row],[Número de Orden]],Cocina[Tiempo de Preparación]))</f>
        <v>128</v>
      </c>
      <c r="Q754" s="5" t="str">
        <f>TEXT(((SUMIF(Cocina[Número de Orden],Sala[[#This Row],[Número de Orden]],Cocina[Tiempo de Preparación]))/(60*24)),"h:mm")</f>
        <v>2:08</v>
      </c>
      <c r="R754" s="3">
        <f>MAX((Sala[[#This Row],[Tiempo de permanencia]]-Sala[[#This Row],[Tiempo de preparación (h)]]),0)</f>
        <v>2.0833333333333398E-3</v>
      </c>
      <c r="S754" s="8">
        <f>SUMIF(Cocina[Número de Orden],Sala[[#This Row],[Número de Orden]],Cocina[Ganancia bruta])</f>
        <v>163</v>
      </c>
      <c r="T754" s="8">
        <f>SUMIF(Cocina[Número de Orden],Sala[[#This Row],[Número de Orden]],Cocina[Costo Unitario])</f>
        <v>69</v>
      </c>
      <c r="U754" s="2">
        <f>Sala[[#This Row],[Fecha de Salida]]</f>
        <v>45023</v>
      </c>
      <c r="V754" s="7" t="str">
        <f>TEXT(Sala[[#This Row],[Fecha factura]],"dddd")</f>
        <v>viernes</v>
      </c>
      <c r="W754" t="str">
        <f>IF(Sala[[#This Row],[Tiempo de degustación]]&gt;0,"Sí","No")</f>
        <v>Sí</v>
      </c>
      <c r="X754" t="str">
        <f>IF(Sala[[#This Row],[Cobrada]]="Sí",Sala[[#This Row],[Método de Pago]],"Impago")</f>
        <v>Tarjeta de débito</v>
      </c>
      <c r="Y754">
        <f>IF(Sala[[#This Row],[Cobrada]]="Sí",Sala[[#This Row],[Propina]],0)</f>
        <v>26.24</v>
      </c>
      <c r="Z754">
        <f>(IF(Sala[[#This Row],[Cobrada]]="Sí",Sala[[#This Row],[Monto total]],0))+Sala[[#This Row],[Propina real]]</f>
        <v>189.24</v>
      </c>
    </row>
    <row r="755" spans="1:26" x14ac:dyDescent="0.25">
      <c r="A755">
        <v>8</v>
      </c>
      <c r="B755" t="s">
        <v>374</v>
      </c>
      <c r="C755">
        <v>3</v>
      </c>
      <c r="D755" s="2">
        <v>45023</v>
      </c>
      <c r="E755" s="3">
        <v>0.13958333333333334</v>
      </c>
      <c r="F755" s="2">
        <v>45023</v>
      </c>
      <c r="G755" s="3">
        <v>0.19166666666666668</v>
      </c>
      <c r="H755" s="1" t="s">
        <v>7</v>
      </c>
      <c r="I755" t="s">
        <v>8</v>
      </c>
      <c r="J755" t="s">
        <v>601</v>
      </c>
      <c r="K755" s="9">
        <v>42.74</v>
      </c>
      <c r="L755" t="s">
        <v>9</v>
      </c>
      <c r="M755">
        <v>754</v>
      </c>
      <c r="N755" t="s">
        <v>594</v>
      </c>
      <c r="O755" s="3">
        <f>(Sala[[#This Row],[Hora de Salida]]-Sala[[#This Row],[Hora de llegada]])+IF(Sala[[#This Row],[Estado de la Mesa]]="Ocupada",(TEXT((15/(60*24)),"h:mm")),(TEXT(0,"h:mm")))</f>
        <v>5.2083333333333343E-2</v>
      </c>
      <c r="P755" s="43">
        <f>(SUMIF(Cocina[Número de Orden],Sala[[#This Row],[Número de Orden]],Cocina[Tiempo de Preparación]))</f>
        <v>89</v>
      </c>
      <c r="Q755" s="5" t="str">
        <f>TEXT(((SUMIF(Cocina[Número de Orden],Sala[[#This Row],[Número de Orden]],Cocina[Tiempo de Preparación]))/(60*24)),"h:mm")</f>
        <v>1:29</v>
      </c>
      <c r="R755" s="3">
        <f>MAX((Sala[[#This Row],[Tiempo de permanencia]]-Sala[[#This Row],[Tiempo de preparación (h)]]),0)</f>
        <v>0</v>
      </c>
      <c r="S755" s="8">
        <f>SUMIF(Cocina[Número de Orden],Sala[[#This Row],[Número de Orden]],Cocina[Ganancia bruta])</f>
        <v>237</v>
      </c>
      <c r="T755" s="8">
        <f>SUMIF(Cocina[Número de Orden],Sala[[#This Row],[Número de Orden]],Cocina[Costo Unitario])</f>
        <v>46</v>
      </c>
      <c r="U755" s="2">
        <f>Sala[[#This Row],[Fecha de Salida]]</f>
        <v>45023</v>
      </c>
      <c r="V755" s="7" t="str">
        <f>TEXT(Sala[[#This Row],[Fecha factura]],"dddd")</f>
        <v>viernes</v>
      </c>
      <c r="W755" t="str">
        <f>IF(Sala[[#This Row],[Tiempo de degustación]]&gt;0,"Sí","No")</f>
        <v>No</v>
      </c>
      <c r="X755" t="str">
        <f>IF(Sala[[#This Row],[Cobrada]]="Sí",Sala[[#This Row],[Método de Pago]],"Impago")</f>
        <v>Impago</v>
      </c>
      <c r="Y755">
        <f>IF(Sala[[#This Row],[Cobrada]]="Sí",Sala[[#This Row],[Propina]],0)</f>
        <v>0</v>
      </c>
      <c r="Z755">
        <f>(IF(Sala[[#This Row],[Cobrada]]="Sí",Sala[[#This Row],[Monto total]],0))+Sala[[#This Row],[Propina real]]</f>
        <v>0</v>
      </c>
    </row>
    <row r="756" spans="1:26" x14ac:dyDescent="0.25">
      <c r="A756">
        <v>12</v>
      </c>
      <c r="B756" t="s">
        <v>585</v>
      </c>
      <c r="C756">
        <v>3</v>
      </c>
      <c r="D756" s="2">
        <v>45023</v>
      </c>
      <c r="E756" s="3">
        <v>8.4027777777777785E-2</v>
      </c>
      <c r="F756" s="2">
        <v>45023</v>
      </c>
      <c r="G756" s="3">
        <v>0.18541666666666667</v>
      </c>
      <c r="H756" s="1" t="s">
        <v>16</v>
      </c>
      <c r="I756" t="s">
        <v>8</v>
      </c>
      <c r="J756" t="s">
        <v>601</v>
      </c>
      <c r="K756" s="9">
        <v>26.65</v>
      </c>
      <c r="L756" t="s">
        <v>28</v>
      </c>
      <c r="M756">
        <v>755</v>
      </c>
      <c r="N756" t="s">
        <v>18</v>
      </c>
      <c r="O756" s="3">
        <f>(Sala[[#This Row],[Hora de Salida]]-Sala[[#This Row],[Hora de llegada]])+IF(Sala[[#This Row],[Estado de la Mesa]]="Ocupada",(TEXT((15/(60*24)),"h:mm")),(TEXT(0,"h:mm")))</f>
        <v>0.11180555555555556</v>
      </c>
      <c r="P756" s="43">
        <f>(SUMIF(Cocina[Número de Orden],Sala[[#This Row],[Número de Orden]],Cocina[Tiempo de Preparación]))</f>
        <v>109</v>
      </c>
      <c r="Q756" s="5" t="str">
        <f>TEXT(((SUMIF(Cocina[Número de Orden],Sala[[#This Row],[Número de Orden]],Cocina[Tiempo de Preparación]))/(60*24)),"h:mm")</f>
        <v>1:49</v>
      </c>
      <c r="R756" s="3">
        <f>MAX((Sala[[#This Row],[Tiempo de permanencia]]-Sala[[#This Row],[Tiempo de preparación (h)]]),0)</f>
        <v>3.6111111111111122E-2</v>
      </c>
      <c r="S756" s="8">
        <f>SUMIF(Cocina[Número de Orden],Sala[[#This Row],[Número de Orden]],Cocina[Ganancia bruta])</f>
        <v>211</v>
      </c>
      <c r="T756" s="8">
        <f>SUMIF(Cocina[Número de Orden],Sala[[#This Row],[Número de Orden]],Cocina[Costo Unitario])</f>
        <v>56</v>
      </c>
      <c r="U756" s="2">
        <f>Sala[[#This Row],[Fecha de Salida]]</f>
        <v>45023</v>
      </c>
      <c r="V756" s="7" t="str">
        <f>TEXT(Sala[[#This Row],[Fecha factura]],"dddd")</f>
        <v>viernes</v>
      </c>
      <c r="W756" t="str">
        <f>IF(Sala[[#This Row],[Tiempo de degustación]]&gt;0,"Sí","No")</f>
        <v>Sí</v>
      </c>
      <c r="X756" t="str">
        <f>IF(Sala[[#This Row],[Cobrada]]="Sí",Sala[[#This Row],[Método de Pago]],"Impago")</f>
        <v>Tarjeta de crédito</v>
      </c>
      <c r="Y756">
        <f>IF(Sala[[#This Row],[Cobrada]]="Sí",Sala[[#This Row],[Propina]],0)</f>
        <v>26.65</v>
      </c>
      <c r="Z756">
        <f>(IF(Sala[[#This Row],[Cobrada]]="Sí",Sala[[#This Row],[Monto total]],0))+Sala[[#This Row],[Propina real]]</f>
        <v>237.65</v>
      </c>
    </row>
    <row r="757" spans="1:26" x14ac:dyDescent="0.25">
      <c r="A757">
        <v>11</v>
      </c>
      <c r="B757" t="s">
        <v>586</v>
      </c>
      <c r="C757">
        <v>1</v>
      </c>
      <c r="D757" s="2">
        <v>45023</v>
      </c>
      <c r="E757" s="3">
        <v>0.16180555555555556</v>
      </c>
      <c r="F757" s="2">
        <v>45023</v>
      </c>
      <c r="G757" s="3">
        <v>0.32708333333333334</v>
      </c>
      <c r="H757" s="1" t="s">
        <v>11</v>
      </c>
      <c r="I757" t="s">
        <v>25</v>
      </c>
      <c r="J757" t="s">
        <v>601</v>
      </c>
      <c r="K757" s="9">
        <v>31.75</v>
      </c>
      <c r="L757" t="s">
        <v>17</v>
      </c>
      <c r="M757">
        <v>756</v>
      </c>
      <c r="N757" t="s">
        <v>593</v>
      </c>
      <c r="O757" s="3">
        <f>(Sala[[#This Row],[Hora de Salida]]-Sala[[#This Row],[Hora de llegada]])+IF(Sala[[#This Row],[Estado de la Mesa]]="Ocupada",(TEXT((15/(60*24)),"h:mm")),(TEXT(0,"h:mm")))</f>
        <v>0.16527777777777777</v>
      </c>
      <c r="P757" s="43">
        <f>(SUMIF(Cocina[Número de Orden],Sala[[#This Row],[Número de Orden]],Cocina[Tiempo de Preparación]))</f>
        <v>34</v>
      </c>
      <c r="Q757" s="5" t="str">
        <f>TEXT(((SUMIF(Cocina[Número de Orden],Sala[[#This Row],[Número de Orden]],Cocina[Tiempo de Preparación]))/(60*24)),"h:mm")</f>
        <v>0:34</v>
      </c>
      <c r="R757" s="3">
        <f>MAX((Sala[[#This Row],[Tiempo de permanencia]]-Sala[[#This Row],[Tiempo de preparación (h)]]),0)</f>
        <v>0.14166666666666666</v>
      </c>
      <c r="S757" s="8">
        <f>SUMIF(Cocina[Número de Orden],Sala[[#This Row],[Número de Orden]],Cocina[Ganancia bruta])</f>
        <v>50</v>
      </c>
      <c r="T757" s="8">
        <f>SUMIF(Cocina[Número de Orden],Sala[[#This Row],[Número de Orden]],Cocina[Costo Unitario])</f>
        <v>30</v>
      </c>
      <c r="U757" s="2">
        <f>Sala[[#This Row],[Fecha de Salida]]</f>
        <v>45023</v>
      </c>
      <c r="V757" s="7" t="str">
        <f>TEXT(Sala[[#This Row],[Fecha factura]],"dddd")</f>
        <v>viernes</v>
      </c>
      <c r="W757" t="str">
        <f>IF(Sala[[#This Row],[Tiempo de degustación]]&gt;0,"Sí","No")</f>
        <v>Sí</v>
      </c>
      <c r="X757" t="str">
        <f>IF(Sala[[#This Row],[Cobrada]]="Sí",Sala[[#This Row],[Método de Pago]],"Impago")</f>
        <v>Tarjeta de crédito</v>
      </c>
      <c r="Y757">
        <f>IF(Sala[[#This Row],[Cobrada]]="Sí",Sala[[#This Row],[Propina]],0)</f>
        <v>31.75</v>
      </c>
      <c r="Z757">
        <f>(IF(Sala[[#This Row],[Cobrada]]="Sí",Sala[[#This Row],[Monto total]],0))+Sala[[#This Row],[Propina real]]</f>
        <v>81.75</v>
      </c>
    </row>
    <row r="758" spans="1:26" x14ac:dyDescent="0.25">
      <c r="A758">
        <v>3</v>
      </c>
      <c r="B758" t="s">
        <v>587</v>
      </c>
      <c r="C758">
        <v>6</v>
      </c>
      <c r="D758" s="2">
        <v>45023</v>
      </c>
      <c r="E758" s="3">
        <v>7.4305555555555555E-2</v>
      </c>
      <c r="F758" s="2">
        <v>45023</v>
      </c>
      <c r="G758" s="3">
        <v>0.19583333333333333</v>
      </c>
      <c r="H758" s="1" t="s">
        <v>16</v>
      </c>
      <c r="I758" t="s">
        <v>8</v>
      </c>
      <c r="J758" t="s">
        <v>600</v>
      </c>
      <c r="K758" s="9">
        <v>10.029999999999999</v>
      </c>
      <c r="L758" t="s">
        <v>9</v>
      </c>
      <c r="M758">
        <v>757</v>
      </c>
      <c r="N758" t="s">
        <v>18</v>
      </c>
      <c r="O758" s="3">
        <f>(Sala[[#This Row],[Hora de Salida]]-Sala[[#This Row],[Hora de llegada]])+IF(Sala[[#This Row],[Estado de la Mesa]]="Ocupada",(TEXT((15/(60*24)),"h:mm")),(TEXT(0,"h:mm")))</f>
        <v>0.12152777777777778</v>
      </c>
      <c r="P758" s="43">
        <f>(SUMIF(Cocina[Número de Orden],Sala[[#This Row],[Número de Orden]],Cocina[Tiempo de Preparación]))</f>
        <v>40</v>
      </c>
      <c r="Q758" s="5" t="str">
        <f>TEXT(((SUMIF(Cocina[Número de Orden],Sala[[#This Row],[Número de Orden]],Cocina[Tiempo de Preparación]))/(60*24)),"h:mm")</f>
        <v>0:40</v>
      </c>
      <c r="R758" s="3">
        <f>MAX((Sala[[#This Row],[Tiempo de permanencia]]-Sala[[#This Row],[Tiempo de preparación (h)]]),0)</f>
        <v>9.375E-2</v>
      </c>
      <c r="S758" s="8">
        <f>SUMIF(Cocina[Número de Orden],Sala[[#This Row],[Número de Orden]],Cocina[Ganancia bruta])</f>
        <v>60</v>
      </c>
      <c r="T758" s="8">
        <f>SUMIF(Cocina[Número de Orden],Sala[[#This Row],[Número de Orden]],Cocina[Costo Unitario])</f>
        <v>18</v>
      </c>
      <c r="U758" s="2">
        <f>Sala[[#This Row],[Fecha de Salida]]</f>
        <v>45023</v>
      </c>
      <c r="V758" s="7" t="str">
        <f>TEXT(Sala[[#This Row],[Fecha factura]],"dddd")</f>
        <v>viernes</v>
      </c>
      <c r="W758" t="str">
        <f>IF(Sala[[#This Row],[Tiempo de degustación]]&gt;0,"Sí","No")</f>
        <v>Sí</v>
      </c>
      <c r="X758" t="str">
        <f>IF(Sala[[#This Row],[Cobrada]]="Sí",Sala[[#This Row],[Método de Pago]],"Impago")</f>
        <v>Tarjeta de débito</v>
      </c>
      <c r="Y758">
        <f>IF(Sala[[#This Row],[Cobrada]]="Sí",Sala[[#This Row],[Propina]],0)</f>
        <v>10.029999999999999</v>
      </c>
      <c r="Z758">
        <f>(IF(Sala[[#This Row],[Cobrada]]="Sí",Sala[[#This Row],[Monto total]],0))+Sala[[#This Row],[Propina real]]</f>
        <v>70.03</v>
      </c>
    </row>
    <row r="759" spans="1:26" x14ac:dyDescent="0.25">
      <c r="A759">
        <v>18</v>
      </c>
      <c r="B759" t="s">
        <v>588</v>
      </c>
      <c r="C759">
        <v>4</v>
      </c>
      <c r="D759" s="2">
        <v>45023</v>
      </c>
      <c r="E759" s="3">
        <v>1.1805555555555555E-2</v>
      </c>
      <c r="F759" s="2">
        <v>45023</v>
      </c>
      <c r="G759" s="3">
        <v>9.0277777777777776E-2</v>
      </c>
      <c r="H759" s="1" t="s">
        <v>7</v>
      </c>
      <c r="I759" t="s">
        <v>12</v>
      </c>
      <c r="J759" t="s">
        <v>13</v>
      </c>
      <c r="K759" s="9">
        <v>27.04</v>
      </c>
      <c r="L759" t="s">
        <v>9</v>
      </c>
      <c r="M759">
        <v>758</v>
      </c>
      <c r="N759" t="s">
        <v>593</v>
      </c>
      <c r="O759" s="3">
        <f>(Sala[[#This Row],[Hora de Salida]]-Sala[[#This Row],[Hora de llegada]])+IF(Sala[[#This Row],[Estado de la Mesa]]="Ocupada",(TEXT((15/(60*24)),"h:mm")),(TEXT(0,"h:mm")))</f>
        <v>7.8472222222222221E-2</v>
      </c>
      <c r="P759" s="43">
        <f>(SUMIF(Cocina[Número de Orden],Sala[[#This Row],[Número de Orden]],Cocina[Tiempo de Preparación]))</f>
        <v>41</v>
      </c>
      <c r="Q759" s="5" t="str">
        <f>TEXT(((SUMIF(Cocina[Número de Orden],Sala[[#This Row],[Número de Orden]],Cocina[Tiempo de Preparación]))/(60*24)),"h:mm")</f>
        <v>0:41</v>
      </c>
      <c r="R759" s="3">
        <f>MAX((Sala[[#This Row],[Tiempo de permanencia]]-Sala[[#This Row],[Tiempo de preparación (h)]]),0)</f>
        <v>0.05</v>
      </c>
      <c r="S759" s="8">
        <f>SUMIF(Cocina[Número de Orden],Sala[[#This Row],[Número de Orden]],Cocina[Ganancia bruta])</f>
        <v>52</v>
      </c>
      <c r="T759" s="8">
        <f>SUMIF(Cocina[Número de Orden],Sala[[#This Row],[Número de Orden]],Cocina[Costo Unitario])</f>
        <v>31</v>
      </c>
      <c r="U759" s="2">
        <f>Sala[[#This Row],[Fecha de Salida]]</f>
        <v>45023</v>
      </c>
      <c r="V759" s="7" t="str">
        <f>TEXT(Sala[[#This Row],[Fecha factura]],"dddd")</f>
        <v>viernes</v>
      </c>
      <c r="W759" t="str">
        <f>IF(Sala[[#This Row],[Tiempo de degustación]]&gt;0,"Sí","No")</f>
        <v>Sí</v>
      </c>
      <c r="X759" t="str">
        <f>IF(Sala[[#This Row],[Cobrada]]="Sí",Sala[[#This Row],[Método de Pago]],"Impago")</f>
        <v>Efectivo</v>
      </c>
      <c r="Y759">
        <f>IF(Sala[[#This Row],[Cobrada]]="Sí",Sala[[#This Row],[Propina]],0)</f>
        <v>27.04</v>
      </c>
      <c r="Z759">
        <f>(IF(Sala[[#This Row],[Cobrada]]="Sí",Sala[[#This Row],[Monto total]],0))+Sala[[#This Row],[Propina real]]</f>
        <v>79.039999999999992</v>
      </c>
    </row>
    <row r="760" spans="1:26" x14ac:dyDescent="0.25">
      <c r="A760">
        <v>20</v>
      </c>
      <c r="B760" t="s">
        <v>589</v>
      </c>
      <c r="C760">
        <v>5</v>
      </c>
      <c r="D760" s="2">
        <v>45023</v>
      </c>
      <c r="E760" s="3">
        <v>2.7777777777777776E-2</v>
      </c>
      <c r="F760" s="2">
        <v>45023</v>
      </c>
      <c r="G760" s="3">
        <v>0.15625</v>
      </c>
      <c r="H760" s="1" t="s">
        <v>11</v>
      </c>
      <c r="I760" t="s">
        <v>8</v>
      </c>
      <c r="J760" t="s">
        <v>601</v>
      </c>
      <c r="K760" s="9">
        <v>13.7</v>
      </c>
      <c r="L760" t="s">
        <v>9</v>
      </c>
      <c r="M760">
        <v>759</v>
      </c>
      <c r="N760" t="s">
        <v>59</v>
      </c>
      <c r="O760" s="3">
        <f>(Sala[[#This Row],[Hora de Salida]]-Sala[[#This Row],[Hora de llegada]])+IF(Sala[[#This Row],[Estado de la Mesa]]="Ocupada",(TEXT((15/(60*24)),"h:mm")),(TEXT(0,"h:mm")))</f>
        <v>0.12847222222222221</v>
      </c>
      <c r="P760" s="43">
        <f>(SUMIF(Cocina[Número de Orden],Sala[[#This Row],[Número de Orden]],Cocina[Tiempo de Preparación]))</f>
        <v>196</v>
      </c>
      <c r="Q760" s="5" t="str">
        <f>TEXT(((SUMIF(Cocina[Número de Orden],Sala[[#This Row],[Número de Orden]],Cocina[Tiempo de Preparación]))/(60*24)),"h:mm")</f>
        <v>3:16</v>
      </c>
      <c r="R760" s="3">
        <f>MAX((Sala[[#This Row],[Tiempo de permanencia]]-Sala[[#This Row],[Tiempo de preparación (h)]]),0)</f>
        <v>0</v>
      </c>
      <c r="S760" s="8">
        <f>SUMIF(Cocina[Número de Orden],Sala[[#This Row],[Número de Orden]],Cocina[Ganancia bruta])</f>
        <v>342</v>
      </c>
      <c r="T760" s="8">
        <f>SUMIF(Cocina[Número de Orden],Sala[[#This Row],[Número de Orden]],Cocina[Costo Unitario])</f>
        <v>68</v>
      </c>
      <c r="U760" s="2">
        <f>Sala[[#This Row],[Fecha de Salida]]</f>
        <v>45023</v>
      </c>
      <c r="V760" s="7" t="str">
        <f>TEXT(Sala[[#This Row],[Fecha factura]],"dddd")</f>
        <v>viernes</v>
      </c>
      <c r="W760" t="str">
        <f>IF(Sala[[#This Row],[Tiempo de degustación]]&gt;0,"Sí","No")</f>
        <v>No</v>
      </c>
      <c r="X760" t="str">
        <f>IF(Sala[[#This Row],[Cobrada]]="Sí",Sala[[#This Row],[Método de Pago]],"Impago")</f>
        <v>Impago</v>
      </c>
      <c r="Y760">
        <f>IF(Sala[[#This Row],[Cobrada]]="Sí",Sala[[#This Row],[Propina]],0)</f>
        <v>0</v>
      </c>
      <c r="Z760">
        <f>(IF(Sala[[#This Row],[Cobrada]]="Sí",Sala[[#This Row],[Monto total]],0))+Sala[[#This Row],[Propina real]]</f>
        <v>0</v>
      </c>
    </row>
    <row r="761" spans="1:26" x14ac:dyDescent="0.25">
      <c r="A761">
        <v>5</v>
      </c>
      <c r="B761" t="s">
        <v>590</v>
      </c>
      <c r="C761">
        <v>6</v>
      </c>
      <c r="D761" s="2">
        <v>45023</v>
      </c>
      <c r="E761" s="3">
        <v>1.7361111111111112E-2</v>
      </c>
      <c r="F761" s="2">
        <v>45023</v>
      </c>
      <c r="G761" s="3">
        <v>6.9444444444444448E-2</v>
      </c>
      <c r="H761" s="1" t="s">
        <v>23</v>
      </c>
      <c r="I761" t="s">
        <v>8</v>
      </c>
      <c r="J761" t="s">
        <v>601</v>
      </c>
      <c r="K761" s="9">
        <v>39.42</v>
      </c>
      <c r="L761" t="s">
        <v>17</v>
      </c>
      <c r="M761">
        <v>760</v>
      </c>
      <c r="N761" t="s">
        <v>59</v>
      </c>
      <c r="O761" s="3">
        <f>(Sala[[#This Row],[Hora de Salida]]-Sala[[#This Row],[Hora de llegada]])+IF(Sala[[#This Row],[Estado de la Mesa]]="Ocupada",(TEXT((15/(60*24)),"h:mm")),(TEXT(0,"h:mm")))</f>
        <v>5.2083333333333336E-2</v>
      </c>
      <c r="P761" s="43">
        <f>(SUMIF(Cocina[Número de Orden],Sala[[#This Row],[Número de Orden]],Cocina[Tiempo de Preparación]))</f>
        <v>20</v>
      </c>
      <c r="Q761" s="5" t="str">
        <f>TEXT(((SUMIF(Cocina[Número de Orden],Sala[[#This Row],[Número de Orden]],Cocina[Tiempo de Preparación]))/(60*24)),"h:mm")</f>
        <v>0:20</v>
      </c>
      <c r="R761" s="3">
        <f>MAX((Sala[[#This Row],[Tiempo de permanencia]]-Sala[[#This Row],[Tiempo de preparación (h)]]),0)</f>
        <v>3.8194444444444448E-2</v>
      </c>
      <c r="S761" s="8">
        <f>SUMIF(Cocina[Número de Orden],Sala[[#This Row],[Número de Orden]],Cocina[Ganancia bruta])</f>
        <v>105</v>
      </c>
      <c r="T761" s="8">
        <f>SUMIF(Cocina[Número de Orden],Sala[[#This Row],[Número de Orden]],Cocina[Costo Unitario])</f>
        <v>21</v>
      </c>
      <c r="U761" s="2">
        <f>Sala[[#This Row],[Fecha de Salida]]</f>
        <v>45023</v>
      </c>
      <c r="V761" s="7" t="str">
        <f>TEXT(Sala[[#This Row],[Fecha factura]],"dddd")</f>
        <v>viernes</v>
      </c>
      <c r="W761" t="str">
        <f>IF(Sala[[#This Row],[Tiempo de degustación]]&gt;0,"Sí","No")</f>
        <v>Sí</v>
      </c>
      <c r="X761" t="str">
        <f>IF(Sala[[#This Row],[Cobrada]]="Sí",Sala[[#This Row],[Método de Pago]],"Impago")</f>
        <v>Tarjeta de crédito</v>
      </c>
      <c r="Y761">
        <f>IF(Sala[[#This Row],[Cobrada]]="Sí",Sala[[#This Row],[Propina]],0)</f>
        <v>39.42</v>
      </c>
      <c r="Z761">
        <f>(IF(Sala[[#This Row],[Cobrada]]="Sí",Sala[[#This Row],[Monto total]],0))+Sala[[#This Row],[Propina real]]</f>
        <v>144.42000000000002</v>
      </c>
    </row>
    <row r="762" spans="1:26" x14ac:dyDescent="0.25">
      <c r="A762">
        <v>4</v>
      </c>
      <c r="B762" t="s">
        <v>513</v>
      </c>
      <c r="C762">
        <v>4</v>
      </c>
      <c r="D762" s="2">
        <v>45023</v>
      </c>
      <c r="E762" s="3">
        <v>0.11041666666666666</v>
      </c>
      <c r="F762" s="2">
        <v>45023</v>
      </c>
      <c r="G762" s="3">
        <v>0.15416666666666667</v>
      </c>
      <c r="H762" s="1" t="s">
        <v>7</v>
      </c>
      <c r="I762" t="s">
        <v>12</v>
      </c>
      <c r="J762" t="s">
        <v>601</v>
      </c>
      <c r="K762" s="9">
        <v>16.850000000000001</v>
      </c>
      <c r="L762" t="s">
        <v>17</v>
      </c>
      <c r="M762">
        <v>761</v>
      </c>
      <c r="N762" t="s">
        <v>594</v>
      </c>
      <c r="O762" s="3">
        <f>(Sala[[#This Row],[Hora de Salida]]-Sala[[#This Row],[Hora de llegada]])+IF(Sala[[#This Row],[Estado de la Mesa]]="Ocupada",(TEXT((15/(60*24)),"h:mm")),(TEXT(0,"h:mm")))</f>
        <v>4.3750000000000011E-2</v>
      </c>
      <c r="P762" s="43">
        <f>(SUMIF(Cocina[Número de Orden],Sala[[#This Row],[Número de Orden]],Cocina[Tiempo de Preparación]))</f>
        <v>102</v>
      </c>
      <c r="Q762" s="5" t="str">
        <f>TEXT(((SUMIF(Cocina[Número de Orden],Sala[[#This Row],[Número de Orden]],Cocina[Tiempo de Preparación]))/(60*24)),"h:mm")</f>
        <v>1:42</v>
      </c>
      <c r="R762" s="3">
        <f>MAX((Sala[[#This Row],[Tiempo de permanencia]]-Sala[[#This Row],[Tiempo de preparación (h)]]),0)</f>
        <v>0</v>
      </c>
      <c r="S762" s="8">
        <f>SUMIF(Cocina[Número de Orden],Sala[[#This Row],[Número de Orden]],Cocina[Ganancia bruta])</f>
        <v>174</v>
      </c>
      <c r="T762" s="8">
        <f>SUMIF(Cocina[Número de Orden],Sala[[#This Row],[Número de Orden]],Cocina[Costo Unitario])</f>
        <v>44</v>
      </c>
      <c r="U762" s="2">
        <f>Sala[[#This Row],[Fecha de Salida]]</f>
        <v>45023</v>
      </c>
      <c r="V762" s="7" t="str">
        <f>TEXT(Sala[[#This Row],[Fecha factura]],"dddd")</f>
        <v>viernes</v>
      </c>
      <c r="W762" t="str">
        <f>IF(Sala[[#This Row],[Tiempo de degustación]]&gt;0,"Sí","No")</f>
        <v>No</v>
      </c>
      <c r="X762" t="str">
        <f>IF(Sala[[#This Row],[Cobrada]]="Sí",Sala[[#This Row],[Método de Pago]],"Impago")</f>
        <v>Impago</v>
      </c>
      <c r="Y762">
        <f>IF(Sala[[#This Row],[Cobrada]]="Sí",Sala[[#This Row],[Propina]],0)</f>
        <v>0</v>
      </c>
      <c r="Z762">
        <f>(IF(Sala[[#This Row],[Cobrada]]="Sí",Sala[[#This Row],[Monto total]],0))+Sala[[#This Row],[Propina real]]</f>
        <v>0</v>
      </c>
    </row>
    <row r="763" spans="1:26" x14ac:dyDescent="0.25">
      <c r="A763">
        <v>4</v>
      </c>
      <c r="B763" t="s">
        <v>306</v>
      </c>
      <c r="C763">
        <v>3</v>
      </c>
      <c r="D763" s="2">
        <v>45023</v>
      </c>
      <c r="E763" s="3">
        <v>5.4166666666666669E-2</v>
      </c>
      <c r="F763" s="2">
        <v>45023</v>
      </c>
      <c r="G763" s="3">
        <v>0.1423611111111111</v>
      </c>
      <c r="H763" s="1" t="s">
        <v>20</v>
      </c>
      <c r="I763" t="s">
        <v>12</v>
      </c>
      <c r="J763" t="s">
        <v>601</v>
      </c>
      <c r="K763" s="9">
        <v>49.45</v>
      </c>
      <c r="L763" t="s">
        <v>9</v>
      </c>
      <c r="M763">
        <v>762</v>
      </c>
      <c r="N763" t="s">
        <v>34</v>
      </c>
      <c r="O763" s="3">
        <f>(Sala[[#This Row],[Hora de Salida]]-Sala[[#This Row],[Hora de llegada]])+IF(Sala[[#This Row],[Estado de la Mesa]]="Ocupada",(TEXT((15/(60*24)),"h:mm")),(TEXT(0,"h:mm")))</f>
        <v>8.8194444444444436E-2</v>
      </c>
      <c r="P763" s="43">
        <f>(SUMIF(Cocina[Número de Orden],Sala[[#This Row],[Número de Orden]],Cocina[Tiempo de Preparación]))</f>
        <v>29</v>
      </c>
      <c r="Q763" s="5" t="str">
        <f>TEXT(((SUMIF(Cocina[Número de Orden],Sala[[#This Row],[Número de Orden]],Cocina[Tiempo de Preparación]))/(60*24)),"h:mm")</f>
        <v>0:29</v>
      </c>
      <c r="R763" s="3">
        <f>MAX((Sala[[#This Row],[Tiempo de permanencia]]-Sala[[#This Row],[Tiempo de preparación (h)]]),0)</f>
        <v>6.805555555555555E-2</v>
      </c>
      <c r="S763" s="8">
        <f>SUMIF(Cocina[Número de Orden],Sala[[#This Row],[Número de Orden]],Cocina[Ganancia bruta])</f>
        <v>99</v>
      </c>
      <c r="T763" s="8">
        <f>SUMIF(Cocina[Número de Orden],Sala[[#This Row],[Número de Orden]],Cocina[Costo Unitario])</f>
        <v>28</v>
      </c>
      <c r="U763" s="2">
        <f>Sala[[#This Row],[Fecha de Salida]]</f>
        <v>45023</v>
      </c>
      <c r="V763" s="7" t="str">
        <f>TEXT(Sala[[#This Row],[Fecha factura]],"dddd")</f>
        <v>viernes</v>
      </c>
      <c r="W763" t="str">
        <f>IF(Sala[[#This Row],[Tiempo de degustación]]&gt;0,"Sí","No")</f>
        <v>Sí</v>
      </c>
      <c r="X763" t="str">
        <f>IF(Sala[[#This Row],[Cobrada]]="Sí",Sala[[#This Row],[Método de Pago]],"Impago")</f>
        <v>Tarjeta de crédito</v>
      </c>
      <c r="Y763">
        <f>IF(Sala[[#This Row],[Cobrada]]="Sí",Sala[[#This Row],[Propina]],0)</f>
        <v>49.45</v>
      </c>
      <c r="Z763">
        <f>(IF(Sala[[#This Row],[Cobrada]]="Sí",Sala[[#This Row],[Monto total]],0))+Sala[[#This Row],[Propina real]]</f>
        <v>148.44999999999999</v>
      </c>
    </row>
    <row r="764" spans="1:26" x14ac:dyDescent="0.25">
      <c r="A764">
        <v>18</v>
      </c>
      <c r="B764" t="s">
        <v>510</v>
      </c>
      <c r="C764">
        <v>3</v>
      </c>
      <c r="D764" s="2">
        <v>45023</v>
      </c>
      <c r="E764" s="3">
        <v>0.15902777777777777</v>
      </c>
      <c r="F764" s="2">
        <v>45023</v>
      </c>
      <c r="G764" s="3">
        <v>0.21666666666666667</v>
      </c>
      <c r="H764" s="1" t="s">
        <v>23</v>
      </c>
      <c r="I764" t="s">
        <v>8</v>
      </c>
      <c r="J764" t="s">
        <v>601</v>
      </c>
      <c r="K764" s="9">
        <v>22.88</v>
      </c>
      <c r="L764" t="s">
        <v>9</v>
      </c>
      <c r="M764">
        <v>763</v>
      </c>
      <c r="N764" t="s">
        <v>59</v>
      </c>
      <c r="O764" s="3">
        <f>(Sala[[#This Row],[Hora de Salida]]-Sala[[#This Row],[Hora de llegada]])+IF(Sala[[#This Row],[Estado de la Mesa]]="Ocupada",(TEXT((15/(60*24)),"h:mm")),(TEXT(0,"h:mm")))</f>
        <v>5.7638888888888906E-2</v>
      </c>
      <c r="P764" s="43">
        <f>(SUMIF(Cocina[Número de Orden],Sala[[#This Row],[Número de Orden]],Cocina[Tiempo de Preparación]))</f>
        <v>32</v>
      </c>
      <c r="Q764" s="5" t="str">
        <f>TEXT(((SUMIF(Cocina[Número de Orden],Sala[[#This Row],[Número de Orden]],Cocina[Tiempo de Preparación]))/(60*24)),"h:mm")</f>
        <v>0:32</v>
      </c>
      <c r="R764" s="3">
        <f>MAX((Sala[[#This Row],[Tiempo de permanencia]]-Sala[[#This Row],[Tiempo de preparación (h)]]),0)</f>
        <v>3.541666666666668E-2</v>
      </c>
      <c r="S764" s="8">
        <f>SUMIF(Cocina[Número de Orden],Sala[[#This Row],[Número de Orden]],Cocina[Ganancia bruta])</f>
        <v>104</v>
      </c>
      <c r="T764" s="8">
        <f>SUMIF(Cocina[Número de Orden],Sala[[#This Row],[Número de Orden]],Cocina[Costo Unitario])</f>
        <v>31</v>
      </c>
      <c r="U764" s="2">
        <f>Sala[[#This Row],[Fecha de Salida]]</f>
        <v>45023</v>
      </c>
      <c r="V764" s="7" t="str">
        <f>TEXT(Sala[[#This Row],[Fecha factura]],"dddd")</f>
        <v>viernes</v>
      </c>
      <c r="W764" t="str">
        <f>IF(Sala[[#This Row],[Tiempo de degustación]]&gt;0,"Sí","No")</f>
        <v>Sí</v>
      </c>
      <c r="X764" t="str">
        <f>IF(Sala[[#This Row],[Cobrada]]="Sí",Sala[[#This Row],[Método de Pago]],"Impago")</f>
        <v>Tarjeta de crédito</v>
      </c>
      <c r="Y764">
        <f>IF(Sala[[#This Row],[Cobrada]]="Sí",Sala[[#This Row],[Propina]],0)</f>
        <v>22.88</v>
      </c>
      <c r="Z764">
        <f>(IF(Sala[[#This Row],[Cobrada]]="Sí",Sala[[#This Row],[Monto total]],0))+Sala[[#This Row],[Propina real]]</f>
        <v>126.88</v>
      </c>
    </row>
    <row r="765" spans="1:26" x14ac:dyDescent="0.25">
      <c r="A765">
        <v>20</v>
      </c>
      <c r="B765" t="s">
        <v>591</v>
      </c>
      <c r="C765">
        <v>1</v>
      </c>
      <c r="D765" s="2">
        <v>45023</v>
      </c>
      <c r="E765" s="3">
        <v>0.14583333333333334</v>
      </c>
      <c r="F765" s="2">
        <v>45023</v>
      </c>
      <c r="G765" s="3">
        <v>0.24027777777777778</v>
      </c>
      <c r="H765" s="1" t="s">
        <v>23</v>
      </c>
      <c r="I765" t="s">
        <v>25</v>
      </c>
      <c r="J765" t="s">
        <v>601</v>
      </c>
      <c r="K765" s="9">
        <v>20.41</v>
      </c>
      <c r="L765" t="s">
        <v>28</v>
      </c>
      <c r="M765">
        <v>764</v>
      </c>
      <c r="N765" t="s">
        <v>14</v>
      </c>
      <c r="O765" s="3">
        <f>(Sala[[#This Row],[Hora de Salida]]-Sala[[#This Row],[Hora de llegada]])+IF(Sala[[#This Row],[Estado de la Mesa]]="Ocupada",(TEXT((15/(60*24)),"h:mm")),(TEXT(0,"h:mm")))</f>
        <v>0.10486111111111111</v>
      </c>
      <c r="P765" s="43">
        <f>(SUMIF(Cocina[Número de Orden],Sala[[#This Row],[Número de Orden]],Cocina[Tiempo de Preparación]))</f>
        <v>112</v>
      </c>
      <c r="Q765" s="5" t="str">
        <f>TEXT(((SUMIF(Cocina[Número de Orden],Sala[[#This Row],[Número de Orden]],Cocina[Tiempo de Preparación]))/(60*24)),"h:mm")</f>
        <v>1:52</v>
      </c>
      <c r="R765" s="3">
        <f>MAX((Sala[[#This Row],[Tiempo de permanencia]]-Sala[[#This Row],[Tiempo de preparación (h)]]),0)</f>
        <v>2.7083333333333334E-2</v>
      </c>
      <c r="S765" s="8">
        <f>SUMIF(Cocina[Número de Orden],Sala[[#This Row],[Número de Orden]],Cocina[Ganancia bruta])</f>
        <v>85</v>
      </c>
      <c r="T765" s="8">
        <f>SUMIF(Cocina[Número de Orden],Sala[[#This Row],[Número de Orden]],Cocina[Costo Unitario])</f>
        <v>50</v>
      </c>
      <c r="U765" s="2">
        <f>Sala[[#This Row],[Fecha de Salida]]</f>
        <v>45023</v>
      </c>
      <c r="V765" s="7" t="str">
        <f>TEXT(Sala[[#This Row],[Fecha factura]],"dddd")</f>
        <v>viernes</v>
      </c>
      <c r="W765" t="str">
        <f>IF(Sala[[#This Row],[Tiempo de degustación]]&gt;0,"Sí","No")</f>
        <v>Sí</v>
      </c>
      <c r="X765" t="str">
        <f>IF(Sala[[#This Row],[Cobrada]]="Sí",Sala[[#This Row],[Método de Pago]],"Impago")</f>
        <v>Tarjeta de crédito</v>
      </c>
      <c r="Y765">
        <f>IF(Sala[[#This Row],[Cobrada]]="Sí",Sala[[#This Row],[Propina]],0)</f>
        <v>20.41</v>
      </c>
      <c r="Z765">
        <f>(IF(Sala[[#This Row],[Cobrada]]="Sí",Sala[[#This Row],[Monto total]],0))+Sala[[#This Row],[Propina real]]</f>
        <v>105.41</v>
      </c>
    </row>
    <row r="766" spans="1:26" x14ac:dyDescent="0.25">
      <c r="A766">
        <v>20</v>
      </c>
      <c r="B766" t="s">
        <v>491</v>
      </c>
      <c r="C766">
        <v>4</v>
      </c>
      <c r="D766" s="2">
        <v>45023</v>
      </c>
      <c r="E766" s="3">
        <v>1.6666666666666666E-2</v>
      </c>
      <c r="F766" s="2">
        <v>45023</v>
      </c>
      <c r="G766" s="3">
        <v>6.7361111111111108E-2</v>
      </c>
      <c r="H766" s="1" t="s">
        <v>7</v>
      </c>
      <c r="I766" t="s">
        <v>25</v>
      </c>
      <c r="J766" t="s">
        <v>601</v>
      </c>
      <c r="K766" s="9">
        <v>30.77</v>
      </c>
      <c r="L766" t="s">
        <v>17</v>
      </c>
      <c r="M766">
        <v>765</v>
      </c>
      <c r="N766" t="s">
        <v>47</v>
      </c>
      <c r="O766" s="3">
        <f>(Sala[[#This Row],[Hora de Salida]]-Sala[[#This Row],[Hora de llegada]])+IF(Sala[[#This Row],[Estado de la Mesa]]="Ocupada",(TEXT((15/(60*24)),"h:mm")),(TEXT(0,"h:mm")))</f>
        <v>5.0694444444444445E-2</v>
      </c>
      <c r="P766" s="43">
        <f>(SUMIF(Cocina[Número de Orden],Sala[[#This Row],[Número de Orden]],Cocina[Tiempo de Preparación]))</f>
        <v>164</v>
      </c>
      <c r="Q766" s="5" t="str">
        <f>TEXT(((SUMIF(Cocina[Número de Orden],Sala[[#This Row],[Número de Orden]],Cocina[Tiempo de Preparación]))/(60*24)),"h:mm")</f>
        <v>2:44</v>
      </c>
      <c r="R766" s="3">
        <f>MAX((Sala[[#This Row],[Tiempo de permanencia]]-Sala[[#This Row],[Tiempo de preparación (h)]]),0)</f>
        <v>0</v>
      </c>
      <c r="S766" s="8">
        <f>SUMIF(Cocina[Número de Orden],Sala[[#This Row],[Número de Orden]],Cocina[Ganancia bruta])</f>
        <v>233</v>
      </c>
      <c r="T766" s="8">
        <f>SUMIF(Cocina[Número de Orden],Sala[[#This Row],[Número de Orden]],Cocina[Costo Unitario])</f>
        <v>66</v>
      </c>
      <c r="U766" s="2">
        <f>Sala[[#This Row],[Fecha de Salida]]</f>
        <v>45023</v>
      </c>
      <c r="V766" s="7" t="str">
        <f>TEXT(Sala[[#This Row],[Fecha factura]],"dddd")</f>
        <v>viernes</v>
      </c>
      <c r="W766" t="str">
        <f>IF(Sala[[#This Row],[Tiempo de degustación]]&gt;0,"Sí","No")</f>
        <v>No</v>
      </c>
      <c r="X766" t="str">
        <f>IF(Sala[[#This Row],[Cobrada]]="Sí",Sala[[#This Row],[Método de Pago]],"Impago")</f>
        <v>Impago</v>
      </c>
      <c r="Y766">
        <f>IF(Sala[[#This Row],[Cobrada]]="Sí",Sala[[#This Row],[Propina]],0)</f>
        <v>0</v>
      </c>
      <c r="Z766">
        <f>(IF(Sala[[#This Row],[Cobrada]]="Sí",Sala[[#This Row],[Monto total]],0))+Sala[[#This Row],[Propina real]]</f>
        <v>0</v>
      </c>
    </row>
    <row r="767" spans="1:26" x14ac:dyDescent="0.25">
      <c r="A767">
        <v>17</v>
      </c>
      <c r="B767" t="s">
        <v>41</v>
      </c>
      <c r="C767">
        <v>6</v>
      </c>
      <c r="D767" s="2">
        <v>45023</v>
      </c>
      <c r="E767" s="3">
        <v>6.5277777777777782E-2</v>
      </c>
      <c r="F767" s="2">
        <v>45023</v>
      </c>
      <c r="G767" s="3">
        <v>0.2013888888888889</v>
      </c>
      <c r="H767" s="1" t="s">
        <v>16</v>
      </c>
      <c r="I767" t="s">
        <v>25</v>
      </c>
      <c r="J767" t="s">
        <v>601</v>
      </c>
      <c r="K767" s="9">
        <v>12.57</v>
      </c>
      <c r="L767" t="s">
        <v>9</v>
      </c>
      <c r="M767">
        <v>766</v>
      </c>
      <c r="N767" t="s">
        <v>59</v>
      </c>
      <c r="O767" s="3">
        <f>(Sala[[#This Row],[Hora de Salida]]-Sala[[#This Row],[Hora de llegada]])+IF(Sala[[#This Row],[Estado de la Mesa]]="Ocupada",(TEXT((15/(60*24)),"h:mm")),(TEXT(0,"h:mm")))</f>
        <v>0.13611111111111113</v>
      </c>
      <c r="P767" s="43">
        <f>(SUMIF(Cocina[Número de Orden],Sala[[#This Row],[Número de Orden]],Cocina[Tiempo de Preparación]))</f>
        <v>134</v>
      </c>
      <c r="Q767" s="5" t="str">
        <f>TEXT(((SUMIF(Cocina[Número de Orden],Sala[[#This Row],[Número de Orden]],Cocina[Tiempo de Preparación]))/(60*24)),"h:mm")</f>
        <v>2:14</v>
      </c>
      <c r="R767" s="3">
        <f>MAX((Sala[[#This Row],[Tiempo de permanencia]]-Sala[[#This Row],[Tiempo de preparación (h)]]),0)</f>
        <v>4.3055555555555569E-2</v>
      </c>
      <c r="S767" s="8">
        <f>SUMIF(Cocina[Número de Orden],Sala[[#This Row],[Número de Orden]],Cocina[Ganancia bruta])</f>
        <v>185</v>
      </c>
      <c r="T767" s="8">
        <f>SUMIF(Cocina[Número de Orden],Sala[[#This Row],[Número de Orden]],Cocina[Costo Unitario])</f>
        <v>55</v>
      </c>
      <c r="U767" s="2">
        <f>Sala[[#This Row],[Fecha de Salida]]</f>
        <v>45023</v>
      </c>
      <c r="V767" s="7" t="str">
        <f>TEXT(Sala[[#This Row],[Fecha factura]],"dddd")</f>
        <v>viernes</v>
      </c>
      <c r="W767" t="str">
        <f>IF(Sala[[#This Row],[Tiempo de degustación]]&gt;0,"Sí","No")</f>
        <v>Sí</v>
      </c>
      <c r="X767" t="str">
        <f>IF(Sala[[#This Row],[Cobrada]]="Sí",Sala[[#This Row],[Método de Pago]],"Impago")</f>
        <v>Tarjeta de crédito</v>
      </c>
      <c r="Y767">
        <f>IF(Sala[[#This Row],[Cobrada]]="Sí",Sala[[#This Row],[Propina]],0)</f>
        <v>12.57</v>
      </c>
      <c r="Z767">
        <f>(IF(Sala[[#This Row],[Cobrada]]="Sí",Sala[[#This Row],[Monto total]],0))+Sala[[#This Row],[Propina real]]</f>
        <v>197.57</v>
      </c>
    </row>
    <row r="768" spans="1:26" x14ac:dyDescent="0.25">
      <c r="A768">
        <v>10</v>
      </c>
      <c r="B768" t="s">
        <v>592</v>
      </c>
      <c r="C768">
        <v>3</v>
      </c>
      <c r="D768" s="2">
        <v>45023</v>
      </c>
      <c r="E768" s="3">
        <v>4.7222222222222221E-2</v>
      </c>
      <c r="F768" s="2">
        <v>45023</v>
      </c>
      <c r="G768" s="3">
        <v>0.16458333333333333</v>
      </c>
      <c r="H768" s="1" t="s">
        <v>16</v>
      </c>
      <c r="I768" t="s">
        <v>12</v>
      </c>
      <c r="J768" t="s">
        <v>601</v>
      </c>
      <c r="K768" s="9">
        <v>15.98</v>
      </c>
      <c r="L768" t="s">
        <v>9</v>
      </c>
      <c r="M768">
        <v>767</v>
      </c>
      <c r="N768" t="s">
        <v>44</v>
      </c>
      <c r="O768" s="3">
        <f>(Sala[[#This Row],[Hora de Salida]]-Sala[[#This Row],[Hora de llegada]])+IF(Sala[[#This Row],[Estado de la Mesa]]="Ocupada",(TEXT((15/(60*24)),"h:mm")),(TEXT(0,"h:mm")))</f>
        <v>0.11736111111111111</v>
      </c>
      <c r="P768" s="43">
        <f>(SUMIF(Cocina[Número de Orden],Sala[[#This Row],[Número de Orden]],Cocina[Tiempo de Preparación]))</f>
        <v>85</v>
      </c>
      <c r="Q768" s="5" t="str">
        <f>TEXT(((SUMIF(Cocina[Número de Orden],Sala[[#This Row],[Número de Orden]],Cocina[Tiempo de Preparación]))/(60*24)),"h:mm")</f>
        <v>1:25</v>
      </c>
      <c r="R768" s="3">
        <f>MAX((Sala[[#This Row],[Tiempo de permanencia]]-Sala[[#This Row],[Tiempo de preparación (h)]]),0)</f>
        <v>5.8333333333333334E-2</v>
      </c>
      <c r="S768" s="8">
        <f>SUMIF(Cocina[Número de Orden],Sala[[#This Row],[Número de Orden]],Cocina[Ganancia bruta])</f>
        <v>169</v>
      </c>
      <c r="T768" s="8">
        <f>SUMIF(Cocina[Número de Orden],Sala[[#This Row],[Número de Orden]],Cocina[Costo Unitario])</f>
        <v>44</v>
      </c>
      <c r="U768" s="2">
        <f>Sala[[#This Row],[Fecha de Salida]]</f>
        <v>45023</v>
      </c>
      <c r="V768" s="7" t="str">
        <f>TEXT(Sala[[#This Row],[Fecha factura]],"dddd")</f>
        <v>viernes</v>
      </c>
      <c r="W768" t="str">
        <f>IF(Sala[[#This Row],[Tiempo de degustación]]&gt;0,"Sí","No")</f>
        <v>Sí</v>
      </c>
      <c r="X768" t="str">
        <f>IF(Sala[[#This Row],[Cobrada]]="Sí",Sala[[#This Row],[Método de Pago]],"Impago")</f>
        <v>Tarjeta de crédito</v>
      </c>
      <c r="Y768">
        <f>IF(Sala[[#This Row],[Cobrada]]="Sí",Sala[[#This Row],[Propina]],0)</f>
        <v>15.98</v>
      </c>
      <c r="Z768">
        <f>(IF(Sala[[#This Row],[Cobrada]]="Sí",Sala[[#This Row],[Monto total]],0))+Sala[[#This Row],[Propina real]]</f>
        <v>184.98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A74D-BA66-4A6B-A5AD-A125F73A3D95}">
  <dimension ref="A1:L1903"/>
  <sheetViews>
    <sheetView workbookViewId="0">
      <selection activeCell="H2" sqref="H2"/>
    </sheetView>
  </sheetViews>
  <sheetFormatPr baseColWidth="10" defaultRowHeight="15" x14ac:dyDescent="0.25"/>
  <cols>
    <col min="1" max="1" width="18.7109375" customWidth="1"/>
    <col min="2" max="2" width="18" customWidth="1"/>
    <col min="3" max="3" width="18.42578125" customWidth="1"/>
    <col min="4" max="4" width="24" hidden="1" customWidth="1"/>
    <col min="5" max="5" width="15.7109375" customWidth="1"/>
    <col min="6" max="6" width="16.28515625" customWidth="1"/>
    <col min="7" max="7" width="20.42578125" customWidth="1"/>
    <col min="8" max="10" width="23.5703125" customWidth="1"/>
    <col min="11" max="11" width="23.5703125" style="4" customWidth="1"/>
    <col min="12" max="12" width="16.28515625" customWidth="1"/>
    <col min="14" max="14" width="17.85546875" bestFit="1" customWidth="1"/>
    <col min="15" max="15" width="30.140625" bestFit="1" customWidth="1"/>
  </cols>
  <sheetData>
    <row r="1" spans="1:12" x14ac:dyDescent="0.25">
      <c r="A1" t="s">
        <v>597</v>
      </c>
      <c r="B1" t="s">
        <v>595</v>
      </c>
      <c r="C1" t="s">
        <v>602</v>
      </c>
      <c r="D1" t="s">
        <v>618</v>
      </c>
      <c r="E1" t="s">
        <v>603</v>
      </c>
      <c r="F1" t="s">
        <v>604</v>
      </c>
      <c r="G1" t="s">
        <v>605</v>
      </c>
      <c r="H1" t="s">
        <v>609</v>
      </c>
      <c r="I1" t="s">
        <v>613</v>
      </c>
      <c r="J1" t="s">
        <v>614</v>
      </c>
      <c r="K1" s="4" t="s">
        <v>615</v>
      </c>
      <c r="L1" t="s">
        <v>606</v>
      </c>
    </row>
    <row r="2" spans="1:12" x14ac:dyDescent="0.25">
      <c r="A2">
        <v>1</v>
      </c>
      <c r="B2">
        <v>10</v>
      </c>
      <c r="C2" t="s">
        <v>158</v>
      </c>
      <c r="D2" t="s">
        <v>617</v>
      </c>
      <c r="E2">
        <v>14</v>
      </c>
      <c r="F2">
        <v>24</v>
      </c>
      <c r="G2">
        <v>2</v>
      </c>
      <c r="H2">
        <v>25</v>
      </c>
      <c r="I2">
        <f>Cocina[[#This Row],[Precio Unitario]]*Cocina[[#This Row],[Cantidad Ordenada]]</f>
        <v>48</v>
      </c>
      <c r="J2">
        <f>(Cocina[[#This Row],[Precio Unitario]]-Cocina[[#This Row],[Costo Unitario]])*Cocina[[#This Row],[Cantidad Ordenada]]</f>
        <v>20</v>
      </c>
      <c r="K2" s="4">
        <f>Cocina[[#This Row],[Ganancia neta]]/_xlfn.XLOOKUP(Cocina[[#This Row],[Número de Orden]],Sala[Número de Orden],Sala[Monto total],"fracaso",0,1)</f>
        <v>0.14492753623188406</v>
      </c>
      <c r="L2" t="s">
        <v>607</v>
      </c>
    </row>
    <row r="3" spans="1:12" x14ac:dyDescent="0.25">
      <c r="A3">
        <v>1</v>
      </c>
      <c r="B3">
        <v>10</v>
      </c>
      <c r="C3" t="s">
        <v>68</v>
      </c>
      <c r="D3" t="s">
        <v>619</v>
      </c>
      <c r="E3">
        <v>18</v>
      </c>
      <c r="F3">
        <v>30</v>
      </c>
      <c r="G3">
        <v>3</v>
      </c>
      <c r="H3">
        <v>32</v>
      </c>
      <c r="I3">
        <f>Cocina[[#This Row],[Precio Unitario]]*Cocina[[#This Row],[Cantidad Ordenada]]</f>
        <v>90</v>
      </c>
      <c r="J3">
        <f>(Cocina[[#This Row],[Precio Unitario]]-Cocina[[#This Row],[Costo Unitario]])*Cocina[[#This Row],[Cantidad Ordenada]]</f>
        <v>36</v>
      </c>
      <c r="K3" s="4">
        <f>Cocina[[#This Row],[Ganancia neta]]/_xlfn.XLOOKUP(Cocina[[#This Row],[Número de Orden]],Sala[Número de Orden],Sala[Monto total],"fracaso",0,1)</f>
        <v>0.2608695652173913</v>
      </c>
      <c r="L3" t="s">
        <v>608</v>
      </c>
    </row>
    <row r="4" spans="1:12" x14ac:dyDescent="0.25">
      <c r="A4">
        <v>2</v>
      </c>
      <c r="B4">
        <v>6</v>
      </c>
      <c r="C4" t="s">
        <v>116</v>
      </c>
      <c r="D4" t="s">
        <v>620</v>
      </c>
      <c r="E4">
        <v>19</v>
      </c>
      <c r="F4">
        <v>31</v>
      </c>
      <c r="G4">
        <v>1</v>
      </c>
      <c r="H4">
        <v>51</v>
      </c>
      <c r="I4">
        <f>Cocina[[#This Row],[Precio Unitario]]*Cocina[[#This Row],[Cantidad Ordenada]]</f>
        <v>31</v>
      </c>
      <c r="J4">
        <f>(Cocina[[#This Row],[Precio Unitario]]-Cocina[[#This Row],[Costo Unitario]])*Cocina[[#This Row],[Cantidad Ordenada]]</f>
        <v>12</v>
      </c>
      <c r="K4" s="4">
        <f>Cocina[[#This Row],[Ganancia neta]]/_xlfn.XLOOKUP(Cocina[[#This Row],[Número de Orden]],Sala[Número de Orden],Sala[Monto total],"fracaso",0,1)</f>
        <v>0.20689655172413793</v>
      </c>
      <c r="L4" t="s">
        <v>607</v>
      </c>
    </row>
    <row r="5" spans="1:12" x14ac:dyDescent="0.25">
      <c r="A5">
        <v>2</v>
      </c>
      <c r="B5">
        <v>6</v>
      </c>
      <c r="C5" t="s">
        <v>106</v>
      </c>
      <c r="D5" t="s">
        <v>621</v>
      </c>
      <c r="E5">
        <v>16</v>
      </c>
      <c r="F5">
        <v>27</v>
      </c>
      <c r="G5">
        <v>1</v>
      </c>
      <c r="H5">
        <v>34</v>
      </c>
      <c r="I5">
        <f>Cocina[[#This Row],[Precio Unitario]]*Cocina[[#This Row],[Cantidad Ordenada]]</f>
        <v>27</v>
      </c>
      <c r="J5">
        <f>(Cocina[[#This Row],[Precio Unitario]]-Cocina[[#This Row],[Costo Unitario]])*Cocina[[#This Row],[Cantidad Ordenada]]</f>
        <v>11</v>
      </c>
      <c r="K5" s="4">
        <f>Cocina[[#This Row],[Ganancia neta]]/_xlfn.XLOOKUP(Cocina[[#This Row],[Número de Orden]],Sala[Número de Orden],Sala[Monto total],"fracaso",0,1)</f>
        <v>0.18965517241379309</v>
      </c>
      <c r="L5" t="s">
        <v>608</v>
      </c>
    </row>
    <row r="6" spans="1:12" x14ac:dyDescent="0.25">
      <c r="A6">
        <v>3</v>
      </c>
      <c r="B6">
        <v>20</v>
      </c>
      <c r="C6" t="s">
        <v>48</v>
      </c>
      <c r="D6" t="s">
        <v>622</v>
      </c>
      <c r="E6">
        <v>25</v>
      </c>
      <c r="F6">
        <v>40</v>
      </c>
      <c r="G6">
        <v>1</v>
      </c>
      <c r="H6">
        <v>9</v>
      </c>
      <c r="I6">
        <f>Cocina[[#This Row],[Precio Unitario]]*Cocina[[#This Row],[Cantidad Ordenada]]</f>
        <v>40</v>
      </c>
      <c r="J6">
        <f>(Cocina[[#This Row],[Precio Unitario]]-Cocina[[#This Row],[Costo Unitario]])*Cocina[[#This Row],[Cantidad Ordenada]]</f>
        <v>15</v>
      </c>
      <c r="K6" s="4">
        <f>Cocina[[#This Row],[Ganancia neta]]/_xlfn.XLOOKUP(Cocina[[#This Row],[Número de Orden]],Sala[Número de Orden],Sala[Monto total],"fracaso",0,1)</f>
        <v>9.0909090909090912E-2</v>
      </c>
      <c r="L6" t="s">
        <v>608</v>
      </c>
    </row>
    <row r="7" spans="1:12" x14ac:dyDescent="0.25">
      <c r="A7">
        <v>3</v>
      </c>
      <c r="B7">
        <v>20</v>
      </c>
      <c r="C7" t="s">
        <v>116</v>
      </c>
      <c r="D7" t="s">
        <v>620</v>
      </c>
      <c r="E7">
        <v>19</v>
      </c>
      <c r="F7">
        <v>31</v>
      </c>
      <c r="G7">
        <v>1</v>
      </c>
      <c r="H7">
        <v>27</v>
      </c>
      <c r="I7">
        <f>Cocina[[#This Row],[Precio Unitario]]*Cocina[[#This Row],[Cantidad Ordenada]]</f>
        <v>31</v>
      </c>
      <c r="J7">
        <f>(Cocina[[#This Row],[Precio Unitario]]-Cocina[[#This Row],[Costo Unitario]])*Cocina[[#This Row],[Cantidad Ordenada]]</f>
        <v>12</v>
      </c>
      <c r="K7" s="4">
        <f>Cocina[[#This Row],[Ganancia neta]]/_xlfn.XLOOKUP(Cocina[[#This Row],[Número de Orden]],Sala[Número de Orden],Sala[Monto total],"fracaso",0,1)</f>
        <v>7.2727272727272724E-2</v>
      </c>
      <c r="L7" t="s">
        <v>607</v>
      </c>
    </row>
    <row r="8" spans="1:12" x14ac:dyDescent="0.25">
      <c r="A8">
        <v>3</v>
      </c>
      <c r="B8">
        <v>20</v>
      </c>
      <c r="C8" t="s">
        <v>73</v>
      </c>
      <c r="D8" t="s">
        <v>623</v>
      </c>
      <c r="E8">
        <v>22</v>
      </c>
      <c r="F8">
        <v>36</v>
      </c>
      <c r="G8">
        <v>1</v>
      </c>
      <c r="H8">
        <v>36</v>
      </c>
      <c r="I8">
        <f>Cocina[[#This Row],[Precio Unitario]]*Cocina[[#This Row],[Cantidad Ordenada]]</f>
        <v>36</v>
      </c>
      <c r="J8">
        <f>(Cocina[[#This Row],[Precio Unitario]]-Cocina[[#This Row],[Costo Unitario]])*Cocina[[#This Row],[Cantidad Ordenada]]</f>
        <v>14</v>
      </c>
      <c r="K8" s="4">
        <f>Cocina[[#This Row],[Ganancia neta]]/_xlfn.XLOOKUP(Cocina[[#This Row],[Número de Orden]],Sala[Número de Orden],Sala[Monto total],"fracaso",0,1)</f>
        <v>8.4848484848484854E-2</v>
      </c>
      <c r="L8" t="s">
        <v>607</v>
      </c>
    </row>
    <row r="9" spans="1:12" x14ac:dyDescent="0.25">
      <c r="A9">
        <v>3</v>
      </c>
      <c r="B9">
        <v>20</v>
      </c>
      <c r="C9" t="s">
        <v>38</v>
      </c>
      <c r="D9" t="s">
        <v>624</v>
      </c>
      <c r="E9">
        <v>17</v>
      </c>
      <c r="F9">
        <v>29</v>
      </c>
      <c r="G9">
        <v>2</v>
      </c>
      <c r="H9">
        <v>54</v>
      </c>
      <c r="I9">
        <f>Cocina[[#This Row],[Precio Unitario]]*Cocina[[#This Row],[Cantidad Ordenada]]</f>
        <v>58</v>
      </c>
      <c r="J9">
        <f>(Cocina[[#This Row],[Precio Unitario]]-Cocina[[#This Row],[Costo Unitario]])*Cocina[[#This Row],[Cantidad Ordenada]]</f>
        <v>24</v>
      </c>
      <c r="K9" s="4">
        <f>Cocina[[#This Row],[Ganancia neta]]/_xlfn.XLOOKUP(Cocina[[#This Row],[Número de Orden]],Sala[Número de Orden],Sala[Monto total],"fracaso",0,1)</f>
        <v>0.14545454545454545</v>
      </c>
      <c r="L9" t="s">
        <v>608</v>
      </c>
    </row>
    <row r="10" spans="1:12" x14ac:dyDescent="0.25">
      <c r="A10">
        <v>4</v>
      </c>
      <c r="B10">
        <v>3</v>
      </c>
      <c r="C10" t="s">
        <v>261</v>
      </c>
      <c r="D10" t="s">
        <v>625</v>
      </c>
      <c r="E10">
        <v>20</v>
      </c>
      <c r="F10">
        <v>33</v>
      </c>
      <c r="G10">
        <v>3</v>
      </c>
      <c r="H10">
        <v>23</v>
      </c>
      <c r="I10">
        <f>Cocina[[#This Row],[Precio Unitario]]*Cocina[[#This Row],[Cantidad Ordenada]]</f>
        <v>99</v>
      </c>
      <c r="J10">
        <f>(Cocina[[#This Row],[Precio Unitario]]-Cocina[[#This Row],[Costo Unitario]])*Cocina[[#This Row],[Cantidad Ordenada]]</f>
        <v>39</v>
      </c>
      <c r="K10" s="4">
        <f>Cocina[[#This Row],[Ganancia neta]]/_xlfn.XLOOKUP(Cocina[[#This Row],[Número de Orden]],Sala[Número de Orden],Sala[Monto total],"fracaso",0,1)</f>
        <v>0.21311475409836064</v>
      </c>
      <c r="L10" t="s">
        <v>608</v>
      </c>
    </row>
    <row r="11" spans="1:12" x14ac:dyDescent="0.25">
      <c r="A11">
        <v>4</v>
      </c>
      <c r="B11">
        <v>3</v>
      </c>
      <c r="C11" t="s">
        <v>42</v>
      </c>
      <c r="D11" t="s">
        <v>626</v>
      </c>
      <c r="E11">
        <v>16</v>
      </c>
      <c r="F11">
        <v>28</v>
      </c>
      <c r="G11">
        <v>3</v>
      </c>
      <c r="H11">
        <v>17</v>
      </c>
      <c r="I11">
        <f>Cocina[[#This Row],[Precio Unitario]]*Cocina[[#This Row],[Cantidad Ordenada]]</f>
        <v>84</v>
      </c>
      <c r="J11">
        <f>(Cocina[[#This Row],[Precio Unitario]]-Cocina[[#This Row],[Costo Unitario]])*Cocina[[#This Row],[Cantidad Ordenada]]</f>
        <v>36</v>
      </c>
      <c r="K11" s="4">
        <f>Cocina[[#This Row],[Ganancia neta]]/_xlfn.XLOOKUP(Cocina[[#This Row],[Número de Orden]],Sala[Número de Orden],Sala[Monto total],"fracaso",0,1)</f>
        <v>0.19672131147540983</v>
      </c>
      <c r="L11" t="s">
        <v>607</v>
      </c>
    </row>
    <row r="12" spans="1:12" x14ac:dyDescent="0.25">
      <c r="A12">
        <v>5</v>
      </c>
      <c r="B12">
        <v>8</v>
      </c>
      <c r="C12" t="s">
        <v>112</v>
      </c>
      <c r="D12" t="s">
        <v>627</v>
      </c>
      <c r="E12">
        <v>11</v>
      </c>
      <c r="F12">
        <v>19</v>
      </c>
      <c r="G12">
        <v>1</v>
      </c>
      <c r="H12">
        <v>8</v>
      </c>
      <c r="I12">
        <f>Cocina[[#This Row],[Precio Unitario]]*Cocina[[#This Row],[Cantidad Ordenada]]</f>
        <v>19</v>
      </c>
      <c r="J12">
        <f>(Cocina[[#This Row],[Precio Unitario]]-Cocina[[#This Row],[Costo Unitario]])*Cocina[[#This Row],[Cantidad Ordenada]]</f>
        <v>8</v>
      </c>
      <c r="K12" s="4">
        <f>Cocina[[#This Row],[Ganancia neta]]/_xlfn.XLOOKUP(Cocina[[#This Row],[Número de Orden]],Sala[Número de Orden],Sala[Monto total],"fracaso",0,1)</f>
        <v>0.11940298507462686</v>
      </c>
      <c r="L12" t="s">
        <v>607</v>
      </c>
    </row>
    <row r="13" spans="1:12" x14ac:dyDescent="0.25">
      <c r="A13">
        <v>5</v>
      </c>
      <c r="B13">
        <v>8</v>
      </c>
      <c r="C13" t="s">
        <v>158</v>
      </c>
      <c r="D13" t="s">
        <v>617</v>
      </c>
      <c r="E13">
        <v>14</v>
      </c>
      <c r="F13">
        <v>24</v>
      </c>
      <c r="G13">
        <v>2</v>
      </c>
      <c r="H13">
        <v>9</v>
      </c>
      <c r="I13">
        <f>Cocina[[#This Row],[Precio Unitario]]*Cocina[[#This Row],[Cantidad Ordenada]]</f>
        <v>48</v>
      </c>
      <c r="J13">
        <f>(Cocina[[#This Row],[Precio Unitario]]-Cocina[[#This Row],[Costo Unitario]])*Cocina[[#This Row],[Cantidad Ordenada]]</f>
        <v>20</v>
      </c>
      <c r="K13" s="4">
        <f>Cocina[[#This Row],[Ganancia neta]]/_xlfn.XLOOKUP(Cocina[[#This Row],[Número de Orden]],Sala[Número de Orden],Sala[Monto total],"fracaso",0,1)</f>
        <v>0.29850746268656714</v>
      </c>
      <c r="L13" t="s">
        <v>608</v>
      </c>
    </row>
    <row r="14" spans="1:12" x14ac:dyDescent="0.25">
      <c r="A14">
        <v>6</v>
      </c>
      <c r="B14">
        <v>7</v>
      </c>
      <c r="C14" t="s">
        <v>26</v>
      </c>
      <c r="D14" t="s">
        <v>628</v>
      </c>
      <c r="E14">
        <v>21</v>
      </c>
      <c r="F14">
        <v>35</v>
      </c>
      <c r="G14">
        <v>2</v>
      </c>
      <c r="H14">
        <v>11</v>
      </c>
      <c r="I14">
        <f>Cocina[[#This Row],[Precio Unitario]]*Cocina[[#This Row],[Cantidad Ordenada]]</f>
        <v>70</v>
      </c>
      <c r="J14">
        <f>(Cocina[[#This Row],[Precio Unitario]]-Cocina[[#This Row],[Costo Unitario]])*Cocina[[#This Row],[Cantidad Ordenada]]</f>
        <v>28</v>
      </c>
      <c r="K14" s="4">
        <f>Cocina[[#This Row],[Ganancia neta]]/_xlfn.XLOOKUP(Cocina[[#This Row],[Número de Orden]],Sala[Número de Orden],Sala[Monto total],"fracaso",0,1)</f>
        <v>0.4</v>
      </c>
      <c r="L14" t="s">
        <v>608</v>
      </c>
    </row>
    <row r="15" spans="1:12" x14ac:dyDescent="0.25">
      <c r="A15">
        <v>7</v>
      </c>
      <c r="B15">
        <v>17</v>
      </c>
      <c r="C15" t="s">
        <v>247</v>
      </c>
      <c r="D15" t="s">
        <v>629</v>
      </c>
      <c r="E15">
        <v>19</v>
      </c>
      <c r="F15">
        <v>32</v>
      </c>
      <c r="G15">
        <v>2</v>
      </c>
      <c r="H15">
        <v>15</v>
      </c>
      <c r="I15">
        <f>Cocina[[#This Row],[Precio Unitario]]*Cocina[[#This Row],[Cantidad Ordenada]]</f>
        <v>64</v>
      </c>
      <c r="J15">
        <f>(Cocina[[#This Row],[Precio Unitario]]-Cocina[[#This Row],[Costo Unitario]])*Cocina[[#This Row],[Cantidad Ordenada]]</f>
        <v>26</v>
      </c>
      <c r="K15" s="4">
        <f>Cocina[[#This Row],[Ganancia neta]]/_xlfn.XLOOKUP(Cocina[[#This Row],[Número de Orden]],Sala[Número de Orden],Sala[Monto total],"fracaso",0,1)</f>
        <v>0.15116279069767441</v>
      </c>
      <c r="L15" t="s">
        <v>608</v>
      </c>
    </row>
    <row r="16" spans="1:12" x14ac:dyDescent="0.25">
      <c r="A16">
        <v>7</v>
      </c>
      <c r="B16">
        <v>17</v>
      </c>
      <c r="C16" t="s">
        <v>73</v>
      </c>
      <c r="D16" t="s">
        <v>623</v>
      </c>
      <c r="E16">
        <v>22</v>
      </c>
      <c r="F16">
        <v>36</v>
      </c>
      <c r="G16">
        <v>3</v>
      </c>
      <c r="H16">
        <v>26</v>
      </c>
      <c r="I16">
        <f>Cocina[[#This Row],[Precio Unitario]]*Cocina[[#This Row],[Cantidad Ordenada]]</f>
        <v>108</v>
      </c>
      <c r="J16">
        <f>(Cocina[[#This Row],[Precio Unitario]]-Cocina[[#This Row],[Costo Unitario]])*Cocina[[#This Row],[Cantidad Ordenada]]</f>
        <v>42</v>
      </c>
      <c r="K16" s="4">
        <f>Cocina[[#This Row],[Ganancia neta]]/_xlfn.XLOOKUP(Cocina[[#This Row],[Número de Orden]],Sala[Número de Orden],Sala[Monto total],"fracaso",0,1)</f>
        <v>0.2441860465116279</v>
      </c>
      <c r="L16" t="s">
        <v>607</v>
      </c>
    </row>
    <row r="17" spans="1:12" x14ac:dyDescent="0.25">
      <c r="A17">
        <v>8</v>
      </c>
      <c r="B17">
        <v>11</v>
      </c>
      <c r="C17" t="s">
        <v>203</v>
      </c>
      <c r="D17" t="s">
        <v>630</v>
      </c>
      <c r="E17">
        <v>13</v>
      </c>
      <c r="F17">
        <v>22</v>
      </c>
      <c r="G17">
        <v>3</v>
      </c>
      <c r="H17">
        <v>11</v>
      </c>
      <c r="I17">
        <f>Cocina[[#This Row],[Precio Unitario]]*Cocina[[#This Row],[Cantidad Ordenada]]</f>
        <v>66</v>
      </c>
      <c r="J17">
        <f>(Cocina[[#This Row],[Precio Unitario]]-Cocina[[#This Row],[Costo Unitario]])*Cocina[[#This Row],[Cantidad Ordenada]]</f>
        <v>27</v>
      </c>
      <c r="K17" s="4">
        <f>Cocina[[#This Row],[Ganancia neta]]/_xlfn.XLOOKUP(Cocina[[#This Row],[Número de Orden]],Sala[Número de Orden],Sala[Monto total],"fracaso",0,1)</f>
        <v>0.1115702479338843</v>
      </c>
      <c r="L17" t="s">
        <v>607</v>
      </c>
    </row>
    <row r="18" spans="1:12" x14ac:dyDescent="0.25">
      <c r="A18">
        <v>8</v>
      </c>
      <c r="B18">
        <v>11</v>
      </c>
      <c r="C18" t="s">
        <v>42</v>
      </c>
      <c r="D18" t="s">
        <v>626</v>
      </c>
      <c r="E18">
        <v>16</v>
      </c>
      <c r="F18">
        <v>28</v>
      </c>
      <c r="G18">
        <v>2</v>
      </c>
      <c r="H18">
        <v>8</v>
      </c>
      <c r="I18">
        <f>Cocina[[#This Row],[Precio Unitario]]*Cocina[[#This Row],[Cantidad Ordenada]]</f>
        <v>56</v>
      </c>
      <c r="J18">
        <f>(Cocina[[#This Row],[Precio Unitario]]-Cocina[[#This Row],[Costo Unitario]])*Cocina[[#This Row],[Cantidad Ordenada]]</f>
        <v>24</v>
      </c>
      <c r="K18" s="4">
        <f>Cocina[[#This Row],[Ganancia neta]]/_xlfn.XLOOKUP(Cocina[[#This Row],[Número de Orden]],Sala[Número de Orden],Sala[Monto total],"fracaso",0,1)</f>
        <v>9.9173553719008267E-2</v>
      </c>
      <c r="L18" t="s">
        <v>607</v>
      </c>
    </row>
    <row r="19" spans="1:12" x14ac:dyDescent="0.25">
      <c r="A19">
        <v>8</v>
      </c>
      <c r="B19">
        <v>11</v>
      </c>
      <c r="C19" t="s">
        <v>48</v>
      </c>
      <c r="D19" t="s">
        <v>622</v>
      </c>
      <c r="E19">
        <v>25</v>
      </c>
      <c r="F19">
        <v>40</v>
      </c>
      <c r="G19">
        <v>3</v>
      </c>
      <c r="H19">
        <v>36</v>
      </c>
      <c r="I19">
        <f>Cocina[[#This Row],[Precio Unitario]]*Cocina[[#This Row],[Cantidad Ordenada]]</f>
        <v>120</v>
      </c>
      <c r="J19">
        <f>(Cocina[[#This Row],[Precio Unitario]]-Cocina[[#This Row],[Costo Unitario]])*Cocina[[#This Row],[Cantidad Ordenada]]</f>
        <v>45</v>
      </c>
      <c r="K19" s="4">
        <f>Cocina[[#This Row],[Ganancia neta]]/_xlfn.XLOOKUP(Cocina[[#This Row],[Número de Orden]],Sala[Número de Orden],Sala[Monto total],"fracaso",0,1)</f>
        <v>0.18595041322314049</v>
      </c>
      <c r="L19" t="s">
        <v>607</v>
      </c>
    </row>
    <row r="20" spans="1:12" x14ac:dyDescent="0.25">
      <c r="A20">
        <v>9</v>
      </c>
      <c r="B20">
        <v>15</v>
      </c>
      <c r="C20" t="s">
        <v>68</v>
      </c>
      <c r="D20" t="s">
        <v>619</v>
      </c>
      <c r="E20">
        <v>18</v>
      </c>
      <c r="F20">
        <v>30</v>
      </c>
      <c r="G20">
        <v>1</v>
      </c>
      <c r="H20">
        <v>51</v>
      </c>
      <c r="I20">
        <f>Cocina[[#This Row],[Precio Unitario]]*Cocina[[#This Row],[Cantidad Ordenada]]</f>
        <v>30</v>
      </c>
      <c r="J20">
        <f>(Cocina[[#This Row],[Precio Unitario]]-Cocina[[#This Row],[Costo Unitario]])*Cocina[[#This Row],[Cantidad Ordenada]]</f>
        <v>12</v>
      </c>
      <c r="K20" s="4">
        <f>Cocina[[#This Row],[Ganancia neta]]/_xlfn.XLOOKUP(Cocina[[#This Row],[Número de Orden]],Sala[Número de Orden],Sala[Monto total],"fracaso",0,1)</f>
        <v>7.1005917159763315E-2</v>
      </c>
      <c r="L20" t="s">
        <v>607</v>
      </c>
    </row>
    <row r="21" spans="1:12" x14ac:dyDescent="0.25">
      <c r="A21">
        <v>9</v>
      </c>
      <c r="B21">
        <v>15</v>
      </c>
      <c r="C21" t="s">
        <v>158</v>
      </c>
      <c r="D21" t="s">
        <v>617</v>
      </c>
      <c r="E21">
        <v>14</v>
      </c>
      <c r="F21">
        <v>24</v>
      </c>
      <c r="G21">
        <v>1</v>
      </c>
      <c r="H21">
        <v>49</v>
      </c>
      <c r="I21">
        <f>Cocina[[#This Row],[Precio Unitario]]*Cocina[[#This Row],[Cantidad Ordenada]]</f>
        <v>24</v>
      </c>
      <c r="J21">
        <f>(Cocina[[#This Row],[Precio Unitario]]-Cocina[[#This Row],[Costo Unitario]])*Cocina[[#This Row],[Cantidad Ordenada]]</f>
        <v>10</v>
      </c>
      <c r="K21" s="4">
        <f>Cocina[[#This Row],[Ganancia neta]]/_xlfn.XLOOKUP(Cocina[[#This Row],[Número de Orden]],Sala[Número de Orden],Sala[Monto total],"fracaso",0,1)</f>
        <v>5.9171597633136092E-2</v>
      </c>
      <c r="L21" t="s">
        <v>608</v>
      </c>
    </row>
    <row r="22" spans="1:12" x14ac:dyDescent="0.25">
      <c r="A22">
        <v>9</v>
      </c>
      <c r="B22">
        <v>15</v>
      </c>
      <c r="C22" t="s">
        <v>112</v>
      </c>
      <c r="D22" t="s">
        <v>627</v>
      </c>
      <c r="E22">
        <v>11</v>
      </c>
      <c r="F22">
        <v>19</v>
      </c>
      <c r="G22">
        <v>1</v>
      </c>
      <c r="H22">
        <v>15</v>
      </c>
      <c r="I22">
        <f>Cocina[[#This Row],[Precio Unitario]]*Cocina[[#This Row],[Cantidad Ordenada]]</f>
        <v>19</v>
      </c>
      <c r="J22">
        <f>(Cocina[[#This Row],[Precio Unitario]]-Cocina[[#This Row],[Costo Unitario]])*Cocina[[#This Row],[Cantidad Ordenada]]</f>
        <v>8</v>
      </c>
      <c r="K22" s="4">
        <f>Cocina[[#This Row],[Ganancia neta]]/_xlfn.XLOOKUP(Cocina[[#This Row],[Número de Orden]],Sala[Número de Orden],Sala[Monto total],"fracaso",0,1)</f>
        <v>4.7337278106508875E-2</v>
      </c>
      <c r="L22" t="s">
        <v>607</v>
      </c>
    </row>
    <row r="23" spans="1:12" x14ac:dyDescent="0.25">
      <c r="A23">
        <v>9</v>
      </c>
      <c r="B23">
        <v>15</v>
      </c>
      <c r="C23" t="s">
        <v>247</v>
      </c>
      <c r="D23" t="s">
        <v>629</v>
      </c>
      <c r="E23">
        <v>19</v>
      </c>
      <c r="F23">
        <v>32</v>
      </c>
      <c r="G23">
        <v>3</v>
      </c>
      <c r="H23">
        <v>31</v>
      </c>
      <c r="I23">
        <f>Cocina[[#This Row],[Precio Unitario]]*Cocina[[#This Row],[Cantidad Ordenada]]</f>
        <v>96</v>
      </c>
      <c r="J23">
        <f>(Cocina[[#This Row],[Precio Unitario]]-Cocina[[#This Row],[Costo Unitario]])*Cocina[[#This Row],[Cantidad Ordenada]]</f>
        <v>39</v>
      </c>
      <c r="K23" s="4">
        <f>Cocina[[#This Row],[Ganancia neta]]/_xlfn.XLOOKUP(Cocina[[#This Row],[Número de Orden]],Sala[Número de Orden],Sala[Monto total],"fracaso",0,1)</f>
        <v>0.23076923076923078</v>
      </c>
      <c r="L23" t="s">
        <v>607</v>
      </c>
    </row>
    <row r="24" spans="1:12" x14ac:dyDescent="0.25">
      <c r="A24">
        <v>10</v>
      </c>
      <c r="B24">
        <v>17</v>
      </c>
      <c r="C24" t="s">
        <v>55</v>
      </c>
      <c r="D24" t="s">
        <v>631</v>
      </c>
      <c r="E24">
        <v>20</v>
      </c>
      <c r="F24">
        <v>34</v>
      </c>
      <c r="G24">
        <v>2</v>
      </c>
      <c r="H24">
        <v>10</v>
      </c>
      <c r="I24">
        <f>Cocina[[#This Row],[Precio Unitario]]*Cocina[[#This Row],[Cantidad Ordenada]]</f>
        <v>68</v>
      </c>
      <c r="J24">
        <f>(Cocina[[#This Row],[Precio Unitario]]-Cocina[[#This Row],[Costo Unitario]])*Cocina[[#This Row],[Cantidad Ordenada]]</f>
        <v>28</v>
      </c>
      <c r="K24" s="4">
        <f>Cocina[[#This Row],[Ganancia neta]]/_xlfn.XLOOKUP(Cocina[[#This Row],[Número de Orden]],Sala[Número de Orden],Sala[Monto total],"fracaso",0,1)</f>
        <v>0.1891891891891892</v>
      </c>
      <c r="L24" t="s">
        <v>608</v>
      </c>
    </row>
    <row r="25" spans="1:12" x14ac:dyDescent="0.25">
      <c r="A25">
        <v>10</v>
      </c>
      <c r="B25">
        <v>17</v>
      </c>
      <c r="C25" t="s">
        <v>48</v>
      </c>
      <c r="D25" t="s">
        <v>622</v>
      </c>
      <c r="E25">
        <v>25</v>
      </c>
      <c r="F25">
        <v>40</v>
      </c>
      <c r="G25">
        <v>2</v>
      </c>
      <c r="H25">
        <v>19</v>
      </c>
      <c r="I25">
        <f>Cocina[[#This Row],[Precio Unitario]]*Cocina[[#This Row],[Cantidad Ordenada]]</f>
        <v>80</v>
      </c>
      <c r="J25">
        <f>(Cocina[[#This Row],[Precio Unitario]]-Cocina[[#This Row],[Costo Unitario]])*Cocina[[#This Row],[Cantidad Ordenada]]</f>
        <v>30</v>
      </c>
      <c r="K25" s="4">
        <f>Cocina[[#This Row],[Ganancia neta]]/_xlfn.XLOOKUP(Cocina[[#This Row],[Número de Orden]],Sala[Número de Orden],Sala[Monto total],"fracaso",0,1)</f>
        <v>0.20270270270270271</v>
      </c>
      <c r="L25" t="s">
        <v>607</v>
      </c>
    </row>
    <row r="26" spans="1:12" x14ac:dyDescent="0.25">
      <c r="A26">
        <v>11</v>
      </c>
      <c r="B26">
        <v>14</v>
      </c>
      <c r="C26" t="s">
        <v>42</v>
      </c>
      <c r="D26" t="s">
        <v>626</v>
      </c>
      <c r="E26">
        <v>16</v>
      </c>
      <c r="F26">
        <v>28</v>
      </c>
      <c r="G26">
        <v>1</v>
      </c>
      <c r="H26">
        <v>32</v>
      </c>
      <c r="I26">
        <f>Cocina[[#This Row],[Precio Unitario]]*Cocina[[#This Row],[Cantidad Ordenada]]</f>
        <v>28</v>
      </c>
      <c r="J26">
        <f>(Cocina[[#This Row],[Precio Unitario]]-Cocina[[#This Row],[Costo Unitario]])*Cocina[[#This Row],[Cantidad Ordenada]]</f>
        <v>12</v>
      </c>
      <c r="K26" s="4">
        <f>Cocina[[#This Row],[Ganancia neta]]/_xlfn.XLOOKUP(Cocina[[#This Row],[Número de Orden]],Sala[Número de Orden],Sala[Monto total],"fracaso",0,1)</f>
        <v>0.13636363636363635</v>
      </c>
      <c r="L26" t="s">
        <v>608</v>
      </c>
    </row>
    <row r="27" spans="1:12" x14ac:dyDescent="0.25">
      <c r="A27">
        <v>11</v>
      </c>
      <c r="B27">
        <v>14</v>
      </c>
      <c r="C27" t="s">
        <v>68</v>
      </c>
      <c r="D27" t="s">
        <v>619</v>
      </c>
      <c r="E27">
        <v>18</v>
      </c>
      <c r="F27">
        <v>30</v>
      </c>
      <c r="G27">
        <v>2</v>
      </c>
      <c r="H27">
        <v>24</v>
      </c>
      <c r="I27">
        <f>Cocina[[#This Row],[Precio Unitario]]*Cocina[[#This Row],[Cantidad Ordenada]]</f>
        <v>60</v>
      </c>
      <c r="J27">
        <f>(Cocina[[#This Row],[Precio Unitario]]-Cocina[[#This Row],[Costo Unitario]])*Cocina[[#This Row],[Cantidad Ordenada]]</f>
        <v>24</v>
      </c>
      <c r="K27" s="4">
        <f>Cocina[[#This Row],[Ganancia neta]]/_xlfn.XLOOKUP(Cocina[[#This Row],[Número de Orden]],Sala[Número de Orden],Sala[Monto total],"fracaso",0,1)</f>
        <v>0.27272727272727271</v>
      </c>
      <c r="L27" t="s">
        <v>608</v>
      </c>
    </row>
    <row r="28" spans="1:12" x14ac:dyDescent="0.25">
      <c r="A28">
        <v>12</v>
      </c>
      <c r="B28">
        <v>14</v>
      </c>
      <c r="C28" t="s">
        <v>42</v>
      </c>
      <c r="D28" t="s">
        <v>626</v>
      </c>
      <c r="E28">
        <v>16</v>
      </c>
      <c r="F28">
        <v>28</v>
      </c>
      <c r="G28">
        <v>1</v>
      </c>
      <c r="H28">
        <v>5</v>
      </c>
      <c r="I28">
        <f>Cocina[[#This Row],[Precio Unitario]]*Cocina[[#This Row],[Cantidad Ordenada]]</f>
        <v>28</v>
      </c>
      <c r="J28">
        <f>(Cocina[[#This Row],[Precio Unitario]]-Cocina[[#This Row],[Costo Unitario]])*Cocina[[#This Row],[Cantidad Ordenada]]</f>
        <v>12</v>
      </c>
      <c r="K28" s="4">
        <f>Cocina[[#This Row],[Ganancia neta]]/_xlfn.XLOOKUP(Cocina[[#This Row],[Número de Orden]],Sala[Número de Orden],Sala[Monto total],"fracaso",0,1)</f>
        <v>3.6809815950920248E-2</v>
      </c>
      <c r="L28" t="s">
        <v>608</v>
      </c>
    </row>
    <row r="29" spans="1:12" x14ac:dyDescent="0.25">
      <c r="A29">
        <v>12</v>
      </c>
      <c r="B29">
        <v>14</v>
      </c>
      <c r="C29" t="s">
        <v>73</v>
      </c>
      <c r="D29" t="s">
        <v>623</v>
      </c>
      <c r="E29">
        <v>22</v>
      </c>
      <c r="F29">
        <v>36</v>
      </c>
      <c r="G29">
        <v>3</v>
      </c>
      <c r="H29">
        <v>44</v>
      </c>
      <c r="I29">
        <f>Cocina[[#This Row],[Precio Unitario]]*Cocina[[#This Row],[Cantidad Ordenada]]</f>
        <v>108</v>
      </c>
      <c r="J29">
        <f>(Cocina[[#This Row],[Precio Unitario]]-Cocina[[#This Row],[Costo Unitario]])*Cocina[[#This Row],[Cantidad Ordenada]]</f>
        <v>42</v>
      </c>
      <c r="K29" s="4">
        <f>Cocina[[#This Row],[Ganancia neta]]/_xlfn.XLOOKUP(Cocina[[#This Row],[Número de Orden]],Sala[Número de Orden],Sala[Monto total],"fracaso",0,1)</f>
        <v>0.12883435582822086</v>
      </c>
      <c r="L29" t="s">
        <v>607</v>
      </c>
    </row>
    <row r="30" spans="1:12" x14ac:dyDescent="0.25">
      <c r="A30">
        <v>12</v>
      </c>
      <c r="B30">
        <v>14</v>
      </c>
      <c r="C30" t="s">
        <v>26</v>
      </c>
      <c r="D30" t="s">
        <v>628</v>
      </c>
      <c r="E30">
        <v>21</v>
      </c>
      <c r="F30">
        <v>35</v>
      </c>
      <c r="G30">
        <v>2</v>
      </c>
      <c r="H30">
        <v>6</v>
      </c>
      <c r="I30">
        <f>Cocina[[#This Row],[Precio Unitario]]*Cocina[[#This Row],[Cantidad Ordenada]]</f>
        <v>70</v>
      </c>
      <c r="J30">
        <f>(Cocina[[#This Row],[Precio Unitario]]-Cocina[[#This Row],[Costo Unitario]])*Cocina[[#This Row],[Cantidad Ordenada]]</f>
        <v>28</v>
      </c>
      <c r="K30" s="4">
        <f>Cocina[[#This Row],[Ganancia neta]]/_xlfn.XLOOKUP(Cocina[[#This Row],[Número de Orden]],Sala[Número de Orden],Sala[Monto total],"fracaso",0,1)</f>
        <v>8.5889570552147243E-2</v>
      </c>
      <c r="L30" t="s">
        <v>607</v>
      </c>
    </row>
    <row r="31" spans="1:12" x14ac:dyDescent="0.25">
      <c r="A31">
        <v>12</v>
      </c>
      <c r="B31">
        <v>14</v>
      </c>
      <c r="C31" t="s">
        <v>48</v>
      </c>
      <c r="D31" t="s">
        <v>622</v>
      </c>
      <c r="E31">
        <v>25</v>
      </c>
      <c r="F31">
        <v>40</v>
      </c>
      <c r="G31">
        <v>3</v>
      </c>
      <c r="H31">
        <v>40</v>
      </c>
      <c r="I31">
        <f>Cocina[[#This Row],[Precio Unitario]]*Cocina[[#This Row],[Cantidad Ordenada]]</f>
        <v>120</v>
      </c>
      <c r="J31">
        <f>(Cocina[[#This Row],[Precio Unitario]]-Cocina[[#This Row],[Costo Unitario]])*Cocina[[#This Row],[Cantidad Ordenada]]</f>
        <v>45</v>
      </c>
      <c r="K31" s="4">
        <f>Cocina[[#This Row],[Ganancia neta]]/_xlfn.XLOOKUP(Cocina[[#This Row],[Número de Orden]],Sala[Número de Orden],Sala[Monto total],"fracaso",0,1)</f>
        <v>0.13803680981595093</v>
      </c>
      <c r="L31" t="s">
        <v>607</v>
      </c>
    </row>
    <row r="32" spans="1:12" x14ac:dyDescent="0.25">
      <c r="A32">
        <v>13</v>
      </c>
      <c r="B32">
        <v>2</v>
      </c>
      <c r="C32" t="s">
        <v>38</v>
      </c>
      <c r="D32" t="s">
        <v>624</v>
      </c>
      <c r="E32">
        <v>17</v>
      </c>
      <c r="F32">
        <v>29</v>
      </c>
      <c r="G32">
        <v>3</v>
      </c>
      <c r="H32">
        <v>59</v>
      </c>
      <c r="I32">
        <f>Cocina[[#This Row],[Precio Unitario]]*Cocina[[#This Row],[Cantidad Ordenada]]</f>
        <v>87</v>
      </c>
      <c r="J32">
        <f>(Cocina[[#This Row],[Precio Unitario]]-Cocina[[#This Row],[Costo Unitario]])*Cocina[[#This Row],[Cantidad Ordenada]]</f>
        <v>36</v>
      </c>
      <c r="K32" s="4">
        <f>Cocina[[#This Row],[Ganancia neta]]/_xlfn.XLOOKUP(Cocina[[#This Row],[Número de Orden]],Sala[Número de Orden],Sala[Monto total],"fracaso",0,1)</f>
        <v>0.41379310344827586</v>
      </c>
      <c r="L32" t="s">
        <v>608</v>
      </c>
    </row>
    <row r="33" spans="1:12" x14ac:dyDescent="0.25">
      <c r="A33">
        <v>14</v>
      </c>
      <c r="B33">
        <v>16</v>
      </c>
      <c r="C33" t="s">
        <v>146</v>
      </c>
      <c r="D33" t="s">
        <v>632</v>
      </c>
      <c r="E33">
        <v>12</v>
      </c>
      <c r="F33">
        <v>20</v>
      </c>
      <c r="G33">
        <v>1</v>
      </c>
      <c r="H33">
        <v>36</v>
      </c>
      <c r="I33">
        <f>Cocina[[#This Row],[Precio Unitario]]*Cocina[[#This Row],[Cantidad Ordenada]]</f>
        <v>20</v>
      </c>
      <c r="J33">
        <f>(Cocina[[#This Row],[Precio Unitario]]-Cocina[[#This Row],[Costo Unitario]])*Cocina[[#This Row],[Cantidad Ordenada]]</f>
        <v>8</v>
      </c>
      <c r="K33" s="4">
        <f>Cocina[[#This Row],[Ganancia neta]]/_xlfn.XLOOKUP(Cocina[[#This Row],[Número de Orden]],Sala[Número de Orden],Sala[Monto total],"fracaso",0,1)</f>
        <v>6.2015503875968991E-2</v>
      </c>
      <c r="L33" t="s">
        <v>607</v>
      </c>
    </row>
    <row r="34" spans="1:12" x14ac:dyDescent="0.25">
      <c r="A34">
        <v>14</v>
      </c>
      <c r="B34">
        <v>16</v>
      </c>
      <c r="C34" t="s">
        <v>261</v>
      </c>
      <c r="D34" t="s">
        <v>625</v>
      </c>
      <c r="E34">
        <v>20</v>
      </c>
      <c r="F34">
        <v>33</v>
      </c>
      <c r="G34">
        <v>1</v>
      </c>
      <c r="H34">
        <v>26</v>
      </c>
      <c r="I34">
        <f>Cocina[[#This Row],[Precio Unitario]]*Cocina[[#This Row],[Cantidad Ordenada]]</f>
        <v>33</v>
      </c>
      <c r="J34">
        <f>(Cocina[[#This Row],[Precio Unitario]]-Cocina[[#This Row],[Costo Unitario]])*Cocina[[#This Row],[Cantidad Ordenada]]</f>
        <v>13</v>
      </c>
      <c r="K34" s="4">
        <f>Cocina[[#This Row],[Ganancia neta]]/_xlfn.XLOOKUP(Cocina[[#This Row],[Número de Orden]],Sala[Número de Orden],Sala[Monto total],"fracaso",0,1)</f>
        <v>0.10077519379844961</v>
      </c>
      <c r="L34" t="s">
        <v>607</v>
      </c>
    </row>
    <row r="35" spans="1:12" x14ac:dyDescent="0.25">
      <c r="A35">
        <v>14</v>
      </c>
      <c r="B35">
        <v>16</v>
      </c>
      <c r="C35" t="s">
        <v>200</v>
      </c>
      <c r="D35" t="s">
        <v>633</v>
      </c>
      <c r="E35">
        <v>14</v>
      </c>
      <c r="F35">
        <v>23</v>
      </c>
      <c r="G35">
        <v>2</v>
      </c>
      <c r="H35">
        <v>44</v>
      </c>
      <c r="I35">
        <f>Cocina[[#This Row],[Precio Unitario]]*Cocina[[#This Row],[Cantidad Ordenada]]</f>
        <v>46</v>
      </c>
      <c r="J35">
        <f>(Cocina[[#This Row],[Precio Unitario]]-Cocina[[#This Row],[Costo Unitario]])*Cocina[[#This Row],[Cantidad Ordenada]]</f>
        <v>18</v>
      </c>
      <c r="K35" s="4">
        <f>Cocina[[#This Row],[Ganancia neta]]/_xlfn.XLOOKUP(Cocina[[#This Row],[Número de Orden]],Sala[Número de Orden],Sala[Monto total],"fracaso",0,1)</f>
        <v>0.13953488372093023</v>
      </c>
      <c r="L35" t="s">
        <v>608</v>
      </c>
    </row>
    <row r="36" spans="1:12" x14ac:dyDescent="0.25">
      <c r="A36">
        <v>14</v>
      </c>
      <c r="B36">
        <v>16</v>
      </c>
      <c r="C36" t="s">
        <v>68</v>
      </c>
      <c r="D36" t="s">
        <v>619</v>
      </c>
      <c r="E36">
        <v>18</v>
      </c>
      <c r="F36">
        <v>30</v>
      </c>
      <c r="G36">
        <v>1</v>
      </c>
      <c r="H36">
        <v>48</v>
      </c>
      <c r="I36">
        <f>Cocina[[#This Row],[Precio Unitario]]*Cocina[[#This Row],[Cantidad Ordenada]]</f>
        <v>30</v>
      </c>
      <c r="J36">
        <f>(Cocina[[#This Row],[Precio Unitario]]-Cocina[[#This Row],[Costo Unitario]])*Cocina[[#This Row],[Cantidad Ordenada]]</f>
        <v>12</v>
      </c>
      <c r="K36" s="4">
        <f>Cocina[[#This Row],[Ganancia neta]]/_xlfn.XLOOKUP(Cocina[[#This Row],[Número de Orden]],Sala[Número de Orden],Sala[Monto total],"fracaso",0,1)</f>
        <v>9.3023255813953487E-2</v>
      </c>
      <c r="L36" t="s">
        <v>607</v>
      </c>
    </row>
    <row r="37" spans="1:12" x14ac:dyDescent="0.25">
      <c r="A37">
        <v>15</v>
      </c>
      <c r="B37">
        <v>6</v>
      </c>
      <c r="C37" t="s">
        <v>42</v>
      </c>
      <c r="D37" t="s">
        <v>626</v>
      </c>
      <c r="E37">
        <v>16</v>
      </c>
      <c r="F37">
        <v>28</v>
      </c>
      <c r="G37">
        <v>2</v>
      </c>
      <c r="H37">
        <v>25</v>
      </c>
      <c r="I37">
        <f>Cocina[[#This Row],[Precio Unitario]]*Cocina[[#This Row],[Cantidad Ordenada]]</f>
        <v>56</v>
      </c>
      <c r="J37">
        <f>(Cocina[[#This Row],[Precio Unitario]]-Cocina[[#This Row],[Costo Unitario]])*Cocina[[#This Row],[Cantidad Ordenada]]</f>
        <v>24</v>
      </c>
      <c r="K37" s="4">
        <f>Cocina[[#This Row],[Ganancia neta]]/_xlfn.XLOOKUP(Cocina[[#This Row],[Número de Orden]],Sala[Número de Orden],Sala[Monto total],"fracaso",0,1)</f>
        <v>0.10714285714285714</v>
      </c>
      <c r="L37" t="s">
        <v>607</v>
      </c>
    </row>
    <row r="38" spans="1:12" x14ac:dyDescent="0.25">
      <c r="A38">
        <v>15</v>
      </c>
      <c r="B38">
        <v>6</v>
      </c>
      <c r="C38" t="s">
        <v>70</v>
      </c>
      <c r="D38" t="s">
        <v>634</v>
      </c>
      <c r="E38">
        <v>13</v>
      </c>
      <c r="F38">
        <v>21</v>
      </c>
      <c r="G38">
        <v>3</v>
      </c>
      <c r="H38">
        <v>27</v>
      </c>
      <c r="I38">
        <f>Cocina[[#This Row],[Precio Unitario]]*Cocina[[#This Row],[Cantidad Ordenada]]</f>
        <v>63</v>
      </c>
      <c r="J38">
        <f>(Cocina[[#This Row],[Precio Unitario]]-Cocina[[#This Row],[Costo Unitario]])*Cocina[[#This Row],[Cantidad Ordenada]]</f>
        <v>24</v>
      </c>
      <c r="K38" s="4">
        <f>Cocina[[#This Row],[Ganancia neta]]/_xlfn.XLOOKUP(Cocina[[#This Row],[Número de Orden]],Sala[Número de Orden],Sala[Monto total],"fracaso",0,1)</f>
        <v>0.10714285714285714</v>
      </c>
      <c r="L38" t="s">
        <v>607</v>
      </c>
    </row>
    <row r="39" spans="1:12" x14ac:dyDescent="0.25">
      <c r="A39">
        <v>15</v>
      </c>
      <c r="B39">
        <v>6</v>
      </c>
      <c r="C39" t="s">
        <v>26</v>
      </c>
      <c r="D39" t="s">
        <v>628</v>
      </c>
      <c r="E39">
        <v>21</v>
      </c>
      <c r="F39">
        <v>35</v>
      </c>
      <c r="G39">
        <v>3</v>
      </c>
      <c r="H39">
        <v>51</v>
      </c>
      <c r="I39">
        <f>Cocina[[#This Row],[Precio Unitario]]*Cocina[[#This Row],[Cantidad Ordenada]]</f>
        <v>105</v>
      </c>
      <c r="J39">
        <f>(Cocina[[#This Row],[Precio Unitario]]-Cocina[[#This Row],[Costo Unitario]])*Cocina[[#This Row],[Cantidad Ordenada]]</f>
        <v>42</v>
      </c>
      <c r="K39" s="4">
        <f>Cocina[[#This Row],[Ganancia neta]]/_xlfn.XLOOKUP(Cocina[[#This Row],[Número de Orden]],Sala[Número de Orden],Sala[Monto total],"fracaso",0,1)</f>
        <v>0.1875</v>
      </c>
      <c r="L39" t="s">
        <v>607</v>
      </c>
    </row>
    <row r="40" spans="1:12" x14ac:dyDescent="0.25">
      <c r="A40">
        <v>16</v>
      </c>
      <c r="B40">
        <v>20</v>
      </c>
      <c r="C40" t="s">
        <v>42</v>
      </c>
      <c r="D40" t="s">
        <v>626</v>
      </c>
      <c r="E40">
        <v>16</v>
      </c>
      <c r="F40">
        <v>28</v>
      </c>
      <c r="G40">
        <v>1</v>
      </c>
      <c r="H40">
        <v>38</v>
      </c>
      <c r="I40">
        <f>Cocina[[#This Row],[Precio Unitario]]*Cocina[[#This Row],[Cantidad Ordenada]]</f>
        <v>28</v>
      </c>
      <c r="J40">
        <f>(Cocina[[#This Row],[Precio Unitario]]-Cocina[[#This Row],[Costo Unitario]])*Cocina[[#This Row],[Cantidad Ordenada]]</f>
        <v>12</v>
      </c>
      <c r="K40" s="4">
        <f>Cocina[[#This Row],[Ganancia neta]]/_xlfn.XLOOKUP(Cocina[[#This Row],[Número de Orden]],Sala[Número de Orden],Sala[Monto total],"fracaso",0,1)</f>
        <v>0.42857142857142855</v>
      </c>
      <c r="L40" t="s">
        <v>607</v>
      </c>
    </row>
    <row r="41" spans="1:12" x14ac:dyDescent="0.25">
      <c r="A41">
        <v>17</v>
      </c>
      <c r="B41">
        <v>14</v>
      </c>
      <c r="C41" t="s">
        <v>26</v>
      </c>
      <c r="D41" t="s">
        <v>628</v>
      </c>
      <c r="E41">
        <v>21</v>
      </c>
      <c r="F41">
        <v>35</v>
      </c>
      <c r="G41">
        <v>1</v>
      </c>
      <c r="H41">
        <v>43</v>
      </c>
      <c r="I41">
        <f>Cocina[[#This Row],[Precio Unitario]]*Cocina[[#This Row],[Cantidad Ordenada]]</f>
        <v>35</v>
      </c>
      <c r="J41">
        <f>(Cocina[[#This Row],[Precio Unitario]]-Cocina[[#This Row],[Costo Unitario]])*Cocina[[#This Row],[Cantidad Ordenada]]</f>
        <v>14</v>
      </c>
      <c r="K41" s="4">
        <f>Cocina[[#This Row],[Ganancia neta]]/_xlfn.XLOOKUP(Cocina[[#This Row],[Número de Orden]],Sala[Número de Orden],Sala[Monto total],"fracaso",0,1)</f>
        <v>0.10218978102189781</v>
      </c>
      <c r="L41" t="s">
        <v>608</v>
      </c>
    </row>
    <row r="42" spans="1:12" x14ac:dyDescent="0.25">
      <c r="A42">
        <v>17</v>
      </c>
      <c r="B42">
        <v>14</v>
      </c>
      <c r="C42" t="s">
        <v>79</v>
      </c>
      <c r="D42" t="s">
        <v>635</v>
      </c>
      <c r="E42">
        <v>10</v>
      </c>
      <c r="F42">
        <v>18</v>
      </c>
      <c r="G42">
        <v>2</v>
      </c>
      <c r="H42">
        <v>58</v>
      </c>
      <c r="I42">
        <f>Cocina[[#This Row],[Precio Unitario]]*Cocina[[#This Row],[Cantidad Ordenada]]</f>
        <v>36</v>
      </c>
      <c r="J42">
        <f>(Cocina[[#This Row],[Precio Unitario]]-Cocina[[#This Row],[Costo Unitario]])*Cocina[[#This Row],[Cantidad Ordenada]]</f>
        <v>16</v>
      </c>
      <c r="K42" s="4">
        <f>Cocina[[#This Row],[Ganancia neta]]/_xlfn.XLOOKUP(Cocina[[#This Row],[Número de Orden]],Sala[Número de Orden],Sala[Monto total],"fracaso",0,1)</f>
        <v>0.11678832116788321</v>
      </c>
      <c r="L42" t="s">
        <v>607</v>
      </c>
    </row>
    <row r="43" spans="1:12" x14ac:dyDescent="0.25">
      <c r="A43">
        <v>17</v>
      </c>
      <c r="B43">
        <v>14</v>
      </c>
      <c r="C43" t="s">
        <v>203</v>
      </c>
      <c r="D43" t="s">
        <v>630</v>
      </c>
      <c r="E43">
        <v>13</v>
      </c>
      <c r="F43">
        <v>22</v>
      </c>
      <c r="G43">
        <v>3</v>
      </c>
      <c r="H43">
        <v>57</v>
      </c>
      <c r="I43">
        <f>Cocina[[#This Row],[Precio Unitario]]*Cocina[[#This Row],[Cantidad Ordenada]]</f>
        <v>66</v>
      </c>
      <c r="J43">
        <f>(Cocina[[#This Row],[Precio Unitario]]-Cocina[[#This Row],[Costo Unitario]])*Cocina[[#This Row],[Cantidad Ordenada]]</f>
        <v>27</v>
      </c>
      <c r="K43" s="4">
        <f>Cocina[[#This Row],[Ganancia neta]]/_xlfn.XLOOKUP(Cocina[[#This Row],[Número de Orden]],Sala[Número de Orden],Sala[Monto total],"fracaso",0,1)</f>
        <v>0.19708029197080293</v>
      </c>
      <c r="L43" t="s">
        <v>608</v>
      </c>
    </row>
    <row r="44" spans="1:12" x14ac:dyDescent="0.25">
      <c r="A44">
        <v>18</v>
      </c>
      <c r="B44">
        <v>9</v>
      </c>
      <c r="C44" t="s">
        <v>38</v>
      </c>
      <c r="D44" t="s">
        <v>624</v>
      </c>
      <c r="E44">
        <v>17</v>
      </c>
      <c r="F44">
        <v>29</v>
      </c>
      <c r="G44">
        <v>1</v>
      </c>
      <c r="H44">
        <v>23</v>
      </c>
      <c r="I44">
        <f>Cocina[[#This Row],[Precio Unitario]]*Cocina[[#This Row],[Cantidad Ordenada]]</f>
        <v>29</v>
      </c>
      <c r="J44">
        <f>(Cocina[[#This Row],[Precio Unitario]]-Cocina[[#This Row],[Costo Unitario]])*Cocina[[#This Row],[Cantidad Ordenada]]</f>
        <v>12</v>
      </c>
      <c r="K44" s="4">
        <f>Cocina[[#This Row],[Ganancia neta]]/_xlfn.XLOOKUP(Cocina[[#This Row],[Número de Orden]],Sala[Número de Orden],Sala[Monto total],"fracaso",0,1)</f>
        <v>4.7808764940239043E-2</v>
      </c>
      <c r="L44" t="s">
        <v>607</v>
      </c>
    </row>
    <row r="45" spans="1:12" x14ac:dyDescent="0.25">
      <c r="A45">
        <v>18</v>
      </c>
      <c r="B45">
        <v>9</v>
      </c>
      <c r="C45" t="s">
        <v>48</v>
      </c>
      <c r="D45" t="s">
        <v>622</v>
      </c>
      <c r="E45">
        <v>25</v>
      </c>
      <c r="F45">
        <v>40</v>
      </c>
      <c r="G45">
        <v>2</v>
      </c>
      <c r="H45">
        <v>54</v>
      </c>
      <c r="I45">
        <f>Cocina[[#This Row],[Precio Unitario]]*Cocina[[#This Row],[Cantidad Ordenada]]</f>
        <v>80</v>
      </c>
      <c r="J45">
        <f>(Cocina[[#This Row],[Precio Unitario]]-Cocina[[#This Row],[Costo Unitario]])*Cocina[[#This Row],[Cantidad Ordenada]]</f>
        <v>30</v>
      </c>
      <c r="K45" s="4">
        <f>Cocina[[#This Row],[Ganancia neta]]/_xlfn.XLOOKUP(Cocina[[#This Row],[Número de Orden]],Sala[Número de Orden],Sala[Monto total],"fracaso",0,1)</f>
        <v>0.11952191235059761</v>
      </c>
      <c r="L45" t="s">
        <v>607</v>
      </c>
    </row>
    <row r="46" spans="1:12" x14ac:dyDescent="0.25">
      <c r="A46">
        <v>18</v>
      </c>
      <c r="B46">
        <v>9</v>
      </c>
      <c r="C46" t="s">
        <v>155</v>
      </c>
      <c r="D46" t="s">
        <v>636</v>
      </c>
      <c r="E46">
        <v>15</v>
      </c>
      <c r="F46">
        <v>26</v>
      </c>
      <c r="G46">
        <v>3</v>
      </c>
      <c r="H46">
        <v>23</v>
      </c>
      <c r="I46">
        <f>Cocina[[#This Row],[Precio Unitario]]*Cocina[[#This Row],[Cantidad Ordenada]]</f>
        <v>78</v>
      </c>
      <c r="J46">
        <f>(Cocina[[#This Row],[Precio Unitario]]-Cocina[[#This Row],[Costo Unitario]])*Cocina[[#This Row],[Cantidad Ordenada]]</f>
        <v>33</v>
      </c>
      <c r="K46" s="4">
        <f>Cocina[[#This Row],[Ganancia neta]]/_xlfn.XLOOKUP(Cocina[[#This Row],[Número de Orden]],Sala[Número de Orden],Sala[Monto total],"fracaso",0,1)</f>
        <v>0.13147410358565736</v>
      </c>
      <c r="L46" t="s">
        <v>607</v>
      </c>
    </row>
    <row r="47" spans="1:12" x14ac:dyDescent="0.25">
      <c r="A47">
        <v>18</v>
      </c>
      <c r="B47">
        <v>9</v>
      </c>
      <c r="C47" t="s">
        <v>247</v>
      </c>
      <c r="D47" t="s">
        <v>629</v>
      </c>
      <c r="E47">
        <v>19</v>
      </c>
      <c r="F47">
        <v>32</v>
      </c>
      <c r="G47">
        <v>2</v>
      </c>
      <c r="H47">
        <v>34</v>
      </c>
      <c r="I47">
        <f>Cocina[[#This Row],[Precio Unitario]]*Cocina[[#This Row],[Cantidad Ordenada]]</f>
        <v>64</v>
      </c>
      <c r="J47">
        <f>(Cocina[[#This Row],[Precio Unitario]]-Cocina[[#This Row],[Costo Unitario]])*Cocina[[#This Row],[Cantidad Ordenada]]</f>
        <v>26</v>
      </c>
      <c r="K47" s="4">
        <f>Cocina[[#This Row],[Ganancia neta]]/_xlfn.XLOOKUP(Cocina[[#This Row],[Número de Orden]],Sala[Número de Orden],Sala[Monto total],"fracaso",0,1)</f>
        <v>0.10358565737051793</v>
      </c>
      <c r="L47" t="s">
        <v>607</v>
      </c>
    </row>
    <row r="48" spans="1:12" x14ac:dyDescent="0.25">
      <c r="A48">
        <v>19</v>
      </c>
      <c r="B48">
        <v>18</v>
      </c>
      <c r="C48" t="s">
        <v>48</v>
      </c>
      <c r="D48" t="s">
        <v>622</v>
      </c>
      <c r="E48">
        <v>25</v>
      </c>
      <c r="F48">
        <v>40</v>
      </c>
      <c r="G48">
        <v>2</v>
      </c>
      <c r="H48">
        <v>44</v>
      </c>
      <c r="I48">
        <f>Cocina[[#This Row],[Precio Unitario]]*Cocina[[#This Row],[Cantidad Ordenada]]</f>
        <v>80</v>
      </c>
      <c r="J48">
        <f>(Cocina[[#This Row],[Precio Unitario]]-Cocina[[#This Row],[Costo Unitario]])*Cocina[[#This Row],[Cantidad Ordenada]]</f>
        <v>30</v>
      </c>
      <c r="K48" s="4">
        <f>Cocina[[#This Row],[Ganancia neta]]/_xlfn.XLOOKUP(Cocina[[#This Row],[Número de Orden]],Sala[Número de Orden],Sala[Monto total],"fracaso",0,1)</f>
        <v>0.375</v>
      </c>
      <c r="L48" t="s">
        <v>608</v>
      </c>
    </row>
    <row r="49" spans="1:12" x14ac:dyDescent="0.25">
      <c r="A49">
        <v>20</v>
      </c>
      <c r="B49">
        <v>8</v>
      </c>
      <c r="C49" t="s">
        <v>26</v>
      </c>
      <c r="D49" t="s">
        <v>628</v>
      </c>
      <c r="E49">
        <v>21</v>
      </c>
      <c r="F49">
        <v>35</v>
      </c>
      <c r="G49">
        <v>3</v>
      </c>
      <c r="H49">
        <v>50</v>
      </c>
      <c r="I49">
        <f>Cocina[[#This Row],[Precio Unitario]]*Cocina[[#This Row],[Cantidad Ordenada]]</f>
        <v>105</v>
      </c>
      <c r="J49">
        <f>(Cocina[[#This Row],[Precio Unitario]]-Cocina[[#This Row],[Costo Unitario]])*Cocina[[#This Row],[Cantidad Ordenada]]</f>
        <v>42</v>
      </c>
      <c r="K49" s="4">
        <f>Cocina[[#This Row],[Ganancia neta]]/_xlfn.XLOOKUP(Cocina[[#This Row],[Número de Orden]],Sala[Número de Orden],Sala[Monto total],"fracaso",0,1)</f>
        <v>0.23595505617977527</v>
      </c>
      <c r="L49" t="s">
        <v>608</v>
      </c>
    </row>
    <row r="50" spans="1:12" x14ac:dyDescent="0.25">
      <c r="A50">
        <v>20</v>
      </c>
      <c r="B50">
        <v>8</v>
      </c>
      <c r="C50" t="s">
        <v>122</v>
      </c>
      <c r="D50" t="s">
        <v>637</v>
      </c>
      <c r="E50">
        <v>15</v>
      </c>
      <c r="F50">
        <v>25</v>
      </c>
      <c r="G50">
        <v>2</v>
      </c>
      <c r="H50">
        <v>6</v>
      </c>
      <c r="I50">
        <f>Cocina[[#This Row],[Precio Unitario]]*Cocina[[#This Row],[Cantidad Ordenada]]</f>
        <v>50</v>
      </c>
      <c r="J50">
        <f>(Cocina[[#This Row],[Precio Unitario]]-Cocina[[#This Row],[Costo Unitario]])*Cocina[[#This Row],[Cantidad Ordenada]]</f>
        <v>20</v>
      </c>
      <c r="K50" s="4">
        <f>Cocina[[#This Row],[Ganancia neta]]/_xlfn.XLOOKUP(Cocina[[#This Row],[Número de Orden]],Sala[Número de Orden],Sala[Monto total],"fracaso",0,1)</f>
        <v>0.11235955056179775</v>
      </c>
      <c r="L50" t="s">
        <v>608</v>
      </c>
    </row>
    <row r="51" spans="1:12" x14ac:dyDescent="0.25">
      <c r="A51">
        <v>20</v>
      </c>
      <c r="B51">
        <v>8</v>
      </c>
      <c r="C51" t="s">
        <v>200</v>
      </c>
      <c r="D51" t="s">
        <v>633</v>
      </c>
      <c r="E51">
        <v>14</v>
      </c>
      <c r="F51">
        <v>23</v>
      </c>
      <c r="G51">
        <v>1</v>
      </c>
      <c r="H51">
        <v>14</v>
      </c>
      <c r="I51">
        <f>Cocina[[#This Row],[Precio Unitario]]*Cocina[[#This Row],[Cantidad Ordenada]]</f>
        <v>23</v>
      </c>
      <c r="J51">
        <f>(Cocina[[#This Row],[Precio Unitario]]-Cocina[[#This Row],[Costo Unitario]])*Cocina[[#This Row],[Cantidad Ordenada]]</f>
        <v>9</v>
      </c>
      <c r="K51" s="4">
        <f>Cocina[[#This Row],[Ganancia neta]]/_xlfn.XLOOKUP(Cocina[[#This Row],[Número de Orden]],Sala[Número de Orden],Sala[Monto total],"fracaso",0,1)</f>
        <v>5.0561797752808987E-2</v>
      </c>
      <c r="L51" t="s">
        <v>608</v>
      </c>
    </row>
    <row r="52" spans="1:12" x14ac:dyDescent="0.25">
      <c r="A52">
        <v>21</v>
      </c>
      <c r="B52">
        <v>12</v>
      </c>
      <c r="C52" t="s">
        <v>48</v>
      </c>
      <c r="D52" t="s">
        <v>622</v>
      </c>
      <c r="E52">
        <v>25</v>
      </c>
      <c r="F52">
        <v>40</v>
      </c>
      <c r="G52">
        <v>3</v>
      </c>
      <c r="H52">
        <v>20</v>
      </c>
      <c r="I52">
        <f>Cocina[[#This Row],[Precio Unitario]]*Cocina[[#This Row],[Cantidad Ordenada]]</f>
        <v>120</v>
      </c>
      <c r="J52">
        <f>(Cocina[[#This Row],[Precio Unitario]]-Cocina[[#This Row],[Costo Unitario]])*Cocina[[#This Row],[Cantidad Ordenada]]</f>
        <v>45</v>
      </c>
      <c r="K52" s="4">
        <f>Cocina[[#This Row],[Ganancia neta]]/_xlfn.XLOOKUP(Cocina[[#This Row],[Número de Orden]],Sala[Número de Orden],Sala[Monto total],"fracaso",0,1)</f>
        <v>0.16423357664233576</v>
      </c>
      <c r="L52" t="s">
        <v>607</v>
      </c>
    </row>
    <row r="53" spans="1:12" x14ac:dyDescent="0.25">
      <c r="A53">
        <v>21</v>
      </c>
      <c r="B53">
        <v>12</v>
      </c>
      <c r="C53" t="s">
        <v>146</v>
      </c>
      <c r="D53" t="s">
        <v>632</v>
      </c>
      <c r="E53">
        <v>12</v>
      </c>
      <c r="F53">
        <v>20</v>
      </c>
      <c r="G53">
        <v>2</v>
      </c>
      <c r="H53">
        <v>43</v>
      </c>
      <c r="I53">
        <f>Cocina[[#This Row],[Precio Unitario]]*Cocina[[#This Row],[Cantidad Ordenada]]</f>
        <v>40</v>
      </c>
      <c r="J53">
        <f>(Cocina[[#This Row],[Precio Unitario]]-Cocina[[#This Row],[Costo Unitario]])*Cocina[[#This Row],[Cantidad Ordenada]]</f>
        <v>16</v>
      </c>
      <c r="K53" s="4">
        <f>Cocina[[#This Row],[Ganancia neta]]/_xlfn.XLOOKUP(Cocina[[#This Row],[Número de Orden]],Sala[Número de Orden],Sala[Monto total],"fracaso",0,1)</f>
        <v>5.8394160583941604E-2</v>
      </c>
      <c r="L53" t="s">
        <v>607</v>
      </c>
    </row>
    <row r="54" spans="1:12" x14ac:dyDescent="0.25">
      <c r="A54">
        <v>21</v>
      </c>
      <c r="B54">
        <v>12</v>
      </c>
      <c r="C54" t="s">
        <v>247</v>
      </c>
      <c r="D54" t="s">
        <v>629</v>
      </c>
      <c r="E54">
        <v>19</v>
      </c>
      <c r="F54">
        <v>32</v>
      </c>
      <c r="G54">
        <v>2</v>
      </c>
      <c r="H54">
        <v>44</v>
      </c>
      <c r="I54">
        <f>Cocina[[#This Row],[Precio Unitario]]*Cocina[[#This Row],[Cantidad Ordenada]]</f>
        <v>64</v>
      </c>
      <c r="J54">
        <f>(Cocina[[#This Row],[Precio Unitario]]-Cocina[[#This Row],[Costo Unitario]])*Cocina[[#This Row],[Cantidad Ordenada]]</f>
        <v>26</v>
      </c>
      <c r="K54" s="4">
        <f>Cocina[[#This Row],[Ganancia neta]]/_xlfn.XLOOKUP(Cocina[[#This Row],[Número de Orden]],Sala[Número de Orden],Sala[Monto total],"fracaso",0,1)</f>
        <v>9.4890510948905105E-2</v>
      </c>
      <c r="L54" t="s">
        <v>608</v>
      </c>
    </row>
    <row r="55" spans="1:12" x14ac:dyDescent="0.25">
      <c r="A55">
        <v>21</v>
      </c>
      <c r="B55">
        <v>12</v>
      </c>
      <c r="C55" t="s">
        <v>122</v>
      </c>
      <c r="D55" t="s">
        <v>637</v>
      </c>
      <c r="E55">
        <v>15</v>
      </c>
      <c r="F55">
        <v>25</v>
      </c>
      <c r="G55">
        <v>2</v>
      </c>
      <c r="H55">
        <v>45</v>
      </c>
      <c r="I55">
        <f>Cocina[[#This Row],[Precio Unitario]]*Cocina[[#This Row],[Cantidad Ordenada]]</f>
        <v>50</v>
      </c>
      <c r="J55">
        <f>(Cocina[[#This Row],[Precio Unitario]]-Cocina[[#This Row],[Costo Unitario]])*Cocina[[#This Row],[Cantidad Ordenada]]</f>
        <v>20</v>
      </c>
      <c r="K55" s="4">
        <f>Cocina[[#This Row],[Ganancia neta]]/_xlfn.XLOOKUP(Cocina[[#This Row],[Número de Orden]],Sala[Número de Orden],Sala[Monto total],"fracaso",0,1)</f>
        <v>7.2992700729927001E-2</v>
      </c>
      <c r="L55" t="s">
        <v>608</v>
      </c>
    </row>
    <row r="56" spans="1:12" x14ac:dyDescent="0.25">
      <c r="A56">
        <v>22</v>
      </c>
      <c r="B56">
        <v>15</v>
      </c>
      <c r="C56" t="s">
        <v>79</v>
      </c>
      <c r="D56" t="s">
        <v>635</v>
      </c>
      <c r="E56">
        <v>10</v>
      </c>
      <c r="F56">
        <v>18</v>
      </c>
      <c r="G56">
        <v>1</v>
      </c>
      <c r="H56">
        <v>32</v>
      </c>
      <c r="I56">
        <f>Cocina[[#This Row],[Precio Unitario]]*Cocina[[#This Row],[Cantidad Ordenada]]</f>
        <v>18</v>
      </c>
      <c r="J56">
        <f>(Cocina[[#This Row],[Precio Unitario]]-Cocina[[#This Row],[Costo Unitario]])*Cocina[[#This Row],[Cantidad Ordenada]]</f>
        <v>8</v>
      </c>
      <c r="K56" s="4">
        <f>Cocina[[#This Row],[Ganancia neta]]/_xlfn.XLOOKUP(Cocina[[#This Row],[Número de Orden]],Sala[Número de Orden],Sala[Monto total],"fracaso",0,1)</f>
        <v>3.7558685446009391E-2</v>
      </c>
      <c r="L56" t="s">
        <v>607</v>
      </c>
    </row>
    <row r="57" spans="1:12" x14ac:dyDescent="0.25">
      <c r="A57">
        <v>22</v>
      </c>
      <c r="B57">
        <v>15</v>
      </c>
      <c r="C57" t="s">
        <v>55</v>
      </c>
      <c r="D57" t="s">
        <v>631</v>
      </c>
      <c r="E57">
        <v>20</v>
      </c>
      <c r="F57">
        <v>34</v>
      </c>
      <c r="G57">
        <v>3</v>
      </c>
      <c r="H57">
        <v>19</v>
      </c>
      <c r="I57">
        <f>Cocina[[#This Row],[Precio Unitario]]*Cocina[[#This Row],[Cantidad Ordenada]]</f>
        <v>102</v>
      </c>
      <c r="J57">
        <f>(Cocina[[#This Row],[Precio Unitario]]-Cocina[[#This Row],[Costo Unitario]])*Cocina[[#This Row],[Cantidad Ordenada]]</f>
        <v>42</v>
      </c>
      <c r="K57" s="4">
        <f>Cocina[[#This Row],[Ganancia neta]]/_xlfn.XLOOKUP(Cocina[[#This Row],[Número de Orden]],Sala[Número de Orden],Sala[Monto total],"fracaso",0,1)</f>
        <v>0.19718309859154928</v>
      </c>
      <c r="L57" t="s">
        <v>607</v>
      </c>
    </row>
    <row r="58" spans="1:12" x14ac:dyDescent="0.25">
      <c r="A58">
        <v>22</v>
      </c>
      <c r="B58">
        <v>15</v>
      </c>
      <c r="C58" t="s">
        <v>38</v>
      </c>
      <c r="D58" t="s">
        <v>624</v>
      </c>
      <c r="E58">
        <v>17</v>
      </c>
      <c r="F58">
        <v>29</v>
      </c>
      <c r="G58">
        <v>2</v>
      </c>
      <c r="H58">
        <v>13</v>
      </c>
      <c r="I58">
        <f>Cocina[[#This Row],[Precio Unitario]]*Cocina[[#This Row],[Cantidad Ordenada]]</f>
        <v>58</v>
      </c>
      <c r="J58">
        <f>(Cocina[[#This Row],[Precio Unitario]]-Cocina[[#This Row],[Costo Unitario]])*Cocina[[#This Row],[Cantidad Ordenada]]</f>
        <v>24</v>
      </c>
      <c r="K58" s="4">
        <f>Cocina[[#This Row],[Ganancia neta]]/_xlfn.XLOOKUP(Cocina[[#This Row],[Número de Orden]],Sala[Número de Orden],Sala[Monto total],"fracaso",0,1)</f>
        <v>0.11267605633802817</v>
      </c>
      <c r="L58" t="s">
        <v>608</v>
      </c>
    </row>
    <row r="59" spans="1:12" x14ac:dyDescent="0.25">
      <c r="A59">
        <v>22</v>
      </c>
      <c r="B59">
        <v>15</v>
      </c>
      <c r="C59" t="s">
        <v>26</v>
      </c>
      <c r="D59" t="s">
        <v>628</v>
      </c>
      <c r="E59">
        <v>21</v>
      </c>
      <c r="F59">
        <v>35</v>
      </c>
      <c r="G59">
        <v>1</v>
      </c>
      <c r="H59">
        <v>59</v>
      </c>
      <c r="I59">
        <f>Cocina[[#This Row],[Precio Unitario]]*Cocina[[#This Row],[Cantidad Ordenada]]</f>
        <v>35</v>
      </c>
      <c r="J59">
        <f>(Cocina[[#This Row],[Precio Unitario]]-Cocina[[#This Row],[Costo Unitario]])*Cocina[[#This Row],[Cantidad Ordenada]]</f>
        <v>14</v>
      </c>
      <c r="K59" s="4">
        <f>Cocina[[#This Row],[Ganancia neta]]/_xlfn.XLOOKUP(Cocina[[#This Row],[Número de Orden]],Sala[Número de Orden],Sala[Monto total],"fracaso",0,1)</f>
        <v>6.5727699530516437E-2</v>
      </c>
      <c r="L59" t="s">
        <v>608</v>
      </c>
    </row>
    <row r="60" spans="1:12" x14ac:dyDescent="0.25">
      <c r="A60">
        <v>23</v>
      </c>
      <c r="B60">
        <v>1</v>
      </c>
      <c r="C60" t="s">
        <v>112</v>
      </c>
      <c r="D60" t="s">
        <v>627</v>
      </c>
      <c r="E60">
        <v>11</v>
      </c>
      <c r="F60">
        <v>19</v>
      </c>
      <c r="G60">
        <v>3</v>
      </c>
      <c r="H60">
        <v>46</v>
      </c>
      <c r="I60">
        <f>Cocina[[#This Row],[Precio Unitario]]*Cocina[[#This Row],[Cantidad Ordenada]]</f>
        <v>57</v>
      </c>
      <c r="J60">
        <f>(Cocina[[#This Row],[Precio Unitario]]-Cocina[[#This Row],[Costo Unitario]])*Cocina[[#This Row],[Cantidad Ordenada]]</f>
        <v>24</v>
      </c>
      <c r="K60" s="4">
        <f>Cocina[[#This Row],[Ganancia neta]]/_xlfn.XLOOKUP(Cocina[[#This Row],[Número de Orden]],Sala[Número de Orden],Sala[Monto total],"fracaso",0,1)</f>
        <v>0.17391304347826086</v>
      </c>
      <c r="L60" t="s">
        <v>608</v>
      </c>
    </row>
    <row r="61" spans="1:12" x14ac:dyDescent="0.25">
      <c r="A61">
        <v>23</v>
      </c>
      <c r="B61">
        <v>1</v>
      </c>
      <c r="C61" t="s">
        <v>106</v>
      </c>
      <c r="D61" t="s">
        <v>621</v>
      </c>
      <c r="E61">
        <v>16</v>
      </c>
      <c r="F61">
        <v>27</v>
      </c>
      <c r="G61">
        <v>3</v>
      </c>
      <c r="H61">
        <v>17</v>
      </c>
      <c r="I61">
        <f>Cocina[[#This Row],[Precio Unitario]]*Cocina[[#This Row],[Cantidad Ordenada]]</f>
        <v>81</v>
      </c>
      <c r="J61">
        <f>(Cocina[[#This Row],[Precio Unitario]]-Cocina[[#This Row],[Costo Unitario]])*Cocina[[#This Row],[Cantidad Ordenada]]</f>
        <v>33</v>
      </c>
      <c r="K61" s="4">
        <f>Cocina[[#This Row],[Ganancia neta]]/_xlfn.XLOOKUP(Cocina[[#This Row],[Número de Orden]],Sala[Número de Orden],Sala[Monto total],"fracaso",0,1)</f>
        <v>0.2391304347826087</v>
      </c>
      <c r="L61" t="s">
        <v>608</v>
      </c>
    </row>
    <row r="62" spans="1:12" x14ac:dyDescent="0.25">
      <c r="A62">
        <v>24</v>
      </c>
      <c r="B62">
        <v>5</v>
      </c>
      <c r="C62" t="s">
        <v>155</v>
      </c>
      <c r="D62" t="s">
        <v>636</v>
      </c>
      <c r="E62">
        <v>15</v>
      </c>
      <c r="F62">
        <v>26</v>
      </c>
      <c r="G62">
        <v>3</v>
      </c>
      <c r="H62">
        <v>45</v>
      </c>
      <c r="I62">
        <f>Cocina[[#This Row],[Precio Unitario]]*Cocina[[#This Row],[Cantidad Ordenada]]</f>
        <v>78</v>
      </c>
      <c r="J62">
        <f>(Cocina[[#This Row],[Precio Unitario]]-Cocina[[#This Row],[Costo Unitario]])*Cocina[[#This Row],[Cantidad Ordenada]]</f>
        <v>33</v>
      </c>
      <c r="K62" s="4">
        <f>Cocina[[#This Row],[Ganancia neta]]/_xlfn.XLOOKUP(Cocina[[#This Row],[Número de Orden]],Sala[Número de Orden],Sala[Monto total],"fracaso",0,1)</f>
        <v>0.14163090128755365</v>
      </c>
      <c r="L62" t="s">
        <v>607</v>
      </c>
    </row>
    <row r="63" spans="1:12" x14ac:dyDescent="0.25">
      <c r="A63">
        <v>24</v>
      </c>
      <c r="B63">
        <v>5</v>
      </c>
      <c r="C63" t="s">
        <v>38</v>
      </c>
      <c r="D63" t="s">
        <v>624</v>
      </c>
      <c r="E63">
        <v>17</v>
      </c>
      <c r="F63">
        <v>29</v>
      </c>
      <c r="G63">
        <v>1</v>
      </c>
      <c r="H63">
        <v>46</v>
      </c>
      <c r="I63">
        <f>Cocina[[#This Row],[Precio Unitario]]*Cocina[[#This Row],[Cantidad Ordenada]]</f>
        <v>29</v>
      </c>
      <c r="J63">
        <f>(Cocina[[#This Row],[Precio Unitario]]-Cocina[[#This Row],[Costo Unitario]])*Cocina[[#This Row],[Cantidad Ordenada]]</f>
        <v>12</v>
      </c>
      <c r="K63" s="4">
        <f>Cocina[[#This Row],[Ganancia neta]]/_xlfn.XLOOKUP(Cocina[[#This Row],[Número de Orden]],Sala[Número de Orden],Sala[Monto total],"fracaso",0,1)</f>
        <v>5.1502145922746781E-2</v>
      </c>
      <c r="L63" t="s">
        <v>607</v>
      </c>
    </row>
    <row r="64" spans="1:12" x14ac:dyDescent="0.25">
      <c r="A64">
        <v>24</v>
      </c>
      <c r="B64">
        <v>5</v>
      </c>
      <c r="C64" t="s">
        <v>200</v>
      </c>
      <c r="D64" t="s">
        <v>633</v>
      </c>
      <c r="E64">
        <v>14</v>
      </c>
      <c r="F64">
        <v>23</v>
      </c>
      <c r="G64">
        <v>2</v>
      </c>
      <c r="H64">
        <v>42</v>
      </c>
      <c r="I64">
        <f>Cocina[[#This Row],[Precio Unitario]]*Cocina[[#This Row],[Cantidad Ordenada]]</f>
        <v>46</v>
      </c>
      <c r="J64">
        <f>(Cocina[[#This Row],[Precio Unitario]]-Cocina[[#This Row],[Costo Unitario]])*Cocina[[#This Row],[Cantidad Ordenada]]</f>
        <v>18</v>
      </c>
      <c r="K64" s="4">
        <f>Cocina[[#This Row],[Ganancia neta]]/_xlfn.XLOOKUP(Cocina[[#This Row],[Número de Orden]],Sala[Número de Orden],Sala[Monto total],"fracaso",0,1)</f>
        <v>7.7253218884120178E-2</v>
      </c>
      <c r="L64" t="s">
        <v>608</v>
      </c>
    </row>
    <row r="65" spans="1:12" x14ac:dyDescent="0.25">
      <c r="A65">
        <v>24</v>
      </c>
      <c r="B65">
        <v>5</v>
      </c>
      <c r="C65" t="s">
        <v>48</v>
      </c>
      <c r="D65" t="s">
        <v>622</v>
      </c>
      <c r="E65">
        <v>25</v>
      </c>
      <c r="F65">
        <v>40</v>
      </c>
      <c r="G65">
        <v>2</v>
      </c>
      <c r="H65">
        <v>47</v>
      </c>
      <c r="I65">
        <f>Cocina[[#This Row],[Precio Unitario]]*Cocina[[#This Row],[Cantidad Ordenada]]</f>
        <v>80</v>
      </c>
      <c r="J65">
        <f>(Cocina[[#This Row],[Precio Unitario]]-Cocina[[#This Row],[Costo Unitario]])*Cocina[[#This Row],[Cantidad Ordenada]]</f>
        <v>30</v>
      </c>
      <c r="K65" s="4">
        <f>Cocina[[#This Row],[Ganancia neta]]/_xlfn.XLOOKUP(Cocina[[#This Row],[Número de Orden]],Sala[Número de Orden],Sala[Monto total],"fracaso",0,1)</f>
        <v>0.12875536480686695</v>
      </c>
      <c r="L65" t="s">
        <v>608</v>
      </c>
    </row>
    <row r="66" spans="1:12" x14ac:dyDescent="0.25">
      <c r="A66">
        <v>25</v>
      </c>
      <c r="B66">
        <v>12</v>
      </c>
      <c r="C66" t="s">
        <v>55</v>
      </c>
      <c r="D66" t="s">
        <v>631</v>
      </c>
      <c r="E66">
        <v>20</v>
      </c>
      <c r="F66">
        <v>34</v>
      </c>
      <c r="G66">
        <v>1</v>
      </c>
      <c r="H66">
        <v>35</v>
      </c>
      <c r="I66">
        <f>Cocina[[#This Row],[Precio Unitario]]*Cocina[[#This Row],[Cantidad Ordenada]]</f>
        <v>34</v>
      </c>
      <c r="J66">
        <f>(Cocina[[#This Row],[Precio Unitario]]-Cocina[[#This Row],[Costo Unitario]])*Cocina[[#This Row],[Cantidad Ordenada]]</f>
        <v>14</v>
      </c>
      <c r="K66" s="4">
        <f>Cocina[[#This Row],[Ganancia neta]]/_xlfn.XLOOKUP(Cocina[[#This Row],[Número de Orden]],Sala[Número de Orden],Sala[Monto total],"fracaso",0,1)</f>
        <v>0.41176470588235292</v>
      </c>
      <c r="L66" t="s">
        <v>608</v>
      </c>
    </row>
    <row r="67" spans="1:12" x14ac:dyDescent="0.25">
      <c r="A67">
        <v>26</v>
      </c>
      <c r="B67">
        <v>18</v>
      </c>
      <c r="C67" t="s">
        <v>79</v>
      </c>
      <c r="D67" t="s">
        <v>635</v>
      </c>
      <c r="E67">
        <v>10</v>
      </c>
      <c r="F67">
        <v>18</v>
      </c>
      <c r="G67">
        <v>2</v>
      </c>
      <c r="H67">
        <v>13</v>
      </c>
      <c r="I67">
        <f>Cocina[[#This Row],[Precio Unitario]]*Cocina[[#This Row],[Cantidad Ordenada]]</f>
        <v>36</v>
      </c>
      <c r="J67">
        <f>(Cocina[[#This Row],[Precio Unitario]]-Cocina[[#This Row],[Costo Unitario]])*Cocina[[#This Row],[Cantidad Ordenada]]</f>
        <v>16</v>
      </c>
      <c r="K67" s="4">
        <f>Cocina[[#This Row],[Ganancia neta]]/_xlfn.XLOOKUP(Cocina[[#This Row],[Número de Orden]],Sala[Número de Orden],Sala[Monto total],"fracaso",0,1)</f>
        <v>0.12698412698412698</v>
      </c>
      <c r="L67" t="s">
        <v>608</v>
      </c>
    </row>
    <row r="68" spans="1:12" x14ac:dyDescent="0.25">
      <c r="A68">
        <v>26</v>
      </c>
      <c r="B68">
        <v>18</v>
      </c>
      <c r="C68" t="s">
        <v>70</v>
      </c>
      <c r="D68" t="s">
        <v>634</v>
      </c>
      <c r="E68">
        <v>13</v>
      </c>
      <c r="F68">
        <v>21</v>
      </c>
      <c r="G68">
        <v>2</v>
      </c>
      <c r="H68">
        <v>54</v>
      </c>
      <c r="I68">
        <f>Cocina[[#This Row],[Precio Unitario]]*Cocina[[#This Row],[Cantidad Ordenada]]</f>
        <v>42</v>
      </c>
      <c r="J68">
        <f>(Cocina[[#This Row],[Precio Unitario]]-Cocina[[#This Row],[Costo Unitario]])*Cocina[[#This Row],[Cantidad Ordenada]]</f>
        <v>16</v>
      </c>
      <c r="K68" s="4">
        <f>Cocina[[#This Row],[Ganancia neta]]/_xlfn.XLOOKUP(Cocina[[#This Row],[Número de Orden]],Sala[Número de Orden],Sala[Monto total],"fracaso",0,1)</f>
        <v>0.12698412698412698</v>
      </c>
      <c r="L68" t="s">
        <v>607</v>
      </c>
    </row>
    <row r="69" spans="1:12" x14ac:dyDescent="0.25">
      <c r="A69">
        <v>26</v>
      </c>
      <c r="B69">
        <v>18</v>
      </c>
      <c r="C69" t="s">
        <v>158</v>
      </c>
      <c r="D69" t="s">
        <v>617</v>
      </c>
      <c r="E69">
        <v>14</v>
      </c>
      <c r="F69">
        <v>24</v>
      </c>
      <c r="G69">
        <v>2</v>
      </c>
      <c r="H69">
        <v>42</v>
      </c>
      <c r="I69">
        <f>Cocina[[#This Row],[Precio Unitario]]*Cocina[[#This Row],[Cantidad Ordenada]]</f>
        <v>48</v>
      </c>
      <c r="J69">
        <f>(Cocina[[#This Row],[Precio Unitario]]-Cocina[[#This Row],[Costo Unitario]])*Cocina[[#This Row],[Cantidad Ordenada]]</f>
        <v>20</v>
      </c>
      <c r="K69" s="4">
        <f>Cocina[[#This Row],[Ganancia neta]]/_xlfn.XLOOKUP(Cocina[[#This Row],[Número de Orden]],Sala[Número de Orden],Sala[Monto total],"fracaso",0,1)</f>
        <v>0.15873015873015872</v>
      </c>
      <c r="L69" t="s">
        <v>608</v>
      </c>
    </row>
    <row r="70" spans="1:12" x14ac:dyDescent="0.25">
      <c r="A70">
        <v>27</v>
      </c>
      <c r="B70">
        <v>4</v>
      </c>
      <c r="C70" t="s">
        <v>26</v>
      </c>
      <c r="D70" t="s">
        <v>628</v>
      </c>
      <c r="E70">
        <v>21</v>
      </c>
      <c r="F70">
        <v>35</v>
      </c>
      <c r="G70">
        <v>1</v>
      </c>
      <c r="H70">
        <v>17</v>
      </c>
      <c r="I70">
        <f>Cocina[[#This Row],[Precio Unitario]]*Cocina[[#This Row],[Cantidad Ordenada]]</f>
        <v>35</v>
      </c>
      <c r="J70">
        <f>(Cocina[[#This Row],[Precio Unitario]]-Cocina[[#This Row],[Costo Unitario]])*Cocina[[#This Row],[Cantidad Ordenada]]</f>
        <v>14</v>
      </c>
      <c r="K70" s="4">
        <f>Cocina[[#This Row],[Ganancia neta]]/_xlfn.XLOOKUP(Cocina[[#This Row],[Número de Orden]],Sala[Número de Orden],Sala[Monto total],"fracaso",0,1)</f>
        <v>0.22950819672131148</v>
      </c>
      <c r="L70" t="s">
        <v>607</v>
      </c>
    </row>
    <row r="71" spans="1:12" x14ac:dyDescent="0.25">
      <c r="A71">
        <v>27</v>
      </c>
      <c r="B71">
        <v>4</v>
      </c>
      <c r="C71" t="s">
        <v>155</v>
      </c>
      <c r="D71" t="s">
        <v>636</v>
      </c>
      <c r="E71">
        <v>15</v>
      </c>
      <c r="F71">
        <v>26</v>
      </c>
      <c r="G71">
        <v>1</v>
      </c>
      <c r="H71">
        <v>38</v>
      </c>
      <c r="I71">
        <f>Cocina[[#This Row],[Precio Unitario]]*Cocina[[#This Row],[Cantidad Ordenada]]</f>
        <v>26</v>
      </c>
      <c r="J71">
        <f>(Cocina[[#This Row],[Precio Unitario]]-Cocina[[#This Row],[Costo Unitario]])*Cocina[[#This Row],[Cantidad Ordenada]]</f>
        <v>11</v>
      </c>
      <c r="K71" s="4">
        <f>Cocina[[#This Row],[Ganancia neta]]/_xlfn.XLOOKUP(Cocina[[#This Row],[Número de Orden]],Sala[Número de Orden],Sala[Monto total],"fracaso",0,1)</f>
        <v>0.18032786885245902</v>
      </c>
      <c r="L71" t="s">
        <v>608</v>
      </c>
    </row>
    <row r="72" spans="1:12" x14ac:dyDescent="0.25">
      <c r="A72">
        <v>28</v>
      </c>
      <c r="B72">
        <v>2</v>
      </c>
      <c r="C72" t="s">
        <v>79</v>
      </c>
      <c r="D72" t="s">
        <v>635</v>
      </c>
      <c r="E72">
        <v>10</v>
      </c>
      <c r="F72">
        <v>18</v>
      </c>
      <c r="G72">
        <v>2</v>
      </c>
      <c r="H72">
        <v>17</v>
      </c>
      <c r="I72">
        <f>Cocina[[#This Row],[Precio Unitario]]*Cocina[[#This Row],[Cantidad Ordenada]]</f>
        <v>36</v>
      </c>
      <c r="J72">
        <f>(Cocina[[#This Row],[Precio Unitario]]-Cocina[[#This Row],[Costo Unitario]])*Cocina[[#This Row],[Cantidad Ordenada]]</f>
        <v>16</v>
      </c>
      <c r="K72" s="4">
        <f>Cocina[[#This Row],[Ganancia neta]]/_xlfn.XLOOKUP(Cocina[[#This Row],[Número de Orden]],Sala[Número de Orden],Sala[Monto total],"fracaso",0,1)</f>
        <v>0.1702127659574468</v>
      </c>
      <c r="L72" t="s">
        <v>608</v>
      </c>
    </row>
    <row r="73" spans="1:12" x14ac:dyDescent="0.25">
      <c r="A73">
        <v>28</v>
      </c>
      <c r="B73">
        <v>2</v>
      </c>
      <c r="C73" t="s">
        <v>38</v>
      </c>
      <c r="D73" t="s">
        <v>624</v>
      </c>
      <c r="E73">
        <v>17</v>
      </c>
      <c r="F73">
        <v>29</v>
      </c>
      <c r="G73">
        <v>2</v>
      </c>
      <c r="H73">
        <v>39</v>
      </c>
      <c r="I73">
        <f>Cocina[[#This Row],[Precio Unitario]]*Cocina[[#This Row],[Cantidad Ordenada]]</f>
        <v>58</v>
      </c>
      <c r="J73">
        <f>(Cocina[[#This Row],[Precio Unitario]]-Cocina[[#This Row],[Costo Unitario]])*Cocina[[#This Row],[Cantidad Ordenada]]</f>
        <v>24</v>
      </c>
      <c r="K73" s="4">
        <f>Cocina[[#This Row],[Ganancia neta]]/_xlfn.XLOOKUP(Cocina[[#This Row],[Número de Orden]],Sala[Número de Orden],Sala[Monto total],"fracaso",0,1)</f>
        <v>0.25531914893617019</v>
      </c>
      <c r="L73" t="s">
        <v>608</v>
      </c>
    </row>
    <row r="74" spans="1:12" x14ac:dyDescent="0.25">
      <c r="A74">
        <v>29</v>
      </c>
      <c r="B74">
        <v>20</v>
      </c>
      <c r="C74" t="s">
        <v>122</v>
      </c>
      <c r="D74" t="s">
        <v>637</v>
      </c>
      <c r="E74">
        <v>15</v>
      </c>
      <c r="F74">
        <v>25</v>
      </c>
      <c r="G74">
        <v>3</v>
      </c>
      <c r="H74">
        <v>22</v>
      </c>
      <c r="I74">
        <f>Cocina[[#This Row],[Precio Unitario]]*Cocina[[#This Row],[Cantidad Ordenada]]</f>
        <v>75</v>
      </c>
      <c r="J74">
        <f>(Cocina[[#This Row],[Precio Unitario]]-Cocina[[#This Row],[Costo Unitario]])*Cocina[[#This Row],[Cantidad Ordenada]]</f>
        <v>30</v>
      </c>
      <c r="K74" s="4">
        <f>Cocina[[#This Row],[Ganancia neta]]/_xlfn.XLOOKUP(Cocina[[#This Row],[Número de Orden]],Sala[Número de Orden],Sala[Monto total],"fracaso",0,1)</f>
        <v>0.17341040462427745</v>
      </c>
      <c r="L74" t="s">
        <v>608</v>
      </c>
    </row>
    <row r="75" spans="1:12" x14ac:dyDescent="0.25">
      <c r="A75">
        <v>29</v>
      </c>
      <c r="B75">
        <v>20</v>
      </c>
      <c r="C75" t="s">
        <v>79</v>
      </c>
      <c r="D75" t="s">
        <v>635</v>
      </c>
      <c r="E75">
        <v>10</v>
      </c>
      <c r="F75">
        <v>18</v>
      </c>
      <c r="G75">
        <v>2</v>
      </c>
      <c r="H75">
        <v>18</v>
      </c>
      <c r="I75">
        <f>Cocina[[#This Row],[Precio Unitario]]*Cocina[[#This Row],[Cantidad Ordenada]]</f>
        <v>36</v>
      </c>
      <c r="J75">
        <f>(Cocina[[#This Row],[Precio Unitario]]-Cocina[[#This Row],[Costo Unitario]])*Cocina[[#This Row],[Cantidad Ordenada]]</f>
        <v>16</v>
      </c>
      <c r="K75" s="4">
        <f>Cocina[[#This Row],[Ganancia neta]]/_xlfn.XLOOKUP(Cocina[[#This Row],[Número de Orden]],Sala[Número de Orden],Sala[Monto total],"fracaso",0,1)</f>
        <v>9.2485549132947972E-2</v>
      </c>
      <c r="L75" t="s">
        <v>607</v>
      </c>
    </row>
    <row r="76" spans="1:12" x14ac:dyDescent="0.25">
      <c r="A76">
        <v>29</v>
      </c>
      <c r="B76">
        <v>20</v>
      </c>
      <c r="C76" t="s">
        <v>116</v>
      </c>
      <c r="D76" t="s">
        <v>620</v>
      </c>
      <c r="E76">
        <v>19</v>
      </c>
      <c r="F76">
        <v>31</v>
      </c>
      <c r="G76">
        <v>2</v>
      </c>
      <c r="H76">
        <v>31</v>
      </c>
      <c r="I76">
        <f>Cocina[[#This Row],[Precio Unitario]]*Cocina[[#This Row],[Cantidad Ordenada]]</f>
        <v>62</v>
      </c>
      <c r="J76">
        <f>(Cocina[[#This Row],[Precio Unitario]]-Cocina[[#This Row],[Costo Unitario]])*Cocina[[#This Row],[Cantidad Ordenada]]</f>
        <v>24</v>
      </c>
      <c r="K76" s="4">
        <f>Cocina[[#This Row],[Ganancia neta]]/_xlfn.XLOOKUP(Cocina[[#This Row],[Número de Orden]],Sala[Número de Orden],Sala[Monto total],"fracaso",0,1)</f>
        <v>0.13872832369942195</v>
      </c>
      <c r="L76" t="s">
        <v>608</v>
      </c>
    </row>
    <row r="77" spans="1:12" x14ac:dyDescent="0.25">
      <c r="A77">
        <v>30</v>
      </c>
      <c r="B77">
        <v>14</v>
      </c>
      <c r="C77" t="s">
        <v>155</v>
      </c>
      <c r="D77" t="s">
        <v>636</v>
      </c>
      <c r="E77">
        <v>15</v>
      </c>
      <c r="F77">
        <v>26</v>
      </c>
      <c r="G77">
        <v>2</v>
      </c>
      <c r="H77">
        <v>14</v>
      </c>
      <c r="I77">
        <f>Cocina[[#This Row],[Precio Unitario]]*Cocina[[#This Row],[Cantidad Ordenada]]</f>
        <v>52</v>
      </c>
      <c r="J77">
        <f>(Cocina[[#This Row],[Precio Unitario]]-Cocina[[#This Row],[Costo Unitario]])*Cocina[[#This Row],[Cantidad Ordenada]]</f>
        <v>22</v>
      </c>
      <c r="K77" s="4">
        <f>Cocina[[#This Row],[Ganancia neta]]/_xlfn.XLOOKUP(Cocina[[#This Row],[Número de Orden]],Sala[Número de Orden],Sala[Monto total],"fracaso",0,1)</f>
        <v>0.19642857142857142</v>
      </c>
      <c r="L77" t="s">
        <v>607</v>
      </c>
    </row>
    <row r="78" spans="1:12" x14ac:dyDescent="0.25">
      <c r="A78">
        <v>30</v>
      </c>
      <c r="B78">
        <v>14</v>
      </c>
      <c r="C78" t="s">
        <v>146</v>
      </c>
      <c r="D78" t="s">
        <v>632</v>
      </c>
      <c r="E78">
        <v>12</v>
      </c>
      <c r="F78">
        <v>20</v>
      </c>
      <c r="G78">
        <v>3</v>
      </c>
      <c r="H78">
        <v>55</v>
      </c>
      <c r="I78">
        <f>Cocina[[#This Row],[Precio Unitario]]*Cocina[[#This Row],[Cantidad Ordenada]]</f>
        <v>60</v>
      </c>
      <c r="J78">
        <f>(Cocina[[#This Row],[Precio Unitario]]-Cocina[[#This Row],[Costo Unitario]])*Cocina[[#This Row],[Cantidad Ordenada]]</f>
        <v>24</v>
      </c>
      <c r="K78" s="4">
        <f>Cocina[[#This Row],[Ganancia neta]]/_xlfn.XLOOKUP(Cocina[[#This Row],[Número de Orden]],Sala[Número de Orden],Sala[Monto total],"fracaso",0,1)</f>
        <v>0.21428571428571427</v>
      </c>
      <c r="L78" t="s">
        <v>607</v>
      </c>
    </row>
    <row r="79" spans="1:12" x14ac:dyDescent="0.25">
      <c r="A79">
        <v>31</v>
      </c>
      <c r="B79">
        <v>13</v>
      </c>
      <c r="C79" t="s">
        <v>38</v>
      </c>
      <c r="D79" t="s">
        <v>624</v>
      </c>
      <c r="E79">
        <v>17</v>
      </c>
      <c r="F79">
        <v>29</v>
      </c>
      <c r="G79">
        <v>1</v>
      </c>
      <c r="H79">
        <v>59</v>
      </c>
      <c r="I79">
        <f>Cocina[[#This Row],[Precio Unitario]]*Cocina[[#This Row],[Cantidad Ordenada]]</f>
        <v>29</v>
      </c>
      <c r="J79">
        <f>(Cocina[[#This Row],[Precio Unitario]]-Cocina[[#This Row],[Costo Unitario]])*Cocina[[#This Row],[Cantidad Ordenada]]</f>
        <v>12</v>
      </c>
      <c r="K79" s="4">
        <f>Cocina[[#This Row],[Ganancia neta]]/_xlfn.XLOOKUP(Cocina[[#This Row],[Número de Orden]],Sala[Número de Orden],Sala[Monto total],"fracaso",0,1)</f>
        <v>0.17910447761194029</v>
      </c>
      <c r="L79" t="s">
        <v>608</v>
      </c>
    </row>
    <row r="80" spans="1:12" x14ac:dyDescent="0.25">
      <c r="A80">
        <v>31</v>
      </c>
      <c r="B80">
        <v>13</v>
      </c>
      <c r="C80" t="s">
        <v>112</v>
      </c>
      <c r="D80" t="s">
        <v>627</v>
      </c>
      <c r="E80">
        <v>11</v>
      </c>
      <c r="F80">
        <v>19</v>
      </c>
      <c r="G80">
        <v>2</v>
      </c>
      <c r="H80">
        <v>46</v>
      </c>
      <c r="I80">
        <f>Cocina[[#This Row],[Precio Unitario]]*Cocina[[#This Row],[Cantidad Ordenada]]</f>
        <v>38</v>
      </c>
      <c r="J80">
        <f>(Cocina[[#This Row],[Precio Unitario]]-Cocina[[#This Row],[Costo Unitario]])*Cocina[[#This Row],[Cantidad Ordenada]]</f>
        <v>16</v>
      </c>
      <c r="K80" s="4">
        <f>Cocina[[#This Row],[Ganancia neta]]/_xlfn.XLOOKUP(Cocina[[#This Row],[Número de Orden]],Sala[Número de Orden],Sala[Monto total],"fracaso",0,1)</f>
        <v>0.23880597014925373</v>
      </c>
      <c r="L80" t="s">
        <v>608</v>
      </c>
    </row>
    <row r="81" spans="1:12" x14ac:dyDescent="0.25">
      <c r="A81">
        <v>32</v>
      </c>
      <c r="B81">
        <v>5</v>
      </c>
      <c r="C81" t="s">
        <v>247</v>
      </c>
      <c r="D81" t="s">
        <v>629</v>
      </c>
      <c r="E81">
        <v>19</v>
      </c>
      <c r="F81">
        <v>32</v>
      </c>
      <c r="G81">
        <v>2</v>
      </c>
      <c r="H81">
        <v>50</v>
      </c>
      <c r="I81">
        <f>Cocina[[#This Row],[Precio Unitario]]*Cocina[[#This Row],[Cantidad Ordenada]]</f>
        <v>64</v>
      </c>
      <c r="J81">
        <f>(Cocina[[#This Row],[Precio Unitario]]-Cocina[[#This Row],[Costo Unitario]])*Cocina[[#This Row],[Cantidad Ordenada]]</f>
        <v>26</v>
      </c>
      <c r="K81" s="4">
        <f>Cocina[[#This Row],[Ganancia neta]]/_xlfn.XLOOKUP(Cocina[[#This Row],[Número de Orden]],Sala[Número de Orden],Sala[Monto total],"fracaso",0,1)</f>
        <v>0.12322274881516587</v>
      </c>
      <c r="L81" t="s">
        <v>608</v>
      </c>
    </row>
    <row r="82" spans="1:12" x14ac:dyDescent="0.25">
      <c r="A82">
        <v>32</v>
      </c>
      <c r="B82">
        <v>5</v>
      </c>
      <c r="C82" t="s">
        <v>261</v>
      </c>
      <c r="D82" t="s">
        <v>625</v>
      </c>
      <c r="E82">
        <v>20</v>
      </c>
      <c r="F82">
        <v>33</v>
      </c>
      <c r="G82">
        <v>1</v>
      </c>
      <c r="H82">
        <v>20</v>
      </c>
      <c r="I82">
        <f>Cocina[[#This Row],[Precio Unitario]]*Cocina[[#This Row],[Cantidad Ordenada]]</f>
        <v>33</v>
      </c>
      <c r="J82">
        <f>(Cocina[[#This Row],[Precio Unitario]]-Cocina[[#This Row],[Costo Unitario]])*Cocina[[#This Row],[Cantidad Ordenada]]</f>
        <v>13</v>
      </c>
      <c r="K82" s="4">
        <f>Cocina[[#This Row],[Ganancia neta]]/_xlfn.XLOOKUP(Cocina[[#This Row],[Número de Orden]],Sala[Número de Orden],Sala[Monto total],"fracaso",0,1)</f>
        <v>6.1611374407582936E-2</v>
      </c>
      <c r="L82" t="s">
        <v>608</v>
      </c>
    </row>
    <row r="83" spans="1:12" x14ac:dyDescent="0.25">
      <c r="A83">
        <v>32</v>
      </c>
      <c r="B83">
        <v>5</v>
      </c>
      <c r="C83" t="s">
        <v>155</v>
      </c>
      <c r="D83" t="s">
        <v>636</v>
      </c>
      <c r="E83">
        <v>15</v>
      </c>
      <c r="F83">
        <v>26</v>
      </c>
      <c r="G83">
        <v>3</v>
      </c>
      <c r="H83">
        <v>35</v>
      </c>
      <c r="I83">
        <f>Cocina[[#This Row],[Precio Unitario]]*Cocina[[#This Row],[Cantidad Ordenada]]</f>
        <v>78</v>
      </c>
      <c r="J83">
        <f>(Cocina[[#This Row],[Precio Unitario]]-Cocina[[#This Row],[Costo Unitario]])*Cocina[[#This Row],[Cantidad Ordenada]]</f>
        <v>33</v>
      </c>
      <c r="K83" s="4">
        <f>Cocina[[#This Row],[Ganancia neta]]/_xlfn.XLOOKUP(Cocina[[#This Row],[Número de Orden]],Sala[Número de Orden],Sala[Monto total],"fracaso",0,1)</f>
        <v>0.15639810426540285</v>
      </c>
      <c r="L83" t="s">
        <v>607</v>
      </c>
    </row>
    <row r="84" spans="1:12" x14ac:dyDescent="0.25">
      <c r="A84">
        <v>32</v>
      </c>
      <c r="B84">
        <v>5</v>
      </c>
      <c r="C84" t="s">
        <v>79</v>
      </c>
      <c r="D84" t="s">
        <v>635</v>
      </c>
      <c r="E84">
        <v>10</v>
      </c>
      <c r="F84">
        <v>18</v>
      </c>
      <c r="G84">
        <v>2</v>
      </c>
      <c r="H84">
        <v>23</v>
      </c>
      <c r="I84">
        <f>Cocina[[#This Row],[Precio Unitario]]*Cocina[[#This Row],[Cantidad Ordenada]]</f>
        <v>36</v>
      </c>
      <c r="J84">
        <f>(Cocina[[#This Row],[Precio Unitario]]-Cocina[[#This Row],[Costo Unitario]])*Cocina[[#This Row],[Cantidad Ordenada]]</f>
        <v>16</v>
      </c>
      <c r="K84" s="4">
        <f>Cocina[[#This Row],[Ganancia neta]]/_xlfn.XLOOKUP(Cocina[[#This Row],[Número de Orden]],Sala[Número de Orden],Sala[Monto total],"fracaso",0,1)</f>
        <v>7.582938388625593E-2</v>
      </c>
      <c r="L84" t="s">
        <v>607</v>
      </c>
    </row>
    <row r="85" spans="1:12" x14ac:dyDescent="0.25">
      <c r="A85">
        <v>33</v>
      </c>
      <c r="B85">
        <v>4</v>
      </c>
      <c r="C85" t="s">
        <v>26</v>
      </c>
      <c r="D85" t="s">
        <v>628</v>
      </c>
      <c r="E85">
        <v>21</v>
      </c>
      <c r="F85">
        <v>35</v>
      </c>
      <c r="G85">
        <v>3</v>
      </c>
      <c r="H85">
        <v>6</v>
      </c>
      <c r="I85">
        <f>Cocina[[#This Row],[Precio Unitario]]*Cocina[[#This Row],[Cantidad Ordenada]]</f>
        <v>105</v>
      </c>
      <c r="J85">
        <f>(Cocina[[#This Row],[Precio Unitario]]-Cocina[[#This Row],[Costo Unitario]])*Cocina[[#This Row],[Cantidad Ordenada]]</f>
        <v>42</v>
      </c>
      <c r="K85" s="4">
        <f>Cocina[[#This Row],[Ganancia neta]]/_xlfn.XLOOKUP(Cocina[[#This Row],[Número de Orden]],Sala[Número de Orden],Sala[Monto total],"fracaso",0,1)</f>
        <v>0.13725490196078433</v>
      </c>
      <c r="L85" t="s">
        <v>608</v>
      </c>
    </row>
    <row r="86" spans="1:12" x14ac:dyDescent="0.25">
      <c r="A86">
        <v>33</v>
      </c>
      <c r="B86">
        <v>4</v>
      </c>
      <c r="C86" t="s">
        <v>106</v>
      </c>
      <c r="D86" t="s">
        <v>621</v>
      </c>
      <c r="E86">
        <v>16</v>
      </c>
      <c r="F86">
        <v>27</v>
      </c>
      <c r="G86">
        <v>1</v>
      </c>
      <c r="H86">
        <v>59</v>
      </c>
      <c r="I86">
        <f>Cocina[[#This Row],[Precio Unitario]]*Cocina[[#This Row],[Cantidad Ordenada]]</f>
        <v>27</v>
      </c>
      <c r="J86">
        <f>(Cocina[[#This Row],[Precio Unitario]]-Cocina[[#This Row],[Costo Unitario]])*Cocina[[#This Row],[Cantidad Ordenada]]</f>
        <v>11</v>
      </c>
      <c r="K86" s="4">
        <f>Cocina[[#This Row],[Ganancia neta]]/_xlfn.XLOOKUP(Cocina[[#This Row],[Número de Orden]],Sala[Número de Orden],Sala[Monto total],"fracaso",0,1)</f>
        <v>3.5947712418300651E-2</v>
      </c>
      <c r="L86" t="s">
        <v>607</v>
      </c>
    </row>
    <row r="87" spans="1:12" x14ac:dyDescent="0.25">
      <c r="A87">
        <v>33</v>
      </c>
      <c r="B87">
        <v>4</v>
      </c>
      <c r="C87" t="s">
        <v>247</v>
      </c>
      <c r="D87" t="s">
        <v>629</v>
      </c>
      <c r="E87">
        <v>19</v>
      </c>
      <c r="F87">
        <v>32</v>
      </c>
      <c r="G87">
        <v>3</v>
      </c>
      <c r="H87">
        <v>55</v>
      </c>
      <c r="I87">
        <f>Cocina[[#This Row],[Precio Unitario]]*Cocina[[#This Row],[Cantidad Ordenada]]</f>
        <v>96</v>
      </c>
      <c r="J87">
        <f>(Cocina[[#This Row],[Precio Unitario]]-Cocina[[#This Row],[Costo Unitario]])*Cocina[[#This Row],[Cantidad Ordenada]]</f>
        <v>39</v>
      </c>
      <c r="K87" s="4">
        <f>Cocina[[#This Row],[Ganancia neta]]/_xlfn.XLOOKUP(Cocina[[#This Row],[Número de Orden]],Sala[Número de Orden],Sala[Monto total],"fracaso",0,1)</f>
        <v>0.12745098039215685</v>
      </c>
      <c r="L87" t="s">
        <v>608</v>
      </c>
    </row>
    <row r="88" spans="1:12" x14ac:dyDescent="0.25">
      <c r="A88">
        <v>33</v>
      </c>
      <c r="B88">
        <v>4</v>
      </c>
      <c r="C88" t="s">
        <v>155</v>
      </c>
      <c r="D88" t="s">
        <v>636</v>
      </c>
      <c r="E88">
        <v>15</v>
      </c>
      <c r="F88">
        <v>26</v>
      </c>
      <c r="G88">
        <v>3</v>
      </c>
      <c r="H88">
        <v>10</v>
      </c>
      <c r="I88">
        <f>Cocina[[#This Row],[Precio Unitario]]*Cocina[[#This Row],[Cantidad Ordenada]]</f>
        <v>78</v>
      </c>
      <c r="J88">
        <f>(Cocina[[#This Row],[Precio Unitario]]-Cocina[[#This Row],[Costo Unitario]])*Cocina[[#This Row],[Cantidad Ordenada]]</f>
        <v>33</v>
      </c>
      <c r="K88" s="4">
        <f>Cocina[[#This Row],[Ganancia neta]]/_xlfn.XLOOKUP(Cocina[[#This Row],[Número de Orden]],Sala[Número de Orden],Sala[Monto total],"fracaso",0,1)</f>
        <v>0.10784313725490197</v>
      </c>
      <c r="L88" t="s">
        <v>607</v>
      </c>
    </row>
    <row r="89" spans="1:12" x14ac:dyDescent="0.25">
      <c r="A89">
        <v>34</v>
      </c>
      <c r="B89">
        <v>15</v>
      </c>
      <c r="C89" t="s">
        <v>55</v>
      </c>
      <c r="D89" t="s">
        <v>631</v>
      </c>
      <c r="E89">
        <v>20</v>
      </c>
      <c r="F89">
        <v>34</v>
      </c>
      <c r="G89">
        <v>1</v>
      </c>
      <c r="H89">
        <v>46</v>
      </c>
      <c r="I89">
        <f>Cocina[[#This Row],[Precio Unitario]]*Cocina[[#This Row],[Cantidad Ordenada]]</f>
        <v>34</v>
      </c>
      <c r="J89">
        <f>(Cocina[[#This Row],[Precio Unitario]]-Cocina[[#This Row],[Costo Unitario]])*Cocina[[#This Row],[Cantidad Ordenada]]</f>
        <v>14</v>
      </c>
      <c r="K89" s="4">
        <f>Cocina[[#This Row],[Ganancia neta]]/_xlfn.XLOOKUP(Cocina[[#This Row],[Número de Orden]],Sala[Número de Orden],Sala[Monto total],"fracaso",0,1)</f>
        <v>0.125</v>
      </c>
      <c r="L89" t="s">
        <v>607</v>
      </c>
    </row>
    <row r="90" spans="1:12" x14ac:dyDescent="0.25">
      <c r="A90">
        <v>34</v>
      </c>
      <c r="B90">
        <v>15</v>
      </c>
      <c r="C90" t="s">
        <v>155</v>
      </c>
      <c r="D90" t="s">
        <v>636</v>
      </c>
      <c r="E90">
        <v>15</v>
      </c>
      <c r="F90">
        <v>26</v>
      </c>
      <c r="G90">
        <v>3</v>
      </c>
      <c r="H90">
        <v>19</v>
      </c>
      <c r="I90">
        <f>Cocina[[#This Row],[Precio Unitario]]*Cocina[[#This Row],[Cantidad Ordenada]]</f>
        <v>78</v>
      </c>
      <c r="J90">
        <f>(Cocina[[#This Row],[Precio Unitario]]-Cocina[[#This Row],[Costo Unitario]])*Cocina[[#This Row],[Cantidad Ordenada]]</f>
        <v>33</v>
      </c>
      <c r="K90" s="4">
        <f>Cocina[[#This Row],[Ganancia neta]]/_xlfn.XLOOKUP(Cocina[[#This Row],[Número de Orden]],Sala[Número de Orden],Sala[Monto total],"fracaso",0,1)</f>
        <v>0.29464285714285715</v>
      </c>
      <c r="L90" t="s">
        <v>608</v>
      </c>
    </row>
    <row r="91" spans="1:12" x14ac:dyDescent="0.25">
      <c r="A91">
        <v>35</v>
      </c>
      <c r="B91">
        <v>13</v>
      </c>
      <c r="C91" t="s">
        <v>68</v>
      </c>
      <c r="D91" t="s">
        <v>619</v>
      </c>
      <c r="E91">
        <v>18</v>
      </c>
      <c r="F91">
        <v>30</v>
      </c>
      <c r="G91">
        <v>3</v>
      </c>
      <c r="H91">
        <v>5</v>
      </c>
      <c r="I91">
        <f>Cocina[[#This Row],[Precio Unitario]]*Cocina[[#This Row],[Cantidad Ordenada]]</f>
        <v>90</v>
      </c>
      <c r="J91">
        <f>(Cocina[[#This Row],[Precio Unitario]]-Cocina[[#This Row],[Costo Unitario]])*Cocina[[#This Row],[Cantidad Ordenada]]</f>
        <v>36</v>
      </c>
      <c r="K91" s="4">
        <f>Cocina[[#This Row],[Ganancia neta]]/_xlfn.XLOOKUP(Cocina[[#This Row],[Número de Orden]],Sala[Número de Orden],Sala[Monto total],"fracaso",0,1)</f>
        <v>0.16822429906542055</v>
      </c>
      <c r="L91" t="s">
        <v>608</v>
      </c>
    </row>
    <row r="92" spans="1:12" x14ac:dyDescent="0.25">
      <c r="A92">
        <v>35</v>
      </c>
      <c r="B92">
        <v>13</v>
      </c>
      <c r="C92" t="s">
        <v>38</v>
      </c>
      <c r="D92" t="s">
        <v>624</v>
      </c>
      <c r="E92">
        <v>17</v>
      </c>
      <c r="F92">
        <v>29</v>
      </c>
      <c r="G92">
        <v>1</v>
      </c>
      <c r="H92">
        <v>8</v>
      </c>
      <c r="I92">
        <f>Cocina[[#This Row],[Precio Unitario]]*Cocina[[#This Row],[Cantidad Ordenada]]</f>
        <v>29</v>
      </c>
      <c r="J92">
        <f>(Cocina[[#This Row],[Precio Unitario]]-Cocina[[#This Row],[Costo Unitario]])*Cocina[[#This Row],[Cantidad Ordenada]]</f>
        <v>12</v>
      </c>
      <c r="K92" s="4">
        <f>Cocina[[#This Row],[Ganancia neta]]/_xlfn.XLOOKUP(Cocina[[#This Row],[Número de Orden]],Sala[Número de Orden],Sala[Monto total],"fracaso",0,1)</f>
        <v>5.6074766355140186E-2</v>
      </c>
      <c r="L92" t="s">
        <v>607</v>
      </c>
    </row>
    <row r="93" spans="1:12" x14ac:dyDescent="0.25">
      <c r="A93">
        <v>35</v>
      </c>
      <c r="B93">
        <v>13</v>
      </c>
      <c r="C93" t="s">
        <v>261</v>
      </c>
      <c r="D93" t="s">
        <v>625</v>
      </c>
      <c r="E93">
        <v>20</v>
      </c>
      <c r="F93">
        <v>33</v>
      </c>
      <c r="G93">
        <v>1</v>
      </c>
      <c r="H93">
        <v>21</v>
      </c>
      <c r="I93">
        <f>Cocina[[#This Row],[Precio Unitario]]*Cocina[[#This Row],[Cantidad Ordenada]]</f>
        <v>33</v>
      </c>
      <c r="J93">
        <f>(Cocina[[#This Row],[Precio Unitario]]-Cocina[[#This Row],[Costo Unitario]])*Cocina[[#This Row],[Cantidad Ordenada]]</f>
        <v>13</v>
      </c>
      <c r="K93" s="4">
        <f>Cocina[[#This Row],[Ganancia neta]]/_xlfn.XLOOKUP(Cocina[[#This Row],[Número de Orden]],Sala[Número de Orden],Sala[Monto total],"fracaso",0,1)</f>
        <v>6.0747663551401869E-2</v>
      </c>
      <c r="L93" t="s">
        <v>607</v>
      </c>
    </row>
    <row r="94" spans="1:12" x14ac:dyDescent="0.25">
      <c r="A94">
        <v>35</v>
      </c>
      <c r="B94">
        <v>13</v>
      </c>
      <c r="C94" t="s">
        <v>116</v>
      </c>
      <c r="D94" t="s">
        <v>620</v>
      </c>
      <c r="E94">
        <v>19</v>
      </c>
      <c r="F94">
        <v>31</v>
      </c>
      <c r="G94">
        <v>2</v>
      </c>
      <c r="H94">
        <v>31</v>
      </c>
      <c r="I94">
        <f>Cocina[[#This Row],[Precio Unitario]]*Cocina[[#This Row],[Cantidad Ordenada]]</f>
        <v>62</v>
      </c>
      <c r="J94">
        <f>(Cocina[[#This Row],[Precio Unitario]]-Cocina[[#This Row],[Costo Unitario]])*Cocina[[#This Row],[Cantidad Ordenada]]</f>
        <v>24</v>
      </c>
      <c r="K94" s="4">
        <f>Cocina[[#This Row],[Ganancia neta]]/_xlfn.XLOOKUP(Cocina[[#This Row],[Número de Orden]],Sala[Número de Orden],Sala[Monto total],"fracaso",0,1)</f>
        <v>0.11214953271028037</v>
      </c>
      <c r="L94" t="s">
        <v>608</v>
      </c>
    </row>
    <row r="95" spans="1:12" x14ac:dyDescent="0.25">
      <c r="A95">
        <v>36</v>
      </c>
      <c r="B95">
        <v>5</v>
      </c>
      <c r="C95" t="s">
        <v>68</v>
      </c>
      <c r="D95" t="s">
        <v>619</v>
      </c>
      <c r="E95">
        <v>18</v>
      </c>
      <c r="F95">
        <v>30</v>
      </c>
      <c r="G95">
        <v>1</v>
      </c>
      <c r="H95">
        <v>38</v>
      </c>
      <c r="I95">
        <f>Cocina[[#This Row],[Precio Unitario]]*Cocina[[#This Row],[Cantidad Ordenada]]</f>
        <v>30</v>
      </c>
      <c r="J95">
        <f>(Cocina[[#This Row],[Precio Unitario]]-Cocina[[#This Row],[Costo Unitario]])*Cocina[[#This Row],[Cantidad Ordenada]]</f>
        <v>12</v>
      </c>
      <c r="K95" s="4">
        <f>Cocina[[#This Row],[Ganancia neta]]/_xlfn.XLOOKUP(Cocina[[#This Row],[Número de Orden]],Sala[Número de Orden],Sala[Monto total],"fracaso",0,1)</f>
        <v>0.4</v>
      </c>
      <c r="L95" t="s">
        <v>607</v>
      </c>
    </row>
    <row r="96" spans="1:12" x14ac:dyDescent="0.25">
      <c r="A96">
        <v>37</v>
      </c>
      <c r="B96">
        <v>20</v>
      </c>
      <c r="C96" t="s">
        <v>70</v>
      </c>
      <c r="D96" t="s">
        <v>634</v>
      </c>
      <c r="E96">
        <v>13</v>
      </c>
      <c r="F96">
        <v>21</v>
      </c>
      <c r="G96">
        <v>1</v>
      </c>
      <c r="H96">
        <v>47</v>
      </c>
      <c r="I96">
        <f>Cocina[[#This Row],[Precio Unitario]]*Cocina[[#This Row],[Cantidad Ordenada]]</f>
        <v>21</v>
      </c>
      <c r="J96">
        <f>(Cocina[[#This Row],[Precio Unitario]]-Cocina[[#This Row],[Costo Unitario]])*Cocina[[#This Row],[Cantidad Ordenada]]</f>
        <v>8</v>
      </c>
      <c r="K96" s="4">
        <f>Cocina[[#This Row],[Ganancia neta]]/_xlfn.XLOOKUP(Cocina[[#This Row],[Número de Orden]],Sala[Número de Orden],Sala[Monto total],"fracaso",0,1)</f>
        <v>0.38095238095238093</v>
      </c>
      <c r="L96" t="s">
        <v>607</v>
      </c>
    </row>
    <row r="97" spans="1:12" x14ac:dyDescent="0.25">
      <c r="A97">
        <v>38</v>
      </c>
      <c r="B97">
        <v>10</v>
      </c>
      <c r="C97" t="s">
        <v>116</v>
      </c>
      <c r="D97" t="s">
        <v>620</v>
      </c>
      <c r="E97">
        <v>19</v>
      </c>
      <c r="F97">
        <v>31</v>
      </c>
      <c r="G97">
        <v>3</v>
      </c>
      <c r="H97">
        <v>21</v>
      </c>
      <c r="I97">
        <f>Cocina[[#This Row],[Precio Unitario]]*Cocina[[#This Row],[Cantidad Ordenada]]</f>
        <v>93</v>
      </c>
      <c r="J97">
        <f>(Cocina[[#This Row],[Precio Unitario]]-Cocina[[#This Row],[Costo Unitario]])*Cocina[[#This Row],[Cantidad Ordenada]]</f>
        <v>36</v>
      </c>
      <c r="K97" s="4">
        <f>Cocina[[#This Row],[Ganancia neta]]/_xlfn.XLOOKUP(Cocina[[#This Row],[Número de Orden]],Sala[Número de Orden],Sala[Monto total],"fracaso",0,1)</f>
        <v>0.15319148936170213</v>
      </c>
      <c r="L97" t="s">
        <v>608</v>
      </c>
    </row>
    <row r="98" spans="1:12" x14ac:dyDescent="0.25">
      <c r="A98">
        <v>38</v>
      </c>
      <c r="B98">
        <v>10</v>
      </c>
      <c r="C98" t="s">
        <v>26</v>
      </c>
      <c r="D98" t="s">
        <v>628</v>
      </c>
      <c r="E98">
        <v>21</v>
      </c>
      <c r="F98">
        <v>35</v>
      </c>
      <c r="G98">
        <v>2</v>
      </c>
      <c r="H98">
        <v>34</v>
      </c>
      <c r="I98">
        <f>Cocina[[#This Row],[Precio Unitario]]*Cocina[[#This Row],[Cantidad Ordenada]]</f>
        <v>70</v>
      </c>
      <c r="J98">
        <f>(Cocina[[#This Row],[Precio Unitario]]-Cocina[[#This Row],[Costo Unitario]])*Cocina[[#This Row],[Cantidad Ordenada]]</f>
        <v>28</v>
      </c>
      <c r="K98" s="4">
        <f>Cocina[[#This Row],[Ganancia neta]]/_xlfn.XLOOKUP(Cocina[[#This Row],[Número de Orden]],Sala[Número de Orden],Sala[Monto total],"fracaso",0,1)</f>
        <v>0.11914893617021277</v>
      </c>
      <c r="L98" t="s">
        <v>607</v>
      </c>
    </row>
    <row r="99" spans="1:12" x14ac:dyDescent="0.25">
      <c r="A99">
        <v>38</v>
      </c>
      <c r="B99">
        <v>10</v>
      </c>
      <c r="C99" t="s">
        <v>73</v>
      </c>
      <c r="D99" t="s">
        <v>623</v>
      </c>
      <c r="E99">
        <v>22</v>
      </c>
      <c r="F99">
        <v>36</v>
      </c>
      <c r="G99">
        <v>2</v>
      </c>
      <c r="H99">
        <v>43</v>
      </c>
      <c r="I99">
        <f>Cocina[[#This Row],[Precio Unitario]]*Cocina[[#This Row],[Cantidad Ordenada]]</f>
        <v>72</v>
      </c>
      <c r="J99">
        <f>(Cocina[[#This Row],[Precio Unitario]]-Cocina[[#This Row],[Costo Unitario]])*Cocina[[#This Row],[Cantidad Ordenada]]</f>
        <v>28</v>
      </c>
      <c r="K99" s="4">
        <f>Cocina[[#This Row],[Ganancia neta]]/_xlfn.XLOOKUP(Cocina[[#This Row],[Número de Orden]],Sala[Número de Orden],Sala[Monto total],"fracaso",0,1)</f>
        <v>0.11914893617021277</v>
      </c>
      <c r="L99" t="s">
        <v>607</v>
      </c>
    </row>
    <row r="100" spans="1:12" x14ac:dyDescent="0.25">
      <c r="A100">
        <v>39</v>
      </c>
      <c r="B100">
        <v>15</v>
      </c>
      <c r="C100" t="s">
        <v>73</v>
      </c>
      <c r="D100" t="s">
        <v>623</v>
      </c>
      <c r="E100">
        <v>22</v>
      </c>
      <c r="F100">
        <v>36</v>
      </c>
      <c r="G100">
        <v>3</v>
      </c>
      <c r="H100">
        <v>57</v>
      </c>
      <c r="I100">
        <f>Cocina[[#This Row],[Precio Unitario]]*Cocina[[#This Row],[Cantidad Ordenada]]</f>
        <v>108</v>
      </c>
      <c r="J100">
        <f>(Cocina[[#This Row],[Precio Unitario]]-Cocina[[#This Row],[Costo Unitario]])*Cocina[[#This Row],[Cantidad Ordenada]]</f>
        <v>42</v>
      </c>
      <c r="K100" s="4">
        <f>Cocina[[#This Row],[Ganancia neta]]/_xlfn.XLOOKUP(Cocina[[#This Row],[Número de Orden]],Sala[Número de Orden],Sala[Monto total],"fracaso",0,1)</f>
        <v>0.3888888888888889</v>
      </c>
      <c r="L100" t="s">
        <v>607</v>
      </c>
    </row>
    <row r="101" spans="1:12" x14ac:dyDescent="0.25">
      <c r="A101">
        <v>40</v>
      </c>
      <c r="B101">
        <v>1</v>
      </c>
      <c r="C101" t="s">
        <v>38</v>
      </c>
      <c r="D101" t="s">
        <v>624</v>
      </c>
      <c r="E101">
        <v>17</v>
      </c>
      <c r="F101">
        <v>29</v>
      </c>
      <c r="G101">
        <v>3</v>
      </c>
      <c r="H101">
        <v>15</v>
      </c>
      <c r="I101">
        <f>Cocina[[#This Row],[Precio Unitario]]*Cocina[[#This Row],[Cantidad Ordenada]]</f>
        <v>87</v>
      </c>
      <c r="J101">
        <f>(Cocina[[#This Row],[Precio Unitario]]-Cocina[[#This Row],[Costo Unitario]])*Cocina[[#This Row],[Cantidad Ordenada]]</f>
        <v>36</v>
      </c>
      <c r="K101" s="4">
        <f>Cocina[[#This Row],[Ganancia neta]]/_xlfn.XLOOKUP(Cocina[[#This Row],[Número de Orden]],Sala[Número de Orden],Sala[Monto total],"fracaso",0,1)</f>
        <v>0.24324324324324326</v>
      </c>
      <c r="L101" t="s">
        <v>608</v>
      </c>
    </row>
    <row r="102" spans="1:12" x14ac:dyDescent="0.25">
      <c r="A102">
        <v>40</v>
      </c>
      <c r="B102">
        <v>1</v>
      </c>
      <c r="C102" t="s">
        <v>261</v>
      </c>
      <c r="D102" t="s">
        <v>625</v>
      </c>
      <c r="E102">
        <v>20</v>
      </c>
      <c r="F102">
        <v>33</v>
      </c>
      <c r="G102">
        <v>1</v>
      </c>
      <c r="H102">
        <v>50</v>
      </c>
      <c r="I102">
        <f>Cocina[[#This Row],[Precio Unitario]]*Cocina[[#This Row],[Cantidad Ordenada]]</f>
        <v>33</v>
      </c>
      <c r="J102">
        <f>(Cocina[[#This Row],[Precio Unitario]]-Cocina[[#This Row],[Costo Unitario]])*Cocina[[#This Row],[Cantidad Ordenada]]</f>
        <v>13</v>
      </c>
      <c r="K102" s="4">
        <f>Cocina[[#This Row],[Ganancia neta]]/_xlfn.XLOOKUP(Cocina[[#This Row],[Número de Orden]],Sala[Número de Orden],Sala[Monto total],"fracaso",0,1)</f>
        <v>8.7837837837837843E-2</v>
      </c>
      <c r="L102" t="s">
        <v>608</v>
      </c>
    </row>
    <row r="103" spans="1:12" x14ac:dyDescent="0.25">
      <c r="A103">
        <v>40</v>
      </c>
      <c r="B103">
        <v>1</v>
      </c>
      <c r="C103" t="s">
        <v>42</v>
      </c>
      <c r="D103" t="s">
        <v>626</v>
      </c>
      <c r="E103">
        <v>16</v>
      </c>
      <c r="F103">
        <v>28</v>
      </c>
      <c r="G103">
        <v>1</v>
      </c>
      <c r="H103">
        <v>13</v>
      </c>
      <c r="I103">
        <f>Cocina[[#This Row],[Precio Unitario]]*Cocina[[#This Row],[Cantidad Ordenada]]</f>
        <v>28</v>
      </c>
      <c r="J103">
        <f>(Cocina[[#This Row],[Precio Unitario]]-Cocina[[#This Row],[Costo Unitario]])*Cocina[[#This Row],[Cantidad Ordenada]]</f>
        <v>12</v>
      </c>
      <c r="K103" s="4">
        <f>Cocina[[#This Row],[Ganancia neta]]/_xlfn.XLOOKUP(Cocina[[#This Row],[Número de Orden]],Sala[Número de Orden],Sala[Monto total],"fracaso",0,1)</f>
        <v>8.1081081081081086E-2</v>
      </c>
      <c r="L103" t="s">
        <v>608</v>
      </c>
    </row>
    <row r="104" spans="1:12" x14ac:dyDescent="0.25">
      <c r="A104">
        <v>41</v>
      </c>
      <c r="B104">
        <v>7</v>
      </c>
      <c r="C104" t="s">
        <v>247</v>
      </c>
      <c r="D104" t="s">
        <v>629</v>
      </c>
      <c r="E104">
        <v>19</v>
      </c>
      <c r="F104">
        <v>32</v>
      </c>
      <c r="G104">
        <v>3</v>
      </c>
      <c r="H104">
        <v>23</v>
      </c>
      <c r="I104">
        <f>Cocina[[#This Row],[Precio Unitario]]*Cocina[[#This Row],[Cantidad Ordenada]]</f>
        <v>96</v>
      </c>
      <c r="J104">
        <f>(Cocina[[#This Row],[Precio Unitario]]-Cocina[[#This Row],[Costo Unitario]])*Cocina[[#This Row],[Cantidad Ordenada]]</f>
        <v>39</v>
      </c>
      <c r="K104" s="4">
        <f>Cocina[[#This Row],[Ganancia neta]]/_xlfn.XLOOKUP(Cocina[[#This Row],[Número de Orden]],Sala[Número de Orden],Sala[Monto total],"fracaso",0,1)</f>
        <v>0.19117647058823528</v>
      </c>
      <c r="L104" t="s">
        <v>608</v>
      </c>
    </row>
    <row r="105" spans="1:12" x14ac:dyDescent="0.25">
      <c r="A105">
        <v>41</v>
      </c>
      <c r="B105">
        <v>7</v>
      </c>
      <c r="C105" t="s">
        <v>155</v>
      </c>
      <c r="D105" t="s">
        <v>636</v>
      </c>
      <c r="E105">
        <v>15</v>
      </c>
      <c r="F105">
        <v>26</v>
      </c>
      <c r="G105">
        <v>3</v>
      </c>
      <c r="H105">
        <v>47</v>
      </c>
      <c r="I105">
        <f>Cocina[[#This Row],[Precio Unitario]]*Cocina[[#This Row],[Cantidad Ordenada]]</f>
        <v>78</v>
      </c>
      <c r="J105">
        <f>(Cocina[[#This Row],[Precio Unitario]]-Cocina[[#This Row],[Costo Unitario]])*Cocina[[#This Row],[Cantidad Ordenada]]</f>
        <v>33</v>
      </c>
      <c r="K105" s="4">
        <f>Cocina[[#This Row],[Ganancia neta]]/_xlfn.XLOOKUP(Cocina[[#This Row],[Número de Orden]],Sala[Número de Orden],Sala[Monto total],"fracaso",0,1)</f>
        <v>0.16176470588235295</v>
      </c>
      <c r="L105" t="s">
        <v>608</v>
      </c>
    </row>
    <row r="106" spans="1:12" x14ac:dyDescent="0.25">
      <c r="A106">
        <v>41</v>
      </c>
      <c r="B106">
        <v>7</v>
      </c>
      <c r="C106" t="s">
        <v>68</v>
      </c>
      <c r="D106" t="s">
        <v>619</v>
      </c>
      <c r="E106">
        <v>18</v>
      </c>
      <c r="F106">
        <v>30</v>
      </c>
      <c r="G106">
        <v>1</v>
      </c>
      <c r="H106">
        <v>19</v>
      </c>
      <c r="I106">
        <f>Cocina[[#This Row],[Precio Unitario]]*Cocina[[#This Row],[Cantidad Ordenada]]</f>
        <v>30</v>
      </c>
      <c r="J106">
        <f>(Cocina[[#This Row],[Precio Unitario]]-Cocina[[#This Row],[Costo Unitario]])*Cocina[[#This Row],[Cantidad Ordenada]]</f>
        <v>12</v>
      </c>
      <c r="K106" s="4">
        <f>Cocina[[#This Row],[Ganancia neta]]/_xlfn.XLOOKUP(Cocina[[#This Row],[Número de Orden]],Sala[Número de Orden],Sala[Monto total],"fracaso",0,1)</f>
        <v>5.8823529411764705E-2</v>
      </c>
      <c r="L106" t="s">
        <v>608</v>
      </c>
    </row>
    <row r="107" spans="1:12" x14ac:dyDescent="0.25">
      <c r="A107">
        <v>42</v>
      </c>
      <c r="B107">
        <v>14</v>
      </c>
      <c r="C107" t="s">
        <v>203</v>
      </c>
      <c r="D107" t="s">
        <v>630</v>
      </c>
      <c r="E107">
        <v>13</v>
      </c>
      <c r="F107">
        <v>22</v>
      </c>
      <c r="G107">
        <v>1</v>
      </c>
      <c r="H107">
        <v>57</v>
      </c>
      <c r="I107">
        <f>Cocina[[#This Row],[Precio Unitario]]*Cocina[[#This Row],[Cantidad Ordenada]]</f>
        <v>22</v>
      </c>
      <c r="J107">
        <f>(Cocina[[#This Row],[Precio Unitario]]-Cocina[[#This Row],[Costo Unitario]])*Cocina[[#This Row],[Cantidad Ordenada]]</f>
        <v>9</v>
      </c>
      <c r="K107" s="4">
        <f>Cocina[[#This Row],[Ganancia neta]]/_xlfn.XLOOKUP(Cocina[[#This Row],[Número de Orden]],Sala[Número de Orden],Sala[Monto total],"fracaso",0,1)</f>
        <v>8.8235294117647065E-2</v>
      </c>
      <c r="L107" t="s">
        <v>608</v>
      </c>
    </row>
    <row r="108" spans="1:12" x14ac:dyDescent="0.25">
      <c r="A108">
        <v>42</v>
      </c>
      <c r="B108">
        <v>14</v>
      </c>
      <c r="C108" t="s">
        <v>48</v>
      </c>
      <c r="D108" t="s">
        <v>622</v>
      </c>
      <c r="E108">
        <v>25</v>
      </c>
      <c r="F108">
        <v>40</v>
      </c>
      <c r="G108">
        <v>2</v>
      </c>
      <c r="H108">
        <v>12</v>
      </c>
      <c r="I108">
        <f>Cocina[[#This Row],[Precio Unitario]]*Cocina[[#This Row],[Cantidad Ordenada]]</f>
        <v>80</v>
      </c>
      <c r="J108">
        <f>(Cocina[[#This Row],[Precio Unitario]]-Cocina[[#This Row],[Costo Unitario]])*Cocina[[#This Row],[Cantidad Ordenada]]</f>
        <v>30</v>
      </c>
      <c r="K108" s="4">
        <f>Cocina[[#This Row],[Ganancia neta]]/_xlfn.XLOOKUP(Cocina[[#This Row],[Número de Orden]],Sala[Número de Orden],Sala[Monto total],"fracaso",0,1)</f>
        <v>0.29411764705882354</v>
      </c>
      <c r="L108" t="s">
        <v>608</v>
      </c>
    </row>
    <row r="109" spans="1:12" x14ac:dyDescent="0.25">
      <c r="A109">
        <v>43</v>
      </c>
      <c r="B109">
        <v>8</v>
      </c>
      <c r="C109" t="s">
        <v>247</v>
      </c>
      <c r="D109" t="s">
        <v>629</v>
      </c>
      <c r="E109">
        <v>19</v>
      </c>
      <c r="F109">
        <v>32</v>
      </c>
      <c r="G109">
        <v>1</v>
      </c>
      <c r="H109">
        <v>6</v>
      </c>
      <c r="I109">
        <f>Cocina[[#This Row],[Precio Unitario]]*Cocina[[#This Row],[Cantidad Ordenada]]</f>
        <v>32</v>
      </c>
      <c r="J109">
        <f>(Cocina[[#This Row],[Precio Unitario]]-Cocina[[#This Row],[Costo Unitario]])*Cocina[[#This Row],[Cantidad Ordenada]]</f>
        <v>13</v>
      </c>
      <c r="K109" s="4">
        <f>Cocina[[#This Row],[Ganancia neta]]/_xlfn.XLOOKUP(Cocina[[#This Row],[Número de Orden]],Sala[Número de Orden],Sala[Monto total],"fracaso",0,1)</f>
        <v>6.4039408866995079E-2</v>
      </c>
      <c r="L109" t="s">
        <v>608</v>
      </c>
    </row>
    <row r="110" spans="1:12" x14ac:dyDescent="0.25">
      <c r="A110">
        <v>43</v>
      </c>
      <c r="B110">
        <v>8</v>
      </c>
      <c r="C110" t="s">
        <v>55</v>
      </c>
      <c r="D110" t="s">
        <v>631</v>
      </c>
      <c r="E110">
        <v>20</v>
      </c>
      <c r="F110">
        <v>34</v>
      </c>
      <c r="G110">
        <v>2</v>
      </c>
      <c r="H110">
        <v>59</v>
      </c>
      <c r="I110">
        <f>Cocina[[#This Row],[Precio Unitario]]*Cocina[[#This Row],[Cantidad Ordenada]]</f>
        <v>68</v>
      </c>
      <c r="J110">
        <f>(Cocina[[#This Row],[Precio Unitario]]-Cocina[[#This Row],[Costo Unitario]])*Cocina[[#This Row],[Cantidad Ordenada]]</f>
        <v>28</v>
      </c>
      <c r="K110" s="4">
        <f>Cocina[[#This Row],[Ganancia neta]]/_xlfn.XLOOKUP(Cocina[[#This Row],[Número de Orden]],Sala[Número de Orden],Sala[Monto total],"fracaso",0,1)</f>
        <v>0.13793103448275862</v>
      </c>
      <c r="L110" t="s">
        <v>608</v>
      </c>
    </row>
    <row r="111" spans="1:12" x14ac:dyDescent="0.25">
      <c r="A111">
        <v>43</v>
      </c>
      <c r="B111">
        <v>8</v>
      </c>
      <c r="C111" t="s">
        <v>158</v>
      </c>
      <c r="D111" t="s">
        <v>617</v>
      </c>
      <c r="E111">
        <v>14</v>
      </c>
      <c r="F111">
        <v>24</v>
      </c>
      <c r="G111">
        <v>3</v>
      </c>
      <c r="H111">
        <v>57</v>
      </c>
      <c r="I111">
        <f>Cocina[[#This Row],[Precio Unitario]]*Cocina[[#This Row],[Cantidad Ordenada]]</f>
        <v>72</v>
      </c>
      <c r="J111">
        <f>(Cocina[[#This Row],[Precio Unitario]]-Cocina[[#This Row],[Costo Unitario]])*Cocina[[#This Row],[Cantidad Ordenada]]</f>
        <v>30</v>
      </c>
      <c r="K111" s="4">
        <f>Cocina[[#This Row],[Ganancia neta]]/_xlfn.XLOOKUP(Cocina[[#This Row],[Número de Orden]],Sala[Número de Orden],Sala[Monto total],"fracaso",0,1)</f>
        <v>0.14778325123152711</v>
      </c>
      <c r="L111" t="s">
        <v>607</v>
      </c>
    </row>
    <row r="112" spans="1:12" x14ac:dyDescent="0.25">
      <c r="A112">
        <v>43</v>
      </c>
      <c r="B112">
        <v>8</v>
      </c>
      <c r="C112" t="s">
        <v>116</v>
      </c>
      <c r="D112" t="s">
        <v>620</v>
      </c>
      <c r="E112">
        <v>19</v>
      </c>
      <c r="F112">
        <v>31</v>
      </c>
      <c r="G112">
        <v>1</v>
      </c>
      <c r="H112">
        <v>24</v>
      </c>
      <c r="I112">
        <f>Cocina[[#This Row],[Precio Unitario]]*Cocina[[#This Row],[Cantidad Ordenada]]</f>
        <v>31</v>
      </c>
      <c r="J112">
        <f>(Cocina[[#This Row],[Precio Unitario]]-Cocina[[#This Row],[Costo Unitario]])*Cocina[[#This Row],[Cantidad Ordenada]]</f>
        <v>12</v>
      </c>
      <c r="K112" s="4">
        <f>Cocina[[#This Row],[Ganancia neta]]/_xlfn.XLOOKUP(Cocina[[#This Row],[Número de Orden]],Sala[Número de Orden],Sala[Monto total],"fracaso",0,1)</f>
        <v>5.9113300492610835E-2</v>
      </c>
      <c r="L112" t="s">
        <v>607</v>
      </c>
    </row>
    <row r="113" spans="1:12" x14ac:dyDescent="0.25">
      <c r="A113">
        <v>44</v>
      </c>
      <c r="B113">
        <v>18</v>
      </c>
      <c r="C113" t="s">
        <v>155</v>
      </c>
      <c r="D113" t="s">
        <v>636</v>
      </c>
      <c r="E113">
        <v>15</v>
      </c>
      <c r="F113">
        <v>26</v>
      </c>
      <c r="G113">
        <v>1</v>
      </c>
      <c r="H113">
        <v>34</v>
      </c>
      <c r="I113">
        <f>Cocina[[#This Row],[Precio Unitario]]*Cocina[[#This Row],[Cantidad Ordenada]]</f>
        <v>26</v>
      </c>
      <c r="J113">
        <f>(Cocina[[#This Row],[Precio Unitario]]-Cocina[[#This Row],[Costo Unitario]])*Cocina[[#This Row],[Cantidad Ordenada]]</f>
        <v>11</v>
      </c>
      <c r="K113" s="4">
        <f>Cocina[[#This Row],[Ganancia neta]]/_xlfn.XLOOKUP(Cocina[[#This Row],[Número de Orden]],Sala[Número de Orden],Sala[Monto total],"fracaso",0,1)</f>
        <v>9.0163934426229511E-2</v>
      </c>
      <c r="L113" t="s">
        <v>608</v>
      </c>
    </row>
    <row r="114" spans="1:12" x14ac:dyDescent="0.25">
      <c r="A114">
        <v>44</v>
      </c>
      <c r="B114">
        <v>18</v>
      </c>
      <c r="C114" t="s">
        <v>122</v>
      </c>
      <c r="D114" t="s">
        <v>637</v>
      </c>
      <c r="E114">
        <v>15</v>
      </c>
      <c r="F114">
        <v>25</v>
      </c>
      <c r="G114">
        <v>3</v>
      </c>
      <c r="H114">
        <v>8</v>
      </c>
      <c r="I114">
        <f>Cocina[[#This Row],[Precio Unitario]]*Cocina[[#This Row],[Cantidad Ordenada]]</f>
        <v>75</v>
      </c>
      <c r="J114">
        <f>(Cocina[[#This Row],[Precio Unitario]]-Cocina[[#This Row],[Costo Unitario]])*Cocina[[#This Row],[Cantidad Ordenada]]</f>
        <v>30</v>
      </c>
      <c r="K114" s="4">
        <f>Cocina[[#This Row],[Ganancia neta]]/_xlfn.XLOOKUP(Cocina[[#This Row],[Número de Orden]],Sala[Número de Orden],Sala[Monto total],"fracaso",0,1)</f>
        <v>0.24590163934426229</v>
      </c>
      <c r="L114" t="s">
        <v>607</v>
      </c>
    </row>
    <row r="115" spans="1:12" x14ac:dyDescent="0.25">
      <c r="A115">
        <v>44</v>
      </c>
      <c r="B115">
        <v>18</v>
      </c>
      <c r="C115" t="s">
        <v>70</v>
      </c>
      <c r="D115" t="s">
        <v>634</v>
      </c>
      <c r="E115">
        <v>13</v>
      </c>
      <c r="F115">
        <v>21</v>
      </c>
      <c r="G115">
        <v>1</v>
      </c>
      <c r="H115">
        <v>43</v>
      </c>
      <c r="I115">
        <f>Cocina[[#This Row],[Precio Unitario]]*Cocina[[#This Row],[Cantidad Ordenada]]</f>
        <v>21</v>
      </c>
      <c r="J115">
        <f>(Cocina[[#This Row],[Precio Unitario]]-Cocina[[#This Row],[Costo Unitario]])*Cocina[[#This Row],[Cantidad Ordenada]]</f>
        <v>8</v>
      </c>
      <c r="K115" s="4">
        <f>Cocina[[#This Row],[Ganancia neta]]/_xlfn.XLOOKUP(Cocina[[#This Row],[Número de Orden]],Sala[Número de Orden],Sala[Monto total],"fracaso",0,1)</f>
        <v>6.5573770491803282E-2</v>
      </c>
      <c r="L115" t="s">
        <v>607</v>
      </c>
    </row>
    <row r="116" spans="1:12" x14ac:dyDescent="0.25">
      <c r="A116">
        <v>45</v>
      </c>
      <c r="B116">
        <v>17</v>
      </c>
      <c r="C116" t="s">
        <v>79</v>
      </c>
      <c r="D116" t="s">
        <v>635</v>
      </c>
      <c r="E116">
        <v>10</v>
      </c>
      <c r="F116">
        <v>18</v>
      </c>
      <c r="G116">
        <v>3</v>
      </c>
      <c r="H116">
        <v>47</v>
      </c>
      <c r="I116">
        <f>Cocina[[#This Row],[Precio Unitario]]*Cocina[[#This Row],[Cantidad Ordenada]]</f>
        <v>54</v>
      </c>
      <c r="J116">
        <f>(Cocina[[#This Row],[Precio Unitario]]-Cocina[[#This Row],[Costo Unitario]])*Cocina[[#This Row],[Cantidad Ordenada]]</f>
        <v>24</v>
      </c>
      <c r="K116" s="4">
        <f>Cocina[[#This Row],[Ganancia neta]]/_xlfn.XLOOKUP(Cocina[[#This Row],[Número de Orden]],Sala[Número de Orden],Sala[Monto total],"fracaso",0,1)</f>
        <v>0.44444444444444442</v>
      </c>
      <c r="L116" t="s">
        <v>607</v>
      </c>
    </row>
    <row r="117" spans="1:12" x14ac:dyDescent="0.25">
      <c r="A117">
        <v>46</v>
      </c>
      <c r="B117">
        <v>10</v>
      </c>
      <c r="C117" t="s">
        <v>68</v>
      </c>
      <c r="D117" t="s">
        <v>619</v>
      </c>
      <c r="E117">
        <v>18</v>
      </c>
      <c r="F117">
        <v>30</v>
      </c>
      <c r="G117">
        <v>2</v>
      </c>
      <c r="H117">
        <v>23</v>
      </c>
      <c r="I117">
        <f>Cocina[[#This Row],[Precio Unitario]]*Cocina[[#This Row],[Cantidad Ordenada]]</f>
        <v>60</v>
      </c>
      <c r="J117">
        <f>(Cocina[[#This Row],[Precio Unitario]]-Cocina[[#This Row],[Costo Unitario]])*Cocina[[#This Row],[Cantidad Ordenada]]</f>
        <v>24</v>
      </c>
      <c r="K117" s="4">
        <f>Cocina[[#This Row],[Ganancia neta]]/_xlfn.XLOOKUP(Cocina[[#This Row],[Número de Orden]],Sala[Número de Orden],Sala[Monto total],"fracaso",0,1)</f>
        <v>0.17142857142857143</v>
      </c>
      <c r="L117" t="s">
        <v>608</v>
      </c>
    </row>
    <row r="118" spans="1:12" x14ac:dyDescent="0.25">
      <c r="A118">
        <v>46</v>
      </c>
      <c r="B118">
        <v>10</v>
      </c>
      <c r="C118" t="s">
        <v>55</v>
      </c>
      <c r="D118" t="s">
        <v>631</v>
      </c>
      <c r="E118">
        <v>20</v>
      </c>
      <c r="F118">
        <v>34</v>
      </c>
      <c r="G118">
        <v>1</v>
      </c>
      <c r="H118">
        <v>48</v>
      </c>
      <c r="I118">
        <f>Cocina[[#This Row],[Precio Unitario]]*Cocina[[#This Row],[Cantidad Ordenada]]</f>
        <v>34</v>
      </c>
      <c r="J118">
        <f>(Cocina[[#This Row],[Precio Unitario]]-Cocina[[#This Row],[Costo Unitario]])*Cocina[[#This Row],[Cantidad Ordenada]]</f>
        <v>14</v>
      </c>
      <c r="K118" s="4">
        <f>Cocina[[#This Row],[Ganancia neta]]/_xlfn.XLOOKUP(Cocina[[#This Row],[Número de Orden]],Sala[Número de Orden],Sala[Monto total],"fracaso",0,1)</f>
        <v>0.1</v>
      </c>
      <c r="L118" t="s">
        <v>608</v>
      </c>
    </row>
    <row r="119" spans="1:12" x14ac:dyDescent="0.25">
      <c r="A119">
        <v>46</v>
      </c>
      <c r="B119">
        <v>10</v>
      </c>
      <c r="C119" t="s">
        <v>200</v>
      </c>
      <c r="D119" t="s">
        <v>633</v>
      </c>
      <c r="E119">
        <v>14</v>
      </c>
      <c r="F119">
        <v>23</v>
      </c>
      <c r="G119">
        <v>2</v>
      </c>
      <c r="H119">
        <v>15</v>
      </c>
      <c r="I119">
        <f>Cocina[[#This Row],[Precio Unitario]]*Cocina[[#This Row],[Cantidad Ordenada]]</f>
        <v>46</v>
      </c>
      <c r="J119">
        <f>(Cocina[[#This Row],[Precio Unitario]]-Cocina[[#This Row],[Costo Unitario]])*Cocina[[#This Row],[Cantidad Ordenada]]</f>
        <v>18</v>
      </c>
      <c r="K119" s="4">
        <f>Cocina[[#This Row],[Ganancia neta]]/_xlfn.XLOOKUP(Cocina[[#This Row],[Número de Orden]],Sala[Número de Orden],Sala[Monto total],"fracaso",0,1)</f>
        <v>0.12857142857142856</v>
      </c>
      <c r="L119" t="s">
        <v>607</v>
      </c>
    </row>
    <row r="120" spans="1:12" x14ac:dyDescent="0.25">
      <c r="A120">
        <v>47</v>
      </c>
      <c r="B120">
        <v>18</v>
      </c>
      <c r="C120" t="s">
        <v>261</v>
      </c>
      <c r="D120" t="s">
        <v>625</v>
      </c>
      <c r="E120">
        <v>20</v>
      </c>
      <c r="F120">
        <v>33</v>
      </c>
      <c r="G120">
        <v>2</v>
      </c>
      <c r="H120">
        <v>56</v>
      </c>
      <c r="I120">
        <f>Cocina[[#This Row],[Precio Unitario]]*Cocina[[#This Row],[Cantidad Ordenada]]</f>
        <v>66</v>
      </c>
      <c r="J120">
        <f>(Cocina[[#This Row],[Precio Unitario]]-Cocina[[#This Row],[Costo Unitario]])*Cocina[[#This Row],[Cantidad Ordenada]]</f>
        <v>26</v>
      </c>
      <c r="K120" s="4">
        <f>Cocina[[#This Row],[Ganancia neta]]/_xlfn.XLOOKUP(Cocina[[#This Row],[Número de Orden]],Sala[Número de Orden],Sala[Monto total],"fracaso",0,1)</f>
        <v>0.23853211009174313</v>
      </c>
      <c r="L120" t="s">
        <v>607</v>
      </c>
    </row>
    <row r="121" spans="1:12" x14ac:dyDescent="0.25">
      <c r="A121">
        <v>47</v>
      </c>
      <c r="B121">
        <v>18</v>
      </c>
      <c r="C121" t="s">
        <v>200</v>
      </c>
      <c r="D121" t="s">
        <v>633</v>
      </c>
      <c r="E121">
        <v>14</v>
      </c>
      <c r="F121">
        <v>23</v>
      </c>
      <c r="G121">
        <v>1</v>
      </c>
      <c r="H121">
        <v>17</v>
      </c>
      <c r="I121">
        <f>Cocina[[#This Row],[Precio Unitario]]*Cocina[[#This Row],[Cantidad Ordenada]]</f>
        <v>23</v>
      </c>
      <c r="J121">
        <f>(Cocina[[#This Row],[Precio Unitario]]-Cocina[[#This Row],[Costo Unitario]])*Cocina[[#This Row],[Cantidad Ordenada]]</f>
        <v>9</v>
      </c>
      <c r="K121" s="4">
        <f>Cocina[[#This Row],[Ganancia neta]]/_xlfn.XLOOKUP(Cocina[[#This Row],[Número de Orden]],Sala[Número de Orden],Sala[Monto total],"fracaso",0,1)</f>
        <v>8.2568807339449546E-2</v>
      </c>
      <c r="L121" t="s">
        <v>608</v>
      </c>
    </row>
    <row r="122" spans="1:12" x14ac:dyDescent="0.25">
      <c r="A122">
        <v>47</v>
      </c>
      <c r="B122">
        <v>18</v>
      </c>
      <c r="C122" t="s">
        <v>146</v>
      </c>
      <c r="D122" t="s">
        <v>632</v>
      </c>
      <c r="E122">
        <v>12</v>
      </c>
      <c r="F122">
        <v>20</v>
      </c>
      <c r="G122">
        <v>1</v>
      </c>
      <c r="H122">
        <v>14</v>
      </c>
      <c r="I122">
        <f>Cocina[[#This Row],[Precio Unitario]]*Cocina[[#This Row],[Cantidad Ordenada]]</f>
        <v>20</v>
      </c>
      <c r="J122">
        <f>(Cocina[[#This Row],[Precio Unitario]]-Cocina[[#This Row],[Costo Unitario]])*Cocina[[#This Row],[Cantidad Ordenada]]</f>
        <v>8</v>
      </c>
      <c r="K122" s="4">
        <f>Cocina[[#This Row],[Ganancia neta]]/_xlfn.XLOOKUP(Cocina[[#This Row],[Número de Orden]],Sala[Número de Orden],Sala[Monto total],"fracaso",0,1)</f>
        <v>7.3394495412844041E-2</v>
      </c>
      <c r="L122" t="s">
        <v>608</v>
      </c>
    </row>
    <row r="123" spans="1:12" x14ac:dyDescent="0.25">
      <c r="A123">
        <v>48</v>
      </c>
      <c r="B123">
        <v>17</v>
      </c>
      <c r="C123" t="s">
        <v>106</v>
      </c>
      <c r="D123" t="s">
        <v>621</v>
      </c>
      <c r="E123">
        <v>16</v>
      </c>
      <c r="F123">
        <v>27</v>
      </c>
      <c r="G123">
        <v>3</v>
      </c>
      <c r="H123">
        <v>37</v>
      </c>
      <c r="I123">
        <f>Cocina[[#This Row],[Precio Unitario]]*Cocina[[#This Row],[Cantidad Ordenada]]</f>
        <v>81</v>
      </c>
      <c r="J123">
        <f>(Cocina[[#This Row],[Precio Unitario]]-Cocina[[#This Row],[Costo Unitario]])*Cocina[[#This Row],[Cantidad Ordenada]]</f>
        <v>33</v>
      </c>
      <c r="K123" s="4">
        <f>Cocina[[#This Row],[Ganancia neta]]/_xlfn.XLOOKUP(Cocina[[#This Row],[Número de Orden]],Sala[Número de Orden],Sala[Monto total],"fracaso",0,1)</f>
        <v>0.20886075949367089</v>
      </c>
      <c r="L123" t="s">
        <v>608</v>
      </c>
    </row>
    <row r="124" spans="1:12" x14ac:dyDescent="0.25">
      <c r="A124">
        <v>48</v>
      </c>
      <c r="B124">
        <v>17</v>
      </c>
      <c r="C124" t="s">
        <v>203</v>
      </c>
      <c r="D124" t="s">
        <v>630</v>
      </c>
      <c r="E124">
        <v>13</v>
      </c>
      <c r="F124">
        <v>22</v>
      </c>
      <c r="G124">
        <v>2</v>
      </c>
      <c r="H124">
        <v>55</v>
      </c>
      <c r="I124">
        <f>Cocina[[#This Row],[Precio Unitario]]*Cocina[[#This Row],[Cantidad Ordenada]]</f>
        <v>44</v>
      </c>
      <c r="J124">
        <f>(Cocina[[#This Row],[Precio Unitario]]-Cocina[[#This Row],[Costo Unitario]])*Cocina[[#This Row],[Cantidad Ordenada]]</f>
        <v>18</v>
      </c>
      <c r="K124" s="4">
        <f>Cocina[[#This Row],[Ganancia neta]]/_xlfn.XLOOKUP(Cocina[[#This Row],[Número de Orden]],Sala[Número de Orden],Sala[Monto total],"fracaso",0,1)</f>
        <v>0.11392405063291139</v>
      </c>
      <c r="L124" t="s">
        <v>607</v>
      </c>
    </row>
    <row r="125" spans="1:12" x14ac:dyDescent="0.25">
      <c r="A125">
        <v>48</v>
      </c>
      <c r="B125">
        <v>17</v>
      </c>
      <c r="C125" t="s">
        <v>261</v>
      </c>
      <c r="D125" t="s">
        <v>625</v>
      </c>
      <c r="E125">
        <v>20</v>
      </c>
      <c r="F125">
        <v>33</v>
      </c>
      <c r="G125">
        <v>1</v>
      </c>
      <c r="H125">
        <v>32</v>
      </c>
      <c r="I125">
        <f>Cocina[[#This Row],[Precio Unitario]]*Cocina[[#This Row],[Cantidad Ordenada]]</f>
        <v>33</v>
      </c>
      <c r="J125">
        <f>(Cocina[[#This Row],[Precio Unitario]]-Cocina[[#This Row],[Costo Unitario]])*Cocina[[#This Row],[Cantidad Ordenada]]</f>
        <v>13</v>
      </c>
      <c r="K125" s="4">
        <f>Cocina[[#This Row],[Ganancia neta]]/_xlfn.XLOOKUP(Cocina[[#This Row],[Número de Orden]],Sala[Número de Orden],Sala[Monto total],"fracaso",0,1)</f>
        <v>8.2278481012658222E-2</v>
      </c>
      <c r="L125" t="s">
        <v>608</v>
      </c>
    </row>
    <row r="126" spans="1:12" x14ac:dyDescent="0.25">
      <c r="A126">
        <v>49</v>
      </c>
      <c r="B126">
        <v>8</v>
      </c>
      <c r="C126" t="s">
        <v>158</v>
      </c>
      <c r="D126" t="s">
        <v>617</v>
      </c>
      <c r="E126">
        <v>14</v>
      </c>
      <c r="F126">
        <v>24</v>
      </c>
      <c r="G126">
        <v>3</v>
      </c>
      <c r="H126">
        <v>9</v>
      </c>
      <c r="I126">
        <f>Cocina[[#This Row],[Precio Unitario]]*Cocina[[#This Row],[Cantidad Ordenada]]</f>
        <v>72</v>
      </c>
      <c r="J126">
        <f>(Cocina[[#This Row],[Precio Unitario]]-Cocina[[#This Row],[Costo Unitario]])*Cocina[[#This Row],[Cantidad Ordenada]]</f>
        <v>30</v>
      </c>
      <c r="K126" s="4">
        <f>Cocina[[#This Row],[Ganancia neta]]/_xlfn.XLOOKUP(Cocina[[#This Row],[Número de Orden]],Sala[Número de Orden],Sala[Monto total],"fracaso",0,1)</f>
        <v>0.16129032258064516</v>
      </c>
      <c r="L126" t="s">
        <v>607</v>
      </c>
    </row>
    <row r="127" spans="1:12" x14ac:dyDescent="0.25">
      <c r="A127">
        <v>49</v>
      </c>
      <c r="B127">
        <v>8</v>
      </c>
      <c r="C127" t="s">
        <v>247</v>
      </c>
      <c r="D127" t="s">
        <v>629</v>
      </c>
      <c r="E127">
        <v>19</v>
      </c>
      <c r="F127">
        <v>32</v>
      </c>
      <c r="G127">
        <v>3</v>
      </c>
      <c r="H127">
        <v>27</v>
      </c>
      <c r="I127">
        <f>Cocina[[#This Row],[Precio Unitario]]*Cocina[[#This Row],[Cantidad Ordenada]]</f>
        <v>96</v>
      </c>
      <c r="J127">
        <f>(Cocina[[#This Row],[Precio Unitario]]-Cocina[[#This Row],[Costo Unitario]])*Cocina[[#This Row],[Cantidad Ordenada]]</f>
        <v>39</v>
      </c>
      <c r="K127" s="4">
        <f>Cocina[[#This Row],[Ganancia neta]]/_xlfn.XLOOKUP(Cocina[[#This Row],[Número de Orden]],Sala[Número de Orden],Sala[Monto total],"fracaso",0,1)</f>
        <v>0.20967741935483872</v>
      </c>
      <c r="L127" t="s">
        <v>607</v>
      </c>
    </row>
    <row r="128" spans="1:12" x14ac:dyDescent="0.25">
      <c r="A128">
        <v>49</v>
      </c>
      <c r="B128">
        <v>8</v>
      </c>
      <c r="C128" t="s">
        <v>79</v>
      </c>
      <c r="D128" t="s">
        <v>635</v>
      </c>
      <c r="E128">
        <v>10</v>
      </c>
      <c r="F128">
        <v>18</v>
      </c>
      <c r="G128">
        <v>1</v>
      </c>
      <c r="H128">
        <v>45</v>
      </c>
      <c r="I128">
        <f>Cocina[[#This Row],[Precio Unitario]]*Cocina[[#This Row],[Cantidad Ordenada]]</f>
        <v>18</v>
      </c>
      <c r="J128">
        <f>(Cocina[[#This Row],[Precio Unitario]]-Cocina[[#This Row],[Costo Unitario]])*Cocina[[#This Row],[Cantidad Ordenada]]</f>
        <v>8</v>
      </c>
      <c r="K128" s="4">
        <f>Cocina[[#This Row],[Ganancia neta]]/_xlfn.XLOOKUP(Cocina[[#This Row],[Número de Orden]],Sala[Número de Orden],Sala[Monto total],"fracaso",0,1)</f>
        <v>4.3010752688172046E-2</v>
      </c>
      <c r="L128" t="s">
        <v>608</v>
      </c>
    </row>
    <row r="129" spans="1:12" x14ac:dyDescent="0.25">
      <c r="A129">
        <v>50</v>
      </c>
      <c r="B129">
        <v>19</v>
      </c>
      <c r="C129" t="s">
        <v>247</v>
      </c>
      <c r="D129" t="s">
        <v>629</v>
      </c>
      <c r="E129">
        <v>19</v>
      </c>
      <c r="F129">
        <v>32</v>
      </c>
      <c r="G129">
        <v>1</v>
      </c>
      <c r="H129">
        <v>6</v>
      </c>
      <c r="I129">
        <f>Cocina[[#This Row],[Precio Unitario]]*Cocina[[#This Row],[Cantidad Ordenada]]</f>
        <v>32</v>
      </c>
      <c r="J129">
        <f>(Cocina[[#This Row],[Precio Unitario]]-Cocina[[#This Row],[Costo Unitario]])*Cocina[[#This Row],[Cantidad Ordenada]]</f>
        <v>13</v>
      </c>
      <c r="K129" s="4">
        <f>Cocina[[#This Row],[Ganancia neta]]/_xlfn.XLOOKUP(Cocina[[#This Row],[Número de Orden]],Sala[Número de Orden],Sala[Monto total],"fracaso",0,1)</f>
        <v>0.17105263157894737</v>
      </c>
      <c r="L129" t="s">
        <v>607</v>
      </c>
    </row>
    <row r="130" spans="1:12" x14ac:dyDescent="0.25">
      <c r="A130">
        <v>50</v>
      </c>
      <c r="B130">
        <v>19</v>
      </c>
      <c r="C130" t="s">
        <v>203</v>
      </c>
      <c r="D130" t="s">
        <v>630</v>
      </c>
      <c r="E130">
        <v>13</v>
      </c>
      <c r="F130">
        <v>22</v>
      </c>
      <c r="G130">
        <v>2</v>
      </c>
      <c r="H130">
        <v>15</v>
      </c>
      <c r="I130">
        <f>Cocina[[#This Row],[Precio Unitario]]*Cocina[[#This Row],[Cantidad Ordenada]]</f>
        <v>44</v>
      </c>
      <c r="J130">
        <f>(Cocina[[#This Row],[Precio Unitario]]-Cocina[[#This Row],[Costo Unitario]])*Cocina[[#This Row],[Cantidad Ordenada]]</f>
        <v>18</v>
      </c>
      <c r="K130" s="4">
        <f>Cocina[[#This Row],[Ganancia neta]]/_xlfn.XLOOKUP(Cocina[[#This Row],[Número de Orden]],Sala[Número de Orden],Sala[Monto total],"fracaso",0,1)</f>
        <v>0.23684210526315788</v>
      </c>
      <c r="L130" t="s">
        <v>607</v>
      </c>
    </row>
    <row r="131" spans="1:12" x14ac:dyDescent="0.25">
      <c r="A131">
        <v>51</v>
      </c>
      <c r="B131">
        <v>12</v>
      </c>
      <c r="C131" t="s">
        <v>200</v>
      </c>
      <c r="D131" t="s">
        <v>633</v>
      </c>
      <c r="E131">
        <v>14</v>
      </c>
      <c r="F131">
        <v>23</v>
      </c>
      <c r="G131">
        <v>2</v>
      </c>
      <c r="H131">
        <v>33</v>
      </c>
      <c r="I131">
        <f>Cocina[[#This Row],[Precio Unitario]]*Cocina[[#This Row],[Cantidad Ordenada]]</f>
        <v>46</v>
      </c>
      <c r="J131">
        <f>(Cocina[[#This Row],[Precio Unitario]]-Cocina[[#This Row],[Costo Unitario]])*Cocina[[#This Row],[Cantidad Ordenada]]</f>
        <v>18</v>
      </c>
      <c r="K131" s="4">
        <f>Cocina[[#This Row],[Ganancia neta]]/_xlfn.XLOOKUP(Cocina[[#This Row],[Número de Orden]],Sala[Número de Orden],Sala[Monto total],"fracaso",0,1)</f>
        <v>0.08</v>
      </c>
      <c r="L131" t="s">
        <v>608</v>
      </c>
    </row>
    <row r="132" spans="1:12" x14ac:dyDescent="0.25">
      <c r="A132">
        <v>51</v>
      </c>
      <c r="B132">
        <v>12</v>
      </c>
      <c r="C132" t="s">
        <v>261</v>
      </c>
      <c r="D132" t="s">
        <v>625</v>
      </c>
      <c r="E132">
        <v>20</v>
      </c>
      <c r="F132">
        <v>33</v>
      </c>
      <c r="G132">
        <v>3</v>
      </c>
      <c r="H132">
        <v>56</v>
      </c>
      <c r="I132">
        <f>Cocina[[#This Row],[Precio Unitario]]*Cocina[[#This Row],[Cantidad Ordenada]]</f>
        <v>99</v>
      </c>
      <c r="J132">
        <f>(Cocina[[#This Row],[Precio Unitario]]-Cocina[[#This Row],[Costo Unitario]])*Cocina[[#This Row],[Cantidad Ordenada]]</f>
        <v>39</v>
      </c>
      <c r="K132" s="4">
        <f>Cocina[[#This Row],[Ganancia neta]]/_xlfn.XLOOKUP(Cocina[[#This Row],[Número de Orden]],Sala[Número de Orden],Sala[Monto total],"fracaso",0,1)</f>
        <v>0.17333333333333334</v>
      </c>
      <c r="L132" t="s">
        <v>607</v>
      </c>
    </row>
    <row r="133" spans="1:12" x14ac:dyDescent="0.25">
      <c r="A133">
        <v>51</v>
      </c>
      <c r="B133">
        <v>12</v>
      </c>
      <c r="C133" t="s">
        <v>203</v>
      </c>
      <c r="D133" t="s">
        <v>630</v>
      </c>
      <c r="E133">
        <v>13</v>
      </c>
      <c r="F133">
        <v>22</v>
      </c>
      <c r="G133">
        <v>2</v>
      </c>
      <c r="H133">
        <v>53</v>
      </c>
      <c r="I133">
        <f>Cocina[[#This Row],[Precio Unitario]]*Cocina[[#This Row],[Cantidad Ordenada]]</f>
        <v>44</v>
      </c>
      <c r="J133">
        <f>(Cocina[[#This Row],[Precio Unitario]]-Cocina[[#This Row],[Costo Unitario]])*Cocina[[#This Row],[Cantidad Ordenada]]</f>
        <v>18</v>
      </c>
      <c r="K133" s="4">
        <f>Cocina[[#This Row],[Ganancia neta]]/_xlfn.XLOOKUP(Cocina[[#This Row],[Número de Orden]],Sala[Número de Orden],Sala[Monto total],"fracaso",0,1)</f>
        <v>0.08</v>
      </c>
      <c r="L133" t="s">
        <v>607</v>
      </c>
    </row>
    <row r="134" spans="1:12" x14ac:dyDescent="0.25">
      <c r="A134">
        <v>51</v>
      </c>
      <c r="B134">
        <v>12</v>
      </c>
      <c r="C134" t="s">
        <v>79</v>
      </c>
      <c r="D134" t="s">
        <v>635</v>
      </c>
      <c r="E134">
        <v>10</v>
      </c>
      <c r="F134">
        <v>18</v>
      </c>
      <c r="G134">
        <v>2</v>
      </c>
      <c r="H134">
        <v>22</v>
      </c>
      <c r="I134">
        <f>Cocina[[#This Row],[Precio Unitario]]*Cocina[[#This Row],[Cantidad Ordenada]]</f>
        <v>36</v>
      </c>
      <c r="J134">
        <f>(Cocina[[#This Row],[Precio Unitario]]-Cocina[[#This Row],[Costo Unitario]])*Cocina[[#This Row],[Cantidad Ordenada]]</f>
        <v>16</v>
      </c>
      <c r="K134" s="4">
        <f>Cocina[[#This Row],[Ganancia neta]]/_xlfn.XLOOKUP(Cocina[[#This Row],[Número de Orden]],Sala[Número de Orden],Sala[Monto total],"fracaso",0,1)</f>
        <v>7.1111111111111111E-2</v>
      </c>
      <c r="L134" t="s">
        <v>607</v>
      </c>
    </row>
    <row r="135" spans="1:12" x14ac:dyDescent="0.25">
      <c r="A135">
        <v>52</v>
      </c>
      <c r="B135">
        <v>7</v>
      </c>
      <c r="C135" t="s">
        <v>261</v>
      </c>
      <c r="D135" t="s">
        <v>625</v>
      </c>
      <c r="E135">
        <v>20</v>
      </c>
      <c r="F135">
        <v>33</v>
      </c>
      <c r="G135">
        <v>3</v>
      </c>
      <c r="H135">
        <v>13</v>
      </c>
      <c r="I135">
        <f>Cocina[[#This Row],[Precio Unitario]]*Cocina[[#This Row],[Cantidad Ordenada]]</f>
        <v>99</v>
      </c>
      <c r="J135">
        <f>(Cocina[[#This Row],[Precio Unitario]]-Cocina[[#This Row],[Costo Unitario]])*Cocina[[#This Row],[Cantidad Ordenada]]</f>
        <v>39</v>
      </c>
      <c r="K135" s="4">
        <f>Cocina[[#This Row],[Ganancia neta]]/_xlfn.XLOOKUP(Cocina[[#This Row],[Número de Orden]],Sala[Número de Orden],Sala[Monto total],"fracaso",0,1)</f>
        <v>0.14828897338403041</v>
      </c>
      <c r="L135" t="s">
        <v>607</v>
      </c>
    </row>
    <row r="136" spans="1:12" x14ac:dyDescent="0.25">
      <c r="A136">
        <v>52</v>
      </c>
      <c r="B136">
        <v>7</v>
      </c>
      <c r="C136" t="s">
        <v>116</v>
      </c>
      <c r="D136" t="s">
        <v>620</v>
      </c>
      <c r="E136">
        <v>19</v>
      </c>
      <c r="F136">
        <v>31</v>
      </c>
      <c r="G136">
        <v>2</v>
      </c>
      <c r="H136">
        <v>17</v>
      </c>
      <c r="I136">
        <f>Cocina[[#This Row],[Precio Unitario]]*Cocina[[#This Row],[Cantidad Ordenada]]</f>
        <v>62</v>
      </c>
      <c r="J136">
        <f>(Cocina[[#This Row],[Precio Unitario]]-Cocina[[#This Row],[Costo Unitario]])*Cocina[[#This Row],[Cantidad Ordenada]]</f>
        <v>24</v>
      </c>
      <c r="K136" s="4">
        <f>Cocina[[#This Row],[Ganancia neta]]/_xlfn.XLOOKUP(Cocina[[#This Row],[Número de Orden]],Sala[Número de Orden],Sala[Monto total],"fracaso",0,1)</f>
        <v>9.125475285171103E-2</v>
      </c>
      <c r="L136" t="s">
        <v>608</v>
      </c>
    </row>
    <row r="137" spans="1:12" x14ac:dyDescent="0.25">
      <c r="A137">
        <v>52</v>
      </c>
      <c r="B137">
        <v>7</v>
      </c>
      <c r="C137" t="s">
        <v>55</v>
      </c>
      <c r="D137" t="s">
        <v>631</v>
      </c>
      <c r="E137">
        <v>20</v>
      </c>
      <c r="F137">
        <v>34</v>
      </c>
      <c r="G137">
        <v>3</v>
      </c>
      <c r="H137">
        <v>32</v>
      </c>
      <c r="I137">
        <f>Cocina[[#This Row],[Precio Unitario]]*Cocina[[#This Row],[Cantidad Ordenada]]</f>
        <v>102</v>
      </c>
      <c r="J137">
        <f>(Cocina[[#This Row],[Precio Unitario]]-Cocina[[#This Row],[Costo Unitario]])*Cocina[[#This Row],[Cantidad Ordenada]]</f>
        <v>42</v>
      </c>
      <c r="K137" s="4">
        <f>Cocina[[#This Row],[Ganancia neta]]/_xlfn.XLOOKUP(Cocina[[#This Row],[Número de Orden]],Sala[Número de Orden],Sala[Monto total],"fracaso",0,1)</f>
        <v>0.1596958174904943</v>
      </c>
      <c r="L137" t="s">
        <v>607</v>
      </c>
    </row>
    <row r="138" spans="1:12" x14ac:dyDescent="0.25">
      <c r="A138">
        <v>53</v>
      </c>
      <c r="B138">
        <v>16</v>
      </c>
      <c r="C138" t="s">
        <v>200</v>
      </c>
      <c r="D138" t="s">
        <v>633</v>
      </c>
      <c r="E138">
        <v>14</v>
      </c>
      <c r="F138">
        <v>23</v>
      </c>
      <c r="G138">
        <v>3</v>
      </c>
      <c r="H138">
        <v>47</v>
      </c>
      <c r="I138">
        <f>Cocina[[#This Row],[Precio Unitario]]*Cocina[[#This Row],[Cantidad Ordenada]]</f>
        <v>69</v>
      </c>
      <c r="J138">
        <f>(Cocina[[#This Row],[Precio Unitario]]-Cocina[[#This Row],[Costo Unitario]])*Cocina[[#This Row],[Cantidad Ordenada]]</f>
        <v>27</v>
      </c>
      <c r="K138" s="4">
        <f>Cocina[[#This Row],[Ganancia neta]]/_xlfn.XLOOKUP(Cocina[[#This Row],[Número de Orden]],Sala[Número de Orden],Sala[Monto total],"fracaso",0,1)</f>
        <v>0.10112359550561797</v>
      </c>
      <c r="L138" t="s">
        <v>608</v>
      </c>
    </row>
    <row r="139" spans="1:12" x14ac:dyDescent="0.25">
      <c r="A139">
        <v>53</v>
      </c>
      <c r="B139">
        <v>16</v>
      </c>
      <c r="C139" t="s">
        <v>68</v>
      </c>
      <c r="D139" t="s">
        <v>619</v>
      </c>
      <c r="E139">
        <v>18</v>
      </c>
      <c r="F139">
        <v>30</v>
      </c>
      <c r="G139">
        <v>3</v>
      </c>
      <c r="H139">
        <v>39</v>
      </c>
      <c r="I139">
        <f>Cocina[[#This Row],[Precio Unitario]]*Cocina[[#This Row],[Cantidad Ordenada]]</f>
        <v>90</v>
      </c>
      <c r="J139">
        <f>(Cocina[[#This Row],[Precio Unitario]]-Cocina[[#This Row],[Costo Unitario]])*Cocina[[#This Row],[Cantidad Ordenada]]</f>
        <v>36</v>
      </c>
      <c r="K139" s="4">
        <f>Cocina[[#This Row],[Ganancia neta]]/_xlfn.XLOOKUP(Cocina[[#This Row],[Número de Orden]],Sala[Número de Orden],Sala[Monto total],"fracaso",0,1)</f>
        <v>0.1348314606741573</v>
      </c>
      <c r="L139" t="s">
        <v>608</v>
      </c>
    </row>
    <row r="140" spans="1:12" x14ac:dyDescent="0.25">
      <c r="A140">
        <v>53</v>
      </c>
      <c r="B140">
        <v>16</v>
      </c>
      <c r="C140" t="s">
        <v>73</v>
      </c>
      <c r="D140" t="s">
        <v>623</v>
      </c>
      <c r="E140">
        <v>22</v>
      </c>
      <c r="F140">
        <v>36</v>
      </c>
      <c r="G140">
        <v>3</v>
      </c>
      <c r="H140">
        <v>26</v>
      </c>
      <c r="I140">
        <f>Cocina[[#This Row],[Precio Unitario]]*Cocina[[#This Row],[Cantidad Ordenada]]</f>
        <v>108</v>
      </c>
      <c r="J140">
        <f>(Cocina[[#This Row],[Precio Unitario]]-Cocina[[#This Row],[Costo Unitario]])*Cocina[[#This Row],[Cantidad Ordenada]]</f>
        <v>42</v>
      </c>
      <c r="K140" s="4">
        <f>Cocina[[#This Row],[Ganancia neta]]/_xlfn.XLOOKUP(Cocina[[#This Row],[Número de Orden]],Sala[Número de Orden],Sala[Monto total],"fracaso",0,1)</f>
        <v>0.15730337078651685</v>
      </c>
      <c r="L140" t="s">
        <v>607</v>
      </c>
    </row>
    <row r="141" spans="1:12" x14ac:dyDescent="0.25">
      <c r="A141">
        <v>54</v>
      </c>
      <c r="B141">
        <v>6</v>
      </c>
      <c r="C141" t="s">
        <v>26</v>
      </c>
      <c r="D141" t="s">
        <v>628</v>
      </c>
      <c r="E141">
        <v>21</v>
      </c>
      <c r="F141">
        <v>35</v>
      </c>
      <c r="G141">
        <v>3</v>
      </c>
      <c r="H141">
        <v>47</v>
      </c>
      <c r="I141">
        <f>Cocina[[#This Row],[Precio Unitario]]*Cocina[[#This Row],[Cantidad Ordenada]]</f>
        <v>105</v>
      </c>
      <c r="J141">
        <f>(Cocina[[#This Row],[Precio Unitario]]-Cocina[[#This Row],[Costo Unitario]])*Cocina[[#This Row],[Cantidad Ordenada]]</f>
        <v>42</v>
      </c>
      <c r="K141" s="4">
        <f>Cocina[[#This Row],[Ganancia neta]]/_xlfn.XLOOKUP(Cocina[[#This Row],[Número de Orden]],Sala[Número de Orden],Sala[Monto total],"fracaso",0,1)</f>
        <v>0.22459893048128343</v>
      </c>
      <c r="L141" t="s">
        <v>607</v>
      </c>
    </row>
    <row r="142" spans="1:12" x14ac:dyDescent="0.25">
      <c r="A142">
        <v>54</v>
      </c>
      <c r="B142">
        <v>6</v>
      </c>
      <c r="C142" t="s">
        <v>116</v>
      </c>
      <c r="D142" t="s">
        <v>620</v>
      </c>
      <c r="E142">
        <v>19</v>
      </c>
      <c r="F142">
        <v>31</v>
      </c>
      <c r="G142">
        <v>1</v>
      </c>
      <c r="H142">
        <v>55</v>
      </c>
      <c r="I142">
        <f>Cocina[[#This Row],[Precio Unitario]]*Cocina[[#This Row],[Cantidad Ordenada]]</f>
        <v>31</v>
      </c>
      <c r="J142">
        <f>(Cocina[[#This Row],[Precio Unitario]]-Cocina[[#This Row],[Costo Unitario]])*Cocina[[#This Row],[Cantidad Ordenada]]</f>
        <v>12</v>
      </c>
      <c r="K142" s="4">
        <f>Cocina[[#This Row],[Ganancia neta]]/_xlfn.XLOOKUP(Cocina[[#This Row],[Número de Orden]],Sala[Número de Orden],Sala[Monto total],"fracaso",0,1)</f>
        <v>6.4171122994652413E-2</v>
      </c>
      <c r="L142" t="s">
        <v>608</v>
      </c>
    </row>
    <row r="143" spans="1:12" x14ac:dyDescent="0.25">
      <c r="A143">
        <v>54</v>
      </c>
      <c r="B143">
        <v>6</v>
      </c>
      <c r="C143" t="s">
        <v>79</v>
      </c>
      <c r="D143" t="s">
        <v>635</v>
      </c>
      <c r="E143">
        <v>10</v>
      </c>
      <c r="F143">
        <v>18</v>
      </c>
      <c r="G143">
        <v>1</v>
      </c>
      <c r="H143">
        <v>55</v>
      </c>
      <c r="I143">
        <f>Cocina[[#This Row],[Precio Unitario]]*Cocina[[#This Row],[Cantidad Ordenada]]</f>
        <v>18</v>
      </c>
      <c r="J143">
        <f>(Cocina[[#This Row],[Precio Unitario]]-Cocina[[#This Row],[Costo Unitario]])*Cocina[[#This Row],[Cantidad Ordenada]]</f>
        <v>8</v>
      </c>
      <c r="K143" s="4">
        <f>Cocina[[#This Row],[Ganancia neta]]/_xlfn.XLOOKUP(Cocina[[#This Row],[Número de Orden]],Sala[Número de Orden],Sala[Monto total],"fracaso",0,1)</f>
        <v>4.2780748663101602E-2</v>
      </c>
      <c r="L143" t="s">
        <v>608</v>
      </c>
    </row>
    <row r="144" spans="1:12" x14ac:dyDescent="0.25">
      <c r="A144">
        <v>54</v>
      </c>
      <c r="B144">
        <v>6</v>
      </c>
      <c r="C144" t="s">
        <v>261</v>
      </c>
      <c r="D144" t="s">
        <v>625</v>
      </c>
      <c r="E144">
        <v>20</v>
      </c>
      <c r="F144">
        <v>33</v>
      </c>
      <c r="G144">
        <v>1</v>
      </c>
      <c r="H144">
        <v>46</v>
      </c>
      <c r="I144">
        <f>Cocina[[#This Row],[Precio Unitario]]*Cocina[[#This Row],[Cantidad Ordenada]]</f>
        <v>33</v>
      </c>
      <c r="J144">
        <f>(Cocina[[#This Row],[Precio Unitario]]-Cocina[[#This Row],[Costo Unitario]])*Cocina[[#This Row],[Cantidad Ordenada]]</f>
        <v>13</v>
      </c>
      <c r="K144" s="4">
        <f>Cocina[[#This Row],[Ganancia neta]]/_xlfn.XLOOKUP(Cocina[[#This Row],[Número de Orden]],Sala[Número de Orden],Sala[Monto total],"fracaso",0,1)</f>
        <v>6.9518716577540107E-2</v>
      </c>
      <c r="L144" t="s">
        <v>608</v>
      </c>
    </row>
    <row r="145" spans="1:12" x14ac:dyDescent="0.25">
      <c r="A145">
        <v>55</v>
      </c>
      <c r="B145">
        <v>20</v>
      </c>
      <c r="C145" t="s">
        <v>261</v>
      </c>
      <c r="D145" t="s">
        <v>625</v>
      </c>
      <c r="E145">
        <v>20</v>
      </c>
      <c r="F145">
        <v>33</v>
      </c>
      <c r="G145">
        <v>3</v>
      </c>
      <c r="H145">
        <v>27</v>
      </c>
      <c r="I145">
        <f>Cocina[[#This Row],[Precio Unitario]]*Cocina[[#This Row],[Cantidad Ordenada]]</f>
        <v>99</v>
      </c>
      <c r="J145">
        <f>(Cocina[[#This Row],[Precio Unitario]]-Cocina[[#This Row],[Costo Unitario]])*Cocina[[#This Row],[Cantidad Ordenada]]</f>
        <v>39</v>
      </c>
      <c r="K145" s="4">
        <f>Cocina[[#This Row],[Ganancia neta]]/_xlfn.XLOOKUP(Cocina[[#This Row],[Número de Orden]],Sala[Número de Orden],Sala[Monto total],"fracaso",0,1)</f>
        <v>0.15294117647058825</v>
      </c>
      <c r="L145" t="s">
        <v>608</v>
      </c>
    </row>
    <row r="146" spans="1:12" x14ac:dyDescent="0.25">
      <c r="A146">
        <v>55</v>
      </c>
      <c r="B146">
        <v>20</v>
      </c>
      <c r="C146" t="s">
        <v>158</v>
      </c>
      <c r="D146" t="s">
        <v>617</v>
      </c>
      <c r="E146">
        <v>14</v>
      </c>
      <c r="F146">
        <v>24</v>
      </c>
      <c r="G146">
        <v>1</v>
      </c>
      <c r="H146">
        <v>5</v>
      </c>
      <c r="I146">
        <f>Cocina[[#This Row],[Precio Unitario]]*Cocina[[#This Row],[Cantidad Ordenada]]</f>
        <v>24</v>
      </c>
      <c r="J146">
        <f>(Cocina[[#This Row],[Precio Unitario]]-Cocina[[#This Row],[Costo Unitario]])*Cocina[[#This Row],[Cantidad Ordenada]]</f>
        <v>10</v>
      </c>
      <c r="K146" s="4">
        <f>Cocina[[#This Row],[Ganancia neta]]/_xlfn.XLOOKUP(Cocina[[#This Row],[Número de Orden]],Sala[Número de Orden],Sala[Monto total],"fracaso",0,1)</f>
        <v>3.9215686274509803E-2</v>
      </c>
      <c r="L146" t="s">
        <v>607</v>
      </c>
    </row>
    <row r="147" spans="1:12" x14ac:dyDescent="0.25">
      <c r="A147">
        <v>55</v>
      </c>
      <c r="B147">
        <v>20</v>
      </c>
      <c r="C147" t="s">
        <v>73</v>
      </c>
      <c r="D147" t="s">
        <v>623</v>
      </c>
      <c r="E147">
        <v>22</v>
      </c>
      <c r="F147">
        <v>36</v>
      </c>
      <c r="G147">
        <v>1</v>
      </c>
      <c r="H147">
        <v>51</v>
      </c>
      <c r="I147">
        <f>Cocina[[#This Row],[Precio Unitario]]*Cocina[[#This Row],[Cantidad Ordenada]]</f>
        <v>36</v>
      </c>
      <c r="J147">
        <f>(Cocina[[#This Row],[Precio Unitario]]-Cocina[[#This Row],[Costo Unitario]])*Cocina[[#This Row],[Cantidad Ordenada]]</f>
        <v>14</v>
      </c>
      <c r="K147" s="4">
        <f>Cocina[[#This Row],[Ganancia neta]]/_xlfn.XLOOKUP(Cocina[[#This Row],[Número de Orden]],Sala[Número de Orden],Sala[Monto total],"fracaso",0,1)</f>
        <v>5.4901960784313725E-2</v>
      </c>
      <c r="L147" t="s">
        <v>608</v>
      </c>
    </row>
    <row r="148" spans="1:12" x14ac:dyDescent="0.25">
      <c r="A148">
        <v>55</v>
      </c>
      <c r="B148">
        <v>20</v>
      </c>
      <c r="C148" t="s">
        <v>247</v>
      </c>
      <c r="D148" t="s">
        <v>629</v>
      </c>
      <c r="E148">
        <v>19</v>
      </c>
      <c r="F148">
        <v>32</v>
      </c>
      <c r="G148">
        <v>3</v>
      </c>
      <c r="H148">
        <v>13</v>
      </c>
      <c r="I148">
        <f>Cocina[[#This Row],[Precio Unitario]]*Cocina[[#This Row],[Cantidad Ordenada]]</f>
        <v>96</v>
      </c>
      <c r="J148">
        <f>(Cocina[[#This Row],[Precio Unitario]]-Cocina[[#This Row],[Costo Unitario]])*Cocina[[#This Row],[Cantidad Ordenada]]</f>
        <v>39</v>
      </c>
      <c r="K148" s="4">
        <f>Cocina[[#This Row],[Ganancia neta]]/_xlfn.XLOOKUP(Cocina[[#This Row],[Número de Orden]],Sala[Número de Orden],Sala[Monto total],"fracaso",0,1)</f>
        <v>0.15294117647058825</v>
      </c>
      <c r="L148" t="s">
        <v>607</v>
      </c>
    </row>
    <row r="149" spans="1:12" x14ac:dyDescent="0.25">
      <c r="A149">
        <v>56</v>
      </c>
      <c r="B149">
        <v>1</v>
      </c>
      <c r="C149" t="s">
        <v>38</v>
      </c>
      <c r="D149" t="s">
        <v>624</v>
      </c>
      <c r="E149">
        <v>17</v>
      </c>
      <c r="F149">
        <v>29</v>
      </c>
      <c r="G149">
        <v>1</v>
      </c>
      <c r="H149">
        <v>38</v>
      </c>
      <c r="I149">
        <f>Cocina[[#This Row],[Precio Unitario]]*Cocina[[#This Row],[Cantidad Ordenada]]</f>
        <v>29</v>
      </c>
      <c r="J149">
        <f>(Cocina[[#This Row],[Precio Unitario]]-Cocina[[#This Row],[Costo Unitario]])*Cocina[[#This Row],[Cantidad Ordenada]]</f>
        <v>12</v>
      </c>
      <c r="K149" s="4">
        <f>Cocina[[#This Row],[Ganancia neta]]/_xlfn.XLOOKUP(Cocina[[#This Row],[Número de Orden]],Sala[Número de Orden],Sala[Monto total],"fracaso",0,1)</f>
        <v>0.25</v>
      </c>
      <c r="L149" t="s">
        <v>607</v>
      </c>
    </row>
    <row r="150" spans="1:12" x14ac:dyDescent="0.25">
      <c r="A150">
        <v>56</v>
      </c>
      <c r="B150">
        <v>1</v>
      </c>
      <c r="C150" t="s">
        <v>112</v>
      </c>
      <c r="D150" t="s">
        <v>627</v>
      </c>
      <c r="E150">
        <v>11</v>
      </c>
      <c r="F150">
        <v>19</v>
      </c>
      <c r="G150">
        <v>1</v>
      </c>
      <c r="H150">
        <v>40</v>
      </c>
      <c r="I150">
        <f>Cocina[[#This Row],[Precio Unitario]]*Cocina[[#This Row],[Cantidad Ordenada]]</f>
        <v>19</v>
      </c>
      <c r="J150">
        <f>(Cocina[[#This Row],[Precio Unitario]]-Cocina[[#This Row],[Costo Unitario]])*Cocina[[#This Row],[Cantidad Ordenada]]</f>
        <v>8</v>
      </c>
      <c r="K150" s="4">
        <f>Cocina[[#This Row],[Ganancia neta]]/_xlfn.XLOOKUP(Cocina[[#This Row],[Número de Orden]],Sala[Número de Orden],Sala[Monto total],"fracaso",0,1)</f>
        <v>0.16666666666666666</v>
      </c>
      <c r="L150" t="s">
        <v>608</v>
      </c>
    </row>
    <row r="151" spans="1:12" x14ac:dyDescent="0.25">
      <c r="A151">
        <v>57</v>
      </c>
      <c r="B151">
        <v>18</v>
      </c>
      <c r="C151" t="s">
        <v>26</v>
      </c>
      <c r="D151" t="s">
        <v>628</v>
      </c>
      <c r="E151">
        <v>21</v>
      </c>
      <c r="F151">
        <v>35</v>
      </c>
      <c r="G151">
        <v>1</v>
      </c>
      <c r="H151">
        <v>21</v>
      </c>
      <c r="I151">
        <f>Cocina[[#This Row],[Precio Unitario]]*Cocina[[#This Row],[Cantidad Ordenada]]</f>
        <v>35</v>
      </c>
      <c r="J151">
        <f>(Cocina[[#This Row],[Precio Unitario]]-Cocina[[#This Row],[Costo Unitario]])*Cocina[[#This Row],[Cantidad Ordenada]]</f>
        <v>14</v>
      </c>
      <c r="K151" s="4">
        <f>Cocina[[#This Row],[Ganancia neta]]/_xlfn.XLOOKUP(Cocina[[#This Row],[Número de Orden]],Sala[Número de Orden],Sala[Monto total],"fracaso",0,1)</f>
        <v>8.2840236686390539E-2</v>
      </c>
      <c r="L151" t="s">
        <v>608</v>
      </c>
    </row>
    <row r="152" spans="1:12" x14ac:dyDescent="0.25">
      <c r="A152">
        <v>57</v>
      </c>
      <c r="B152">
        <v>18</v>
      </c>
      <c r="C152" t="s">
        <v>48</v>
      </c>
      <c r="D152" t="s">
        <v>622</v>
      </c>
      <c r="E152">
        <v>25</v>
      </c>
      <c r="F152">
        <v>40</v>
      </c>
      <c r="G152">
        <v>1</v>
      </c>
      <c r="H152">
        <v>30</v>
      </c>
      <c r="I152">
        <f>Cocina[[#This Row],[Precio Unitario]]*Cocina[[#This Row],[Cantidad Ordenada]]</f>
        <v>40</v>
      </c>
      <c r="J152">
        <f>(Cocina[[#This Row],[Precio Unitario]]-Cocina[[#This Row],[Costo Unitario]])*Cocina[[#This Row],[Cantidad Ordenada]]</f>
        <v>15</v>
      </c>
      <c r="K152" s="4">
        <f>Cocina[[#This Row],[Ganancia neta]]/_xlfn.XLOOKUP(Cocina[[#This Row],[Número de Orden]],Sala[Número de Orden],Sala[Monto total],"fracaso",0,1)</f>
        <v>8.8757396449704137E-2</v>
      </c>
      <c r="L152" t="s">
        <v>608</v>
      </c>
    </row>
    <row r="153" spans="1:12" x14ac:dyDescent="0.25">
      <c r="A153">
        <v>57</v>
      </c>
      <c r="B153">
        <v>18</v>
      </c>
      <c r="C153" t="s">
        <v>203</v>
      </c>
      <c r="D153" t="s">
        <v>630</v>
      </c>
      <c r="E153">
        <v>13</v>
      </c>
      <c r="F153">
        <v>22</v>
      </c>
      <c r="G153">
        <v>1</v>
      </c>
      <c r="H153">
        <v>10</v>
      </c>
      <c r="I153">
        <f>Cocina[[#This Row],[Precio Unitario]]*Cocina[[#This Row],[Cantidad Ordenada]]</f>
        <v>22</v>
      </c>
      <c r="J153">
        <f>(Cocina[[#This Row],[Precio Unitario]]-Cocina[[#This Row],[Costo Unitario]])*Cocina[[#This Row],[Cantidad Ordenada]]</f>
        <v>9</v>
      </c>
      <c r="K153" s="4">
        <f>Cocina[[#This Row],[Ganancia neta]]/_xlfn.XLOOKUP(Cocina[[#This Row],[Número de Orden]],Sala[Número de Orden],Sala[Monto total],"fracaso",0,1)</f>
        <v>5.3254437869822487E-2</v>
      </c>
      <c r="L153" t="s">
        <v>607</v>
      </c>
    </row>
    <row r="154" spans="1:12" x14ac:dyDescent="0.25">
      <c r="A154">
        <v>57</v>
      </c>
      <c r="B154">
        <v>18</v>
      </c>
      <c r="C154" t="s">
        <v>73</v>
      </c>
      <c r="D154" t="s">
        <v>623</v>
      </c>
      <c r="E154">
        <v>22</v>
      </c>
      <c r="F154">
        <v>36</v>
      </c>
      <c r="G154">
        <v>2</v>
      </c>
      <c r="H154">
        <v>7</v>
      </c>
      <c r="I154">
        <f>Cocina[[#This Row],[Precio Unitario]]*Cocina[[#This Row],[Cantidad Ordenada]]</f>
        <v>72</v>
      </c>
      <c r="J154">
        <f>(Cocina[[#This Row],[Precio Unitario]]-Cocina[[#This Row],[Costo Unitario]])*Cocina[[#This Row],[Cantidad Ordenada]]</f>
        <v>28</v>
      </c>
      <c r="K154" s="4">
        <f>Cocina[[#This Row],[Ganancia neta]]/_xlfn.XLOOKUP(Cocina[[#This Row],[Número de Orden]],Sala[Número de Orden],Sala[Monto total],"fracaso",0,1)</f>
        <v>0.16568047337278108</v>
      </c>
      <c r="L154" t="s">
        <v>608</v>
      </c>
    </row>
    <row r="155" spans="1:12" x14ac:dyDescent="0.25">
      <c r="A155">
        <v>58</v>
      </c>
      <c r="B155">
        <v>8</v>
      </c>
      <c r="C155" t="s">
        <v>203</v>
      </c>
      <c r="D155" t="s">
        <v>630</v>
      </c>
      <c r="E155">
        <v>13</v>
      </c>
      <c r="F155">
        <v>22</v>
      </c>
      <c r="G155">
        <v>1</v>
      </c>
      <c r="H155">
        <v>17</v>
      </c>
      <c r="I155">
        <f>Cocina[[#This Row],[Precio Unitario]]*Cocina[[#This Row],[Cantidad Ordenada]]</f>
        <v>22</v>
      </c>
      <c r="J155">
        <f>(Cocina[[#This Row],[Precio Unitario]]-Cocina[[#This Row],[Costo Unitario]])*Cocina[[#This Row],[Cantidad Ordenada]]</f>
        <v>9</v>
      </c>
      <c r="K155" s="4">
        <f>Cocina[[#This Row],[Ganancia neta]]/_xlfn.XLOOKUP(Cocina[[#This Row],[Número de Orden]],Sala[Número de Orden],Sala[Monto total],"fracaso",0,1)</f>
        <v>0.10975609756097561</v>
      </c>
      <c r="L155" t="s">
        <v>608</v>
      </c>
    </row>
    <row r="156" spans="1:12" x14ac:dyDescent="0.25">
      <c r="A156">
        <v>58</v>
      </c>
      <c r="B156">
        <v>8</v>
      </c>
      <c r="C156" t="s">
        <v>146</v>
      </c>
      <c r="D156" t="s">
        <v>632</v>
      </c>
      <c r="E156">
        <v>12</v>
      </c>
      <c r="F156">
        <v>20</v>
      </c>
      <c r="G156">
        <v>3</v>
      </c>
      <c r="H156">
        <v>56</v>
      </c>
      <c r="I156">
        <f>Cocina[[#This Row],[Precio Unitario]]*Cocina[[#This Row],[Cantidad Ordenada]]</f>
        <v>60</v>
      </c>
      <c r="J156">
        <f>(Cocina[[#This Row],[Precio Unitario]]-Cocina[[#This Row],[Costo Unitario]])*Cocina[[#This Row],[Cantidad Ordenada]]</f>
        <v>24</v>
      </c>
      <c r="K156" s="4">
        <f>Cocina[[#This Row],[Ganancia neta]]/_xlfn.XLOOKUP(Cocina[[#This Row],[Número de Orden]],Sala[Número de Orden],Sala[Monto total],"fracaso",0,1)</f>
        <v>0.29268292682926828</v>
      </c>
      <c r="L156" t="s">
        <v>608</v>
      </c>
    </row>
    <row r="157" spans="1:12" x14ac:dyDescent="0.25">
      <c r="A157">
        <v>59</v>
      </c>
      <c r="B157">
        <v>8</v>
      </c>
      <c r="C157" t="s">
        <v>112</v>
      </c>
      <c r="D157" t="s">
        <v>627</v>
      </c>
      <c r="E157">
        <v>11</v>
      </c>
      <c r="F157">
        <v>19</v>
      </c>
      <c r="G157">
        <v>2</v>
      </c>
      <c r="H157">
        <v>13</v>
      </c>
      <c r="I157">
        <f>Cocina[[#This Row],[Precio Unitario]]*Cocina[[#This Row],[Cantidad Ordenada]]</f>
        <v>38</v>
      </c>
      <c r="J157">
        <f>(Cocina[[#This Row],[Precio Unitario]]-Cocina[[#This Row],[Costo Unitario]])*Cocina[[#This Row],[Cantidad Ordenada]]</f>
        <v>16</v>
      </c>
      <c r="K157" s="4">
        <f>Cocina[[#This Row],[Ganancia neta]]/_xlfn.XLOOKUP(Cocina[[#This Row],[Número de Orden]],Sala[Número de Orden],Sala[Monto total],"fracaso",0,1)</f>
        <v>0.1</v>
      </c>
      <c r="L157" t="s">
        <v>607</v>
      </c>
    </row>
    <row r="158" spans="1:12" x14ac:dyDescent="0.25">
      <c r="A158">
        <v>59</v>
      </c>
      <c r="B158">
        <v>8</v>
      </c>
      <c r="C158" t="s">
        <v>200</v>
      </c>
      <c r="D158" t="s">
        <v>633</v>
      </c>
      <c r="E158">
        <v>14</v>
      </c>
      <c r="F158">
        <v>23</v>
      </c>
      <c r="G158">
        <v>2</v>
      </c>
      <c r="H158">
        <v>9</v>
      </c>
      <c r="I158">
        <f>Cocina[[#This Row],[Precio Unitario]]*Cocina[[#This Row],[Cantidad Ordenada]]</f>
        <v>46</v>
      </c>
      <c r="J158">
        <f>(Cocina[[#This Row],[Precio Unitario]]-Cocina[[#This Row],[Costo Unitario]])*Cocina[[#This Row],[Cantidad Ordenada]]</f>
        <v>18</v>
      </c>
      <c r="K158" s="4">
        <f>Cocina[[#This Row],[Ganancia neta]]/_xlfn.XLOOKUP(Cocina[[#This Row],[Número de Orden]],Sala[Número de Orden],Sala[Monto total],"fracaso",0,1)</f>
        <v>0.1125</v>
      </c>
      <c r="L158" t="s">
        <v>607</v>
      </c>
    </row>
    <row r="159" spans="1:12" x14ac:dyDescent="0.25">
      <c r="A159">
        <v>59</v>
      </c>
      <c r="B159">
        <v>8</v>
      </c>
      <c r="C159" t="s">
        <v>79</v>
      </c>
      <c r="D159" t="s">
        <v>635</v>
      </c>
      <c r="E159">
        <v>10</v>
      </c>
      <c r="F159">
        <v>18</v>
      </c>
      <c r="G159">
        <v>2</v>
      </c>
      <c r="H159">
        <v>13</v>
      </c>
      <c r="I159">
        <f>Cocina[[#This Row],[Precio Unitario]]*Cocina[[#This Row],[Cantidad Ordenada]]</f>
        <v>36</v>
      </c>
      <c r="J159">
        <f>(Cocina[[#This Row],[Precio Unitario]]-Cocina[[#This Row],[Costo Unitario]])*Cocina[[#This Row],[Cantidad Ordenada]]</f>
        <v>16</v>
      </c>
      <c r="K159" s="4">
        <f>Cocina[[#This Row],[Ganancia neta]]/_xlfn.XLOOKUP(Cocina[[#This Row],[Número de Orden]],Sala[Número de Orden],Sala[Monto total],"fracaso",0,1)</f>
        <v>0.1</v>
      </c>
      <c r="L159" t="s">
        <v>608</v>
      </c>
    </row>
    <row r="160" spans="1:12" x14ac:dyDescent="0.25">
      <c r="A160">
        <v>59</v>
      </c>
      <c r="B160">
        <v>8</v>
      </c>
      <c r="C160" t="s">
        <v>48</v>
      </c>
      <c r="D160" t="s">
        <v>622</v>
      </c>
      <c r="E160">
        <v>25</v>
      </c>
      <c r="F160">
        <v>40</v>
      </c>
      <c r="G160">
        <v>1</v>
      </c>
      <c r="H160">
        <v>13</v>
      </c>
      <c r="I160">
        <f>Cocina[[#This Row],[Precio Unitario]]*Cocina[[#This Row],[Cantidad Ordenada]]</f>
        <v>40</v>
      </c>
      <c r="J160">
        <f>(Cocina[[#This Row],[Precio Unitario]]-Cocina[[#This Row],[Costo Unitario]])*Cocina[[#This Row],[Cantidad Ordenada]]</f>
        <v>15</v>
      </c>
      <c r="K160" s="4">
        <f>Cocina[[#This Row],[Ganancia neta]]/_xlfn.XLOOKUP(Cocina[[#This Row],[Número de Orden]],Sala[Número de Orden],Sala[Monto total],"fracaso",0,1)</f>
        <v>9.375E-2</v>
      </c>
      <c r="L160" t="s">
        <v>608</v>
      </c>
    </row>
    <row r="161" spans="1:12" x14ac:dyDescent="0.25">
      <c r="A161">
        <v>60</v>
      </c>
      <c r="B161">
        <v>6</v>
      </c>
      <c r="C161" t="s">
        <v>79</v>
      </c>
      <c r="D161" t="s">
        <v>635</v>
      </c>
      <c r="E161">
        <v>10</v>
      </c>
      <c r="F161">
        <v>18</v>
      </c>
      <c r="G161">
        <v>2</v>
      </c>
      <c r="H161">
        <v>23</v>
      </c>
      <c r="I161">
        <f>Cocina[[#This Row],[Precio Unitario]]*Cocina[[#This Row],[Cantidad Ordenada]]</f>
        <v>36</v>
      </c>
      <c r="J161">
        <f>(Cocina[[#This Row],[Precio Unitario]]-Cocina[[#This Row],[Costo Unitario]])*Cocina[[#This Row],[Cantidad Ordenada]]</f>
        <v>16</v>
      </c>
      <c r="K161" s="4">
        <f>Cocina[[#This Row],[Ganancia neta]]/_xlfn.XLOOKUP(Cocina[[#This Row],[Número de Orden]],Sala[Número de Orden],Sala[Monto total],"fracaso",0,1)</f>
        <v>0.15686274509803921</v>
      </c>
      <c r="L161" t="s">
        <v>607</v>
      </c>
    </row>
    <row r="162" spans="1:12" x14ac:dyDescent="0.25">
      <c r="A162">
        <v>60</v>
      </c>
      <c r="B162">
        <v>6</v>
      </c>
      <c r="C162" t="s">
        <v>261</v>
      </c>
      <c r="D162" t="s">
        <v>625</v>
      </c>
      <c r="E162">
        <v>20</v>
      </c>
      <c r="F162">
        <v>33</v>
      </c>
      <c r="G162">
        <v>2</v>
      </c>
      <c r="H162">
        <v>20</v>
      </c>
      <c r="I162">
        <f>Cocina[[#This Row],[Precio Unitario]]*Cocina[[#This Row],[Cantidad Ordenada]]</f>
        <v>66</v>
      </c>
      <c r="J162">
        <f>(Cocina[[#This Row],[Precio Unitario]]-Cocina[[#This Row],[Costo Unitario]])*Cocina[[#This Row],[Cantidad Ordenada]]</f>
        <v>26</v>
      </c>
      <c r="K162" s="4">
        <f>Cocina[[#This Row],[Ganancia neta]]/_xlfn.XLOOKUP(Cocina[[#This Row],[Número de Orden]],Sala[Número de Orden],Sala[Monto total],"fracaso",0,1)</f>
        <v>0.25490196078431371</v>
      </c>
      <c r="L162" t="s">
        <v>608</v>
      </c>
    </row>
    <row r="163" spans="1:12" x14ac:dyDescent="0.25">
      <c r="A163">
        <v>61</v>
      </c>
      <c r="B163">
        <v>10</v>
      </c>
      <c r="C163" t="s">
        <v>48</v>
      </c>
      <c r="D163" t="s">
        <v>622</v>
      </c>
      <c r="E163">
        <v>25</v>
      </c>
      <c r="F163">
        <v>40</v>
      </c>
      <c r="G163">
        <v>2</v>
      </c>
      <c r="H163">
        <v>56</v>
      </c>
      <c r="I163">
        <f>Cocina[[#This Row],[Precio Unitario]]*Cocina[[#This Row],[Cantidad Ordenada]]</f>
        <v>80</v>
      </c>
      <c r="J163">
        <f>(Cocina[[#This Row],[Precio Unitario]]-Cocina[[#This Row],[Costo Unitario]])*Cocina[[#This Row],[Cantidad Ordenada]]</f>
        <v>30</v>
      </c>
      <c r="K163" s="4">
        <f>Cocina[[#This Row],[Ganancia neta]]/_xlfn.XLOOKUP(Cocina[[#This Row],[Número de Orden]],Sala[Número de Orden],Sala[Monto total],"fracaso",0,1)</f>
        <v>0.12396694214876033</v>
      </c>
      <c r="L163" t="s">
        <v>607</v>
      </c>
    </row>
    <row r="164" spans="1:12" x14ac:dyDescent="0.25">
      <c r="A164">
        <v>61</v>
      </c>
      <c r="B164">
        <v>10</v>
      </c>
      <c r="C164" t="s">
        <v>79</v>
      </c>
      <c r="D164" t="s">
        <v>635</v>
      </c>
      <c r="E164">
        <v>10</v>
      </c>
      <c r="F164">
        <v>18</v>
      </c>
      <c r="G164">
        <v>1</v>
      </c>
      <c r="H164">
        <v>39</v>
      </c>
      <c r="I164">
        <f>Cocina[[#This Row],[Precio Unitario]]*Cocina[[#This Row],[Cantidad Ordenada]]</f>
        <v>18</v>
      </c>
      <c r="J164">
        <f>(Cocina[[#This Row],[Precio Unitario]]-Cocina[[#This Row],[Costo Unitario]])*Cocina[[#This Row],[Cantidad Ordenada]]</f>
        <v>8</v>
      </c>
      <c r="K164" s="4">
        <f>Cocina[[#This Row],[Ganancia neta]]/_xlfn.XLOOKUP(Cocina[[#This Row],[Número de Orden]],Sala[Número de Orden],Sala[Monto total],"fracaso",0,1)</f>
        <v>3.3057851239669422E-2</v>
      </c>
      <c r="L164" t="s">
        <v>608</v>
      </c>
    </row>
    <row r="165" spans="1:12" x14ac:dyDescent="0.25">
      <c r="A165">
        <v>61</v>
      </c>
      <c r="B165">
        <v>10</v>
      </c>
      <c r="C165" t="s">
        <v>68</v>
      </c>
      <c r="D165" t="s">
        <v>619</v>
      </c>
      <c r="E165">
        <v>18</v>
      </c>
      <c r="F165">
        <v>30</v>
      </c>
      <c r="G165">
        <v>2</v>
      </c>
      <c r="H165">
        <v>13</v>
      </c>
      <c r="I165">
        <f>Cocina[[#This Row],[Precio Unitario]]*Cocina[[#This Row],[Cantidad Ordenada]]</f>
        <v>60</v>
      </c>
      <c r="J165">
        <f>(Cocina[[#This Row],[Precio Unitario]]-Cocina[[#This Row],[Costo Unitario]])*Cocina[[#This Row],[Cantidad Ordenada]]</f>
        <v>24</v>
      </c>
      <c r="K165" s="4">
        <f>Cocina[[#This Row],[Ganancia neta]]/_xlfn.XLOOKUP(Cocina[[#This Row],[Número de Orden]],Sala[Número de Orden],Sala[Monto total],"fracaso",0,1)</f>
        <v>9.9173553719008267E-2</v>
      </c>
      <c r="L165" t="s">
        <v>607</v>
      </c>
    </row>
    <row r="166" spans="1:12" x14ac:dyDescent="0.25">
      <c r="A166">
        <v>61</v>
      </c>
      <c r="B166">
        <v>10</v>
      </c>
      <c r="C166" t="s">
        <v>42</v>
      </c>
      <c r="D166" t="s">
        <v>626</v>
      </c>
      <c r="E166">
        <v>16</v>
      </c>
      <c r="F166">
        <v>28</v>
      </c>
      <c r="G166">
        <v>3</v>
      </c>
      <c r="H166">
        <v>51</v>
      </c>
      <c r="I166">
        <f>Cocina[[#This Row],[Precio Unitario]]*Cocina[[#This Row],[Cantidad Ordenada]]</f>
        <v>84</v>
      </c>
      <c r="J166">
        <f>(Cocina[[#This Row],[Precio Unitario]]-Cocina[[#This Row],[Costo Unitario]])*Cocina[[#This Row],[Cantidad Ordenada]]</f>
        <v>36</v>
      </c>
      <c r="K166" s="4">
        <f>Cocina[[#This Row],[Ganancia neta]]/_xlfn.XLOOKUP(Cocina[[#This Row],[Número de Orden]],Sala[Número de Orden],Sala[Monto total],"fracaso",0,1)</f>
        <v>0.1487603305785124</v>
      </c>
      <c r="L166" t="s">
        <v>608</v>
      </c>
    </row>
    <row r="167" spans="1:12" x14ac:dyDescent="0.25">
      <c r="A167">
        <v>62</v>
      </c>
      <c r="B167">
        <v>2</v>
      </c>
      <c r="C167" t="s">
        <v>68</v>
      </c>
      <c r="D167" t="s">
        <v>619</v>
      </c>
      <c r="E167">
        <v>18</v>
      </c>
      <c r="F167">
        <v>30</v>
      </c>
      <c r="G167">
        <v>2</v>
      </c>
      <c r="H167">
        <v>59</v>
      </c>
      <c r="I167">
        <f>Cocina[[#This Row],[Precio Unitario]]*Cocina[[#This Row],[Cantidad Ordenada]]</f>
        <v>60</v>
      </c>
      <c r="J167">
        <f>(Cocina[[#This Row],[Precio Unitario]]-Cocina[[#This Row],[Costo Unitario]])*Cocina[[#This Row],[Cantidad Ordenada]]</f>
        <v>24</v>
      </c>
      <c r="K167" s="4">
        <f>Cocina[[#This Row],[Ganancia neta]]/_xlfn.XLOOKUP(Cocina[[#This Row],[Número de Orden]],Sala[Número de Orden],Sala[Monto total],"fracaso",0,1)</f>
        <v>0.16216216216216217</v>
      </c>
      <c r="L167" t="s">
        <v>608</v>
      </c>
    </row>
    <row r="168" spans="1:12" x14ac:dyDescent="0.25">
      <c r="A168">
        <v>62</v>
      </c>
      <c r="B168">
        <v>2</v>
      </c>
      <c r="C168" t="s">
        <v>112</v>
      </c>
      <c r="D168" t="s">
        <v>627</v>
      </c>
      <c r="E168">
        <v>11</v>
      </c>
      <c r="F168">
        <v>19</v>
      </c>
      <c r="G168">
        <v>3</v>
      </c>
      <c r="H168">
        <v>46</v>
      </c>
      <c r="I168">
        <f>Cocina[[#This Row],[Precio Unitario]]*Cocina[[#This Row],[Cantidad Ordenada]]</f>
        <v>57</v>
      </c>
      <c r="J168">
        <f>(Cocina[[#This Row],[Precio Unitario]]-Cocina[[#This Row],[Costo Unitario]])*Cocina[[#This Row],[Cantidad Ordenada]]</f>
        <v>24</v>
      </c>
      <c r="K168" s="4">
        <f>Cocina[[#This Row],[Ganancia neta]]/_xlfn.XLOOKUP(Cocina[[#This Row],[Número de Orden]],Sala[Número de Orden],Sala[Monto total],"fracaso",0,1)</f>
        <v>0.16216216216216217</v>
      </c>
      <c r="L168" t="s">
        <v>608</v>
      </c>
    </row>
    <row r="169" spans="1:12" x14ac:dyDescent="0.25">
      <c r="A169">
        <v>62</v>
      </c>
      <c r="B169">
        <v>2</v>
      </c>
      <c r="C169" t="s">
        <v>116</v>
      </c>
      <c r="D169" t="s">
        <v>620</v>
      </c>
      <c r="E169">
        <v>19</v>
      </c>
      <c r="F169">
        <v>31</v>
      </c>
      <c r="G169">
        <v>1</v>
      </c>
      <c r="H169">
        <v>50</v>
      </c>
      <c r="I169">
        <f>Cocina[[#This Row],[Precio Unitario]]*Cocina[[#This Row],[Cantidad Ordenada]]</f>
        <v>31</v>
      </c>
      <c r="J169">
        <f>(Cocina[[#This Row],[Precio Unitario]]-Cocina[[#This Row],[Costo Unitario]])*Cocina[[#This Row],[Cantidad Ordenada]]</f>
        <v>12</v>
      </c>
      <c r="K169" s="4">
        <f>Cocina[[#This Row],[Ganancia neta]]/_xlfn.XLOOKUP(Cocina[[#This Row],[Número de Orden]],Sala[Número de Orden],Sala[Monto total],"fracaso",0,1)</f>
        <v>8.1081081081081086E-2</v>
      </c>
      <c r="L169" t="s">
        <v>608</v>
      </c>
    </row>
    <row r="170" spans="1:12" x14ac:dyDescent="0.25">
      <c r="A170">
        <v>63</v>
      </c>
      <c r="B170">
        <v>17</v>
      </c>
      <c r="C170" t="s">
        <v>146</v>
      </c>
      <c r="D170" t="s">
        <v>632</v>
      </c>
      <c r="E170">
        <v>12</v>
      </c>
      <c r="F170">
        <v>20</v>
      </c>
      <c r="G170">
        <v>1</v>
      </c>
      <c r="H170">
        <v>10</v>
      </c>
      <c r="I170">
        <f>Cocina[[#This Row],[Precio Unitario]]*Cocina[[#This Row],[Cantidad Ordenada]]</f>
        <v>20</v>
      </c>
      <c r="J170">
        <f>(Cocina[[#This Row],[Precio Unitario]]-Cocina[[#This Row],[Costo Unitario]])*Cocina[[#This Row],[Cantidad Ordenada]]</f>
        <v>8</v>
      </c>
      <c r="K170" s="4">
        <f>Cocina[[#This Row],[Ganancia neta]]/_xlfn.XLOOKUP(Cocina[[#This Row],[Número de Orden]],Sala[Número de Orden],Sala[Monto total],"fracaso",0,1)</f>
        <v>0.14545454545454545</v>
      </c>
      <c r="L170" t="s">
        <v>608</v>
      </c>
    </row>
    <row r="171" spans="1:12" x14ac:dyDescent="0.25">
      <c r="A171">
        <v>63</v>
      </c>
      <c r="B171">
        <v>17</v>
      </c>
      <c r="C171" t="s">
        <v>26</v>
      </c>
      <c r="D171" t="s">
        <v>628</v>
      </c>
      <c r="E171">
        <v>21</v>
      </c>
      <c r="F171">
        <v>35</v>
      </c>
      <c r="G171">
        <v>1</v>
      </c>
      <c r="H171">
        <v>20</v>
      </c>
      <c r="I171">
        <f>Cocina[[#This Row],[Precio Unitario]]*Cocina[[#This Row],[Cantidad Ordenada]]</f>
        <v>35</v>
      </c>
      <c r="J171">
        <f>(Cocina[[#This Row],[Precio Unitario]]-Cocina[[#This Row],[Costo Unitario]])*Cocina[[#This Row],[Cantidad Ordenada]]</f>
        <v>14</v>
      </c>
      <c r="K171" s="4">
        <f>Cocina[[#This Row],[Ganancia neta]]/_xlfn.XLOOKUP(Cocina[[#This Row],[Número de Orden]],Sala[Número de Orden],Sala[Monto total],"fracaso",0,1)</f>
        <v>0.25454545454545452</v>
      </c>
      <c r="L171" t="s">
        <v>607</v>
      </c>
    </row>
    <row r="172" spans="1:12" x14ac:dyDescent="0.25">
      <c r="A172">
        <v>64</v>
      </c>
      <c r="B172">
        <v>3</v>
      </c>
      <c r="C172" t="s">
        <v>146</v>
      </c>
      <c r="D172" t="s">
        <v>632</v>
      </c>
      <c r="E172">
        <v>12</v>
      </c>
      <c r="F172">
        <v>20</v>
      </c>
      <c r="G172">
        <v>3</v>
      </c>
      <c r="H172">
        <v>25</v>
      </c>
      <c r="I172">
        <f>Cocina[[#This Row],[Precio Unitario]]*Cocina[[#This Row],[Cantidad Ordenada]]</f>
        <v>60</v>
      </c>
      <c r="J172">
        <f>(Cocina[[#This Row],[Precio Unitario]]-Cocina[[#This Row],[Costo Unitario]])*Cocina[[#This Row],[Cantidad Ordenada]]</f>
        <v>24</v>
      </c>
      <c r="K172" s="4">
        <f>Cocina[[#This Row],[Ganancia neta]]/_xlfn.XLOOKUP(Cocina[[#This Row],[Número de Orden]],Sala[Número de Orden],Sala[Monto total],"fracaso",0,1)</f>
        <v>8.3333333333333329E-2</v>
      </c>
      <c r="L172" t="s">
        <v>607</v>
      </c>
    </row>
    <row r="173" spans="1:12" x14ac:dyDescent="0.25">
      <c r="A173">
        <v>64</v>
      </c>
      <c r="B173">
        <v>3</v>
      </c>
      <c r="C173" t="s">
        <v>48</v>
      </c>
      <c r="D173" t="s">
        <v>622</v>
      </c>
      <c r="E173">
        <v>25</v>
      </c>
      <c r="F173">
        <v>40</v>
      </c>
      <c r="G173">
        <v>3</v>
      </c>
      <c r="H173">
        <v>47</v>
      </c>
      <c r="I173">
        <f>Cocina[[#This Row],[Precio Unitario]]*Cocina[[#This Row],[Cantidad Ordenada]]</f>
        <v>120</v>
      </c>
      <c r="J173">
        <f>(Cocina[[#This Row],[Precio Unitario]]-Cocina[[#This Row],[Costo Unitario]])*Cocina[[#This Row],[Cantidad Ordenada]]</f>
        <v>45</v>
      </c>
      <c r="K173" s="4">
        <f>Cocina[[#This Row],[Ganancia neta]]/_xlfn.XLOOKUP(Cocina[[#This Row],[Número de Orden]],Sala[Número de Orden],Sala[Monto total],"fracaso",0,1)</f>
        <v>0.15625</v>
      </c>
      <c r="L173" t="s">
        <v>608</v>
      </c>
    </row>
    <row r="174" spans="1:12" x14ac:dyDescent="0.25">
      <c r="A174">
        <v>64</v>
      </c>
      <c r="B174">
        <v>3</v>
      </c>
      <c r="C174" t="s">
        <v>73</v>
      </c>
      <c r="D174" t="s">
        <v>623</v>
      </c>
      <c r="E174">
        <v>22</v>
      </c>
      <c r="F174">
        <v>36</v>
      </c>
      <c r="G174">
        <v>3</v>
      </c>
      <c r="H174">
        <v>10</v>
      </c>
      <c r="I174">
        <f>Cocina[[#This Row],[Precio Unitario]]*Cocina[[#This Row],[Cantidad Ordenada]]</f>
        <v>108</v>
      </c>
      <c r="J174">
        <f>(Cocina[[#This Row],[Precio Unitario]]-Cocina[[#This Row],[Costo Unitario]])*Cocina[[#This Row],[Cantidad Ordenada]]</f>
        <v>42</v>
      </c>
      <c r="K174" s="4">
        <f>Cocina[[#This Row],[Ganancia neta]]/_xlfn.XLOOKUP(Cocina[[#This Row],[Número de Orden]],Sala[Número de Orden],Sala[Monto total],"fracaso",0,1)</f>
        <v>0.14583333333333334</v>
      </c>
      <c r="L174" t="s">
        <v>607</v>
      </c>
    </row>
    <row r="175" spans="1:12" x14ac:dyDescent="0.25">
      <c r="A175">
        <v>65</v>
      </c>
      <c r="B175">
        <v>5</v>
      </c>
      <c r="C175" t="s">
        <v>42</v>
      </c>
      <c r="D175" t="s">
        <v>626</v>
      </c>
      <c r="E175">
        <v>16</v>
      </c>
      <c r="F175">
        <v>28</v>
      </c>
      <c r="G175">
        <v>1</v>
      </c>
      <c r="H175">
        <v>32</v>
      </c>
      <c r="I175">
        <f>Cocina[[#This Row],[Precio Unitario]]*Cocina[[#This Row],[Cantidad Ordenada]]</f>
        <v>28</v>
      </c>
      <c r="J175">
        <f>(Cocina[[#This Row],[Precio Unitario]]-Cocina[[#This Row],[Costo Unitario]])*Cocina[[#This Row],[Cantidad Ordenada]]</f>
        <v>12</v>
      </c>
      <c r="K175" s="4">
        <f>Cocina[[#This Row],[Ganancia neta]]/_xlfn.XLOOKUP(Cocina[[#This Row],[Número de Orden]],Sala[Número de Orden],Sala[Monto total],"fracaso",0,1)</f>
        <v>6.1224489795918366E-2</v>
      </c>
      <c r="L175" t="s">
        <v>608</v>
      </c>
    </row>
    <row r="176" spans="1:12" x14ac:dyDescent="0.25">
      <c r="A176">
        <v>65</v>
      </c>
      <c r="B176">
        <v>5</v>
      </c>
      <c r="C176" t="s">
        <v>116</v>
      </c>
      <c r="D176" t="s">
        <v>620</v>
      </c>
      <c r="E176">
        <v>19</v>
      </c>
      <c r="F176">
        <v>31</v>
      </c>
      <c r="G176">
        <v>1</v>
      </c>
      <c r="H176">
        <v>55</v>
      </c>
      <c r="I176">
        <f>Cocina[[#This Row],[Precio Unitario]]*Cocina[[#This Row],[Cantidad Ordenada]]</f>
        <v>31</v>
      </c>
      <c r="J176">
        <f>(Cocina[[#This Row],[Precio Unitario]]-Cocina[[#This Row],[Costo Unitario]])*Cocina[[#This Row],[Cantidad Ordenada]]</f>
        <v>12</v>
      </c>
      <c r="K176" s="4">
        <f>Cocina[[#This Row],[Ganancia neta]]/_xlfn.XLOOKUP(Cocina[[#This Row],[Número de Orden]],Sala[Número de Orden],Sala[Monto total],"fracaso",0,1)</f>
        <v>6.1224489795918366E-2</v>
      </c>
      <c r="L176" t="s">
        <v>608</v>
      </c>
    </row>
    <row r="177" spans="1:12" x14ac:dyDescent="0.25">
      <c r="A177">
        <v>65</v>
      </c>
      <c r="B177">
        <v>5</v>
      </c>
      <c r="C177" t="s">
        <v>112</v>
      </c>
      <c r="D177" t="s">
        <v>627</v>
      </c>
      <c r="E177">
        <v>11</v>
      </c>
      <c r="F177">
        <v>19</v>
      </c>
      <c r="G177">
        <v>3</v>
      </c>
      <c r="H177">
        <v>51</v>
      </c>
      <c r="I177">
        <f>Cocina[[#This Row],[Precio Unitario]]*Cocina[[#This Row],[Cantidad Ordenada]]</f>
        <v>57</v>
      </c>
      <c r="J177">
        <f>(Cocina[[#This Row],[Precio Unitario]]-Cocina[[#This Row],[Costo Unitario]])*Cocina[[#This Row],[Cantidad Ordenada]]</f>
        <v>24</v>
      </c>
      <c r="K177" s="4">
        <f>Cocina[[#This Row],[Ganancia neta]]/_xlfn.XLOOKUP(Cocina[[#This Row],[Número de Orden]],Sala[Número de Orden],Sala[Monto total],"fracaso",0,1)</f>
        <v>0.12244897959183673</v>
      </c>
      <c r="L177" t="s">
        <v>607</v>
      </c>
    </row>
    <row r="178" spans="1:12" x14ac:dyDescent="0.25">
      <c r="A178">
        <v>65</v>
      </c>
      <c r="B178">
        <v>5</v>
      </c>
      <c r="C178" t="s">
        <v>48</v>
      </c>
      <c r="D178" t="s">
        <v>622</v>
      </c>
      <c r="E178">
        <v>25</v>
      </c>
      <c r="F178">
        <v>40</v>
      </c>
      <c r="G178">
        <v>2</v>
      </c>
      <c r="H178">
        <v>17</v>
      </c>
      <c r="I178">
        <f>Cocina[[#This Row],[Precio Unitario]]*Cocina[[#This Row],[Cantidad Ordenada]]</f>
        <v>80</v>
      </c>
      <c r="J178">
        <f>(Cocina[[#This Row],[Precio Unitario]]-Cocina[[#This Row],[Costo Unitario]])*Cocina[[#This Row],[Cantidad Ordenada]]</f>
        <v>30</v>
      </c>
      <c r="K178" s="4">
        <f>Cocina[[#This Row],[Ganancia neta]]/_xlfn.XLOOKUP(Cocina[[#This Row],[Número de Orden]],Sala[Número de Orden],Sala[Monto total],"fracaso",0,1)</f>
        <v>0.15306122448979592</v>
      </c>
      <c r="L178" t="s">
        <v>607</v>
      </c>
    </row>
    <row r="179" spans="1:12" x14ac:dyDescent="0.25">
      <c r="A179">
        <v>66</v>
      </c>
      <c r="B179">
        <v>18</v>
      </c>
      <c r="C179" t="s">
        <v>73</v>
      </c>
      <c r="D179" t="s">
        <v>623</v>
      </c>
      <c r="E179">
        <v>22</v>
      </c>
      <c r="F179">
        <v>36</v>
      </c>
      <c r="G179">
        <v>1</v>
      </c>
      <c r="H179">
        <v>29</v>
      </c>
      <c r="I179">
        <f>Cocina[[#This Row],[Precio Unitario]]*Cocina[[#This Row],[Cantidad Ordenada]]</f>
        <v>36</v>
      </c>
      <c r="J179">
        <f>(Cocina[[#This Row],[Precio Unitario]]-Cocina[[#This Row],[Costo Unitario]])*Cocina[[#This Row],[Cantidad Ordenada]]</f>
        <v>14</v>
      </c>
      <c r="K179" s="4">
        <f>Cocina[[#This Row],[Ganancia neta]]/_xlfn.XLOOKUP(Cocina[[#This Row],[Número de Orden]],Sala[Número de Orden],Sala[Monto total],"fracaso",0,1)</f>
        <v>6.6666666666666666E-2</v>
      </c>
      <c r="L179" t="s">
        <v>607</v>
      </c>
    </row>
    <row r="180" spans="1:12" x14ac:dyDescent="0.25">
      <c r="A180">
        <v>66</v>
      </c>
      <c r="B180">
        <v>18</v>
      </c>
      <c r="C180" t="s">
        <v>48</v>
      </c>
      <c r="D180" t="s">
        <v>622</v>
      </c>
      <c r="E180">
        <v>25</v>
      </c>
      <c r="F180">
        <v>40</v>
      </c>
      <c r="G180">
        <v>3</v>
      </c>
      <c r="H180">
        <v>30</v>
      </c>
      <c r="I180">
        <f>Cocina[[#This Row],[Precio Unitario]]*Cocina[[#This Row],[Cantidad Ordenada]]</f>
        <v>120</v>
      </c>
      <c r="J180">
        <f>(Cocina[[#This Row],[Precio Unitario]]-Cocina[[#This Row],[Costo Unitario]])*Cocina[[#This Row],[Cantidad Ordenada]]</f>
        <v>45</v>
      </c>
      <c r="K180" s="4">
        <f>Cocina[[#This Row],[Ganancia neta]]/_xlfn.XLOOKUP(Cocina[[#This Row],[Número de Orden]],Sala[Número de Orden],Sala[Monto total],"fracaso",0,1)</f>
        <v>0.21428571428571427</v>
      </c>
      <c r="L180" t="s">
        <v>607</v>
      </c>
    </row>
    <row r="181" spans="1:12" x14ac:dyDescent="0.25">
      <c r="A181">
        <v>66</v>
      </c>
      <c r="B181">
        <v>18</v>
      </c>
      <c r="C181" t="s">
        <v>79</v>
      </c>
      <c r="D181" t="s">
        <v>635</v>
      </c>
      <c r="E181">
        <v>10</v>
      </c>
      <c r="F181">
        <v>18</v>
      </c>
      <c r="G181">
        <v>3</v>
      </c>
      <c r="H181">
        <v>55</v>
      </c>
      <c r="I181">
        <f>Cocina[[#This Row],[Precio Unitario]]*Cocina[[#This Row],[Cantidad Ordenada]]</f>
        <v>54</v>
      </c>
      <c r="J181">
        <f>(Cocina[[#This Row],[Precio Unitario]]-Cocina[[#This Row],[Costo Unitario]])*Cocina[[#This Row],[Cantidad Ordenada]]</f>
        <v>24</v>
      </c>
      <c r="K181" s="4">
        <f>Cocina[[#This Row],[Ganancia neta]]/_xlfn.XLOOKUP(Cocina[[#This Row],[Número de Orden]],Sala[Número de Orden],Sala[Monto total],"fracaso",0,1)</f>
        <v>0.11428571428571428</v>
      </c>
      <c r="L181" t="s">
        <v>608</v>
      </c>
    </row>
    <row r="182" spans="1:12" x14ac:dyDescent="0.25">
      <c r="A182">
        <v>67</v>
      </c>
      <c r="B182">
        <v>2</v>
      </c>
      <c r="C182" t="s">
        <v>48</v>
      </c>
      <c r="D182" t="s">
        <v>622</v>
      </c>
      <c r="E182">
        <v>25</v>
      </c>
      <c r="F182">
        <v>40</v>
      </c>
      <c r="G182">
        <v>1</v>
      </c>
      <c r="H182">
        <v>22</v>
      </c>
      <c r="I182">
        <f>Cocina[[#This Row],[Precio Unitario]]*Cocina[[#This Row],[Cantidad Ordenada]]</f>
        <v>40</v>
      </c>
      <c r="J182">
        <f>(Cocina[[#This Row],[Precio Unitario]]-Cocina[[#This Row],[Costo Unitario]])*Cocina[[#This Row],[Cantidad Ordenada]]</f>
        <v>15</v>
      </c>
      <c r="K182" s="4">
        <f>Cocina[[#This Row],[Ganancia neta]]/_xlfn.XLOOKUP(Cocina[[#This Row],[Número de Orden]],Sala[Número de Orden],Sala[Monto total],"fracaso",0,1)</f>
        <v>5.859375E-2</v>
      </c>
      <c r="L182" t="s">
        <v>607</v>
      </c>
    </row>
    <row r="183" spans="1:12" x14ac:dyDescent="0.25">
      <c r="A183">
        <v>67</v>
      </c>
      <c r="B183">
        <v>2</v>
      </c>
      <c r="C183" t="s">
        <v>73</v>
      </c>
      <c r="D183" t="s">
        <v>623</v>
      </c>
      <c r="E183">
        <v>22</v>
      </c>
      <c r="F183">
        <v>36</v>
      </c>
      <c r="G183">
        <v>3</v>
      </c>
      <c r="H183">
        <v>59</v>
      </c>
      <c r="I183">
        <f>Cocina[[#This Row],[Precio Unitario]]*Cocina[[#This Row],[Cantidad Ordenada]]</f>
        <v>108</v>
      </c>
      <c r="J183">
        <f>(Cocina[[#This Row],[Precio Unitario]]-Cocina[[#This Row],[Costo Unitario]])*Cocina[[#This Row],[Cantidad Ordenada]]</f>
        <v>42</v>
      </c>
      <c r="K183" s="4">
        <f>Cocina[[#This Row],[Ganancia neta]]/_xlfn.XLOOKUP(Cocina[[#This Row],[Número de Orden]],Sala[Número de Orden],Sala[Monto total],"fracaso",0,1)</f>
        <v>0.1640625</v>
      </c>
      <c r="L183" t="s">
        <v>608</v>
      </c>
    </row>
    <row r="184" spans="1:12" x14ac:dyDescent="0.25">
      <c r="A184">
        <v>67</v>
      </c>
      <c r="B184">
        <v>2</v>
      </c>
      <c r="C184" t="s">
        <v>155</v>
      </c>
      <c r="D184" t="s">
        <v>636</v>
      </c>
      <c r="E184">
        <v>15</v>
      </c>
      <c r="F184">
        <v>26</v>
      </c>
      <c r="G184">
        <v>3</v>
      </c>
      <c r="H184">
        <v>15</v>
      </c>
      <c r="I184">
        <f>Cocina[[#This Row],[Precio Unitario]]*Cocina[[#This Row],[Cantidad Ordenada]]</f>
        <v>78</v>
      </c>
      <c r="J184">
        <f>(Cocina[[#This Row],[Precio Unitario]]-Cocina[[#This Row],[Costo Unitario]])*Cocina[[#This Row],[Cantidad Ordenada]]</f>
        <v>33</v>
      </c>
      <c r="K184" s="4">
        <f>Cocina[[#This Row],[Ganancia neta]]/_xlfn.XLOOKUP(Cocina[[#This Row],[Número de Orden]],Sala[Número de Orden],Sala[Monto total],"fracaso",0,1)</f>
        <v>0.12890625</v>
      </c>
      <c r="L184" t="s">
        <v>608</v>
      </c>
    </row>
    <row r="185" spans="1:12" x14ac:dyDescent="0.25">
      <c r="A185">
        <v>67</v>
      </c>
      <c r="B185">
        <v>2</v>
      </c>
      <c r="C185" t="s">
        <v>68</v>
      </c>
      <c r="D185" t="s">
        <v>619</v>
      </c>
      <c r="E185">
        <v>18</v>
      </c>
      <c r="F185">
        <v>30</v>
      </c>
      <c r="G185">
        <v>1</v>
      </c>
      <c r="H185">
        <v>35</v>
      </c>
      <c r="I185">
        <f>Cocina[[#This Row],[Precio Unitario]]*Cocina[[#This Row],[Cantidad Ordenada]]</f>
        <v>30</v>
      </c>
      <c r="J185">
        <f>(Cocina[[#This Row],[Precio Unitario]]-Cocina[[#This Row],[Costo Unitario]])*Cocina[[#This Row],[Cantidad Ordenada]]</f>
        <v>12</v>
      </c>
      <c r="K185" s="4">
        <f>Cocina[[#This Row],[Ganancia neta]]/_xlfn.XLOOKUP(Cocina[[#This Row],[Número de Orden]],Sala[Número de Orden],Sala[Monto total],"fracaso",0,1)</f>
        <v>4.6875E-2</v>
      </c>
      <c r="L185" t="s">
        <v>608</v>
      </c>
    </row>
    <row r="186" spans="1:12" x14ac:dyDescent="0.25">
      <c r="A186">
        <v>68</v>
      </c>
      <c r="B186">
        <v>8</v>
      </c>
      <c r="C186" t="s">
        <v>200</v>
      </c>
      <c r="D186" t="s">
        <v>633</v>
      </c>
      <c r="E186">
        <v>14</v>
      </c>
      <c r="F186">
        <v>23</v>
      </c>
      <c r="G186">
        <v>3</v>
      </c>
      <c r="H186">
        <v>43</v>
      </c>
      <c r="I186">
        <f>Cocina[[#This Row],[Precio Unitario]]*Cocina[[#This Row],[Cantidad Ordenada]]</f>
        <v>69</v>
      </c>
      <c r="J186">
        <f>(Cocina[[#This Row],[Precio Unitario]]-Cocina[[#This Row],[Costo Unitario]])*Cocina[[#This Row],[Cantidad Ordenada]]</f>
        <v>27</v>
      </c>
      <c r="K186" s="4">
        <f>Cocina[[#This Row],[Ganancia neta]]/_xlfn.XLOOKUP(Cocina[[#This Row],[Número de Orden]],Sala[Número de Orden],Sala[Monto total],"fracaso",0,1)</f>
        <v>0.12385321100917432</v>
      </c>
      <c r="L186" t="s">
        <v>607</v>
      </c>
    </row>
    <row r="187" spans="1:12" x14ac:dyDescent="0.25">
      <c r="A187">
        <v>68</v>
      </c>
      <c r="B187">
        <v>8</v>
      </c>
      <c r="C187" t="s">
        <v>42</v>
      </c>
      <c r="D187" t="s">
        <v>626</v>
      </c>
      <c r="E187">
        <v>16</v>
      </c>
      <c r="F187">
        <v>28</v>
      </c>
      <c r="G187">
        <v>1</v>
      </c>
      <c r="H187">
        <v>19</v>
      </c>
      <c r="I187">
        <f>Cocina[[#This Row],[Precio Unitario]]*Cocina[[#This Row],[Cantidad Ordenada]]</f>
        <v>28</v>
      </c>
      <c r="J187">
        <f>(Cocina[[#This Row],[Precio Unitario]]-Cocina[[#This Row],[Costo Unitario]])*Cocina[[#This Row],[Cantidad Ordenada]]</f>
        <v>12</v>
      </c>
      <c r="K187" s="4">
        <f>Cocina[[#This Row],[Ganancia neta]]/_xlfn.XLOOKUP(Cocina[[#This Row],[Número de Orden]],Sala[Número de Orden],Sala[Monto total],"fracaso",0,1)</f>
        <v>5.5045871559633031E-2</v>
      </c>
      <c r="L187" t="s">
        <v>608</v>
      </c>
    </row>
    <row r="188" spans="1:12" x14ac:dyDescent="0.25">
      <c r="A188">
        <v>68</v>
      </c>
      <c r="B188">
        <v>8</v>
      </c>
      <c r="C188" t="s">
        <v>247</v>
      </c>
      <c r="D188" t="s">
        <v>629</v>
      </c>
      <c r="E188">
        <v>19</v>
      </c>
      <c r="F188">
        <v>32</v>
      </c>
      <c r="G188">
        <v>3</v>
      </c>
      <c r="H188">
        <v>57</v>
      </c>
      <c r="I188">
        <f>Cocina[[#This Row],[Precio Unitario]]*Cocina[[#This Row],[Cantidad Ordenada]]</f>
        <v>96</v>
      </c>
      <c r="J188">
        <f>(Cocina[[#This Row],[Precio Unitario]]-Cocina[[#This Row],[Costo Unitario]])*Cocina[[#This Row],[Cantidad Ordenada]]</f>
        <v>39</v>
      </c>
      <c r="K188" s="4">
        <f>Cocina[[#This Row],[Ganancia neta]]/_xlfn.XLOOKUP(Cocina[[#This Row],[Número de Orden]],Sala[Número de Orden],Sala[Monto total],"fracaso",0,1)</f>
        <v>0.17889908256880735</v>
      </c>
      <c r="L188" t="s">
        <v>608</v>
      </c>
    </row>
    <row r="189" spans="1:12" x14ac:dyDescent="0.25">
      <c r="A189">
        <v>68</v>
      </c>
      <c r="B189">
        <v>8</v>
      </c>
      <c r="C189" t="s">
        <v>122</v>
      </c>
      <c r="D189" t="s">
        <v>637</v>
      </c>
      <c r="E189">
        <v>15</v>
      </c>
      <c r="F189">
        <v>25</v>
      </c>
      <c r="G189">
        <v>1</v>
      </c>
      <c r="H189">
        <v>26</v>
      </c>
      <c r="I189">
        <f>Cocina[[#This Row],[Precio Unitario]]*Cocina[[#This Row],[Cantidad Ordenada]]</f>
        <v>25</v>
      </c>
      <c r="J189">
        <f>(Cocina[[#This Row],[Precio Unitario]]-Cocina[[#This Row],[Costo Unitario]])*Cocina[[#This Row],[Cantidad Ordenada]]</f>
        <v>10</v>
      </c>
      <c r="K189" s="4">
        <f>Cocina[[#This Row],[Ganancia neta]]/_xlfn.XLOOKUP(Cocina[[#This Row],[Número de Orden]],Sala[Número de Orden],Sala[Monto total],"fracaso",0,1)</f>
        <v>4.5871559633027525E-2</v>
      </c>
      <c r="L189" t="s">
        <v>608</v>
      </c>
    </row>
    <row r="190" spans="1:12" x14ac:dyDescent="0.25">
      <c r="A190">
        <v>69</v>
      </c>
      <c r="B190">
        <v>5</v>
      </c>
      <c r="C190" t="s">
        <v>70</v>
      </c>
      <c r="D190" t="s">
        <v>634</v>
      </c>
      <c r="E190">
        <v>13</v>
      </c>
      <c r="F190">
        <v>21</v>
      </c>
      <c r="G190">
        <v>3</v>
      </c>
      <c r="H190">
        <v>20</v>
      </c>
      <c r="I190">
        <f>Cocina[[#This Row],[Precio Unitario]]*Cocina[[#This Row],[Cantidad Ordenada]]</f>
        <v>63</v>
      </c>
      <c r="J190">
        <f>(Cocina[[#This Row],[Precio Unitario]]-Cocina[[#This Row],[Costo Unitario]])*Cocina[[#This Row],[Cantidad Ordenada]]</f>
        <v>24</v>
      </c>
      <c r="K190" s="4">
        <f>Cocina[[#This Row],[Ganancia neta]]/_xlfn.XLOOKUP(Cocina[[#This Row],[Número de Orden]],Sala[Número de Orden],Sala[Monto total],"fracaso",0,1)</f>
        <v>0.10256410256410256</v>
      </c>
      <c r="L190" t="s">
        <v>607</v>
      </c>
    </row>
    <row r="191" spans="1:12" x14ac:dyDescent="0.25">
      <c r="A191">
        <v>69</v>
      </c>
      <c r="B191">
        <v>5</v>
      </c>
      <c r="C191" t="s">
        <v>158</v>
      </c>
      <c r="D191" t="s">
        <v>617</v>
      </c>
      <c r="E191">
        <v>14</v>
      </c>
      <c r="F191">
        <v>24</v>
      </c>
      <c r="G191">
        <v>3</v>
      </c>
      <c r="H191">
        <v>48</v>
      </c>
      <c r="I191">
        <f>Cocina[[#This Row],[Precio Unitario]]*Cocina[[#This Row],[Cantidad Ordenada]]</f>
        <v>72</v>
      </c>
      <c r="J191">
        <f>(Cocina[[#This Row],[Precio Unitario]]-Cocina[[#This Row],[Costo Unitario]])*Cocina[[#This Row],[Cantidad Ordenada]]</f>
        <v>30</v>
      </c>
      <c r="K191" s="4">
        <f>Cocina[[#This Row],[Ganancia neta]]/_xlfn.XLOOKUP(Cocina[[#This Row],[Número de Orden]],Sala[Número de Orden],Sala[Monto total],"fracaso",0,1)</f>
        <v>0.12820512820512819</v>
      </c>
      <c r="L191" t="s">
        <v>608</v>
      </c>
    </row>
    <row r="192" spans="1:12" x14ac:dyDescent="0.25">
      <c r="A192">
        <v>69</v>
      </c>
      <c r="B192">
        <v>5</v>
      </c>
      <c r="C192" t="s">
        <v>261</v>
      </c>
      <c r="D192" t="s">
        <v>625</v>
      </c>
      <c r="E192">
        <v>20</v>
      </c>
      <c r="F192">
        <v>33</v>
      </c>
      <c r="G192">
        <v>3</v>
      </c>
      <c r="H192">
        <v>24</v>
      </c>
      <c r="I192">
        <f>Cocina[[#This Row],[Precio Unitario]]*Cocina[[#This Row],[Cantidad Ordenada]]</f>
        <v>99</v>
      </c>
      <c r="J192">
        <f>(Cocina[[#This Row],[Precio Unitario]]-Cocina[[#This Row],[Costo Unitario]])*Cocina[[#This Row],[Cantidad Ordenada]]</f>
        <v>39</v>
      </c>
      <c r="K192" s="4">
        <f>Cocina[[#This Row],[Ganancia neta]]/_xlfn.XLOOKUP(Cocina[[#This Row],[Número de Orden]],Sala[Número de Orden],Sala[Monto total],"fracaso",0,1)</f>
        <v>0.16666666666666666</v>
      </c>
      <c r="L192" t="s">
        <v>608</v>
      </c>
    </row>
    <row r="193" spans="1:12" x14ac:dyDescent="0.25">
      <c r="A193">
        <v>70</v>
      </c>
      <c r="B193">
        <v>17</v>
      </c>
      <c r="C193" t="s">
        <v>122</v>
      </c>
      <c r="D193" t="s">
        <v>637</v>
      </c>
      <c r="E193">
        <v>15</v>
      </c>
      <c r="F193">
        <v>25</v>
      </c>
      <c r="G193">
        <v>2</v>
      </c>
      <c r="H193">
        <v>19</v>
      </c>
      <c r="I193">
        <f>Cocina[[#This Row],[Precio Unitario]]*Cocina[[#This Row],[Cantidad Ordenada]]</f>
        <v>50</v>
      </c>
      <c r="J193">
        <f>(Cocina[[#This Row],[Precio Unitario]]-Cocina[[#This Row],[Costo Unitario]])*Cocina[[#This Row],[Cantidad Ordenada]]</f>
        <v>20</v>
      </c>
      <c r="K193" s="4">
        <f>Cocina[[#This Row],[Ganancia neta]]/_xlfn.XLOOKUP(Cocina[[#This Row],[Número de Orden]],Sala[Número de Orden],Sala[Monto total],"fracaso",0,1)</f>
        <v>0.16949152542372881</v>
      </c>
      <c r="L193" t="s">
        <v>608</v>
      </c>
    </row>
    <row r="194" spans="1:12" x14ac:dyDescent="0.25">
      <c r="A194">
        <v>70</v>
      </c>
      <c r="B194">
        <v>17</v>
      </c>
      <c r="C194" t="s">
        <v>55</v>
      </c>
      <c r="D194" t="s">
        <v>631</v>
      </c>
      <c r="E194">
        <v>20</v>
      </c>
      <c r="F194">
        <v>34</v>
      </c>
      <c r="G194">
        <v>2</v>
      </c>
      <c r="H194">
        <v>21</v>
      </c>
      <c r="I194">
        <f>Cocina[[#This Row],[Precio Unitario]]*Cocina[[#This Row],[Cantidad Ordenada]]</f>
        <v>68</v>
      </c>
      <c r="J194">
        <f>(Cocina[[#This Row],[Precio Unitario]]-Cocina[[#This Row],[Costo Unitario]])*Cocina[[#This Row],[Cantidad Ordenada]]</f>
        <v>28</v>
      </c>
      <c r="K194" s="4">
        <f>Cocina[[#This Row],[Ganancia neta]]/_xlfn.XLOOKUP(Cocina[[#This Row],[Número de Orden]],Sala[Número de Orden],Sala[Monto total],"fracaso",0,1)</f>
        <v>0.23728813559322035</v>
      </c>
      <c r="L194" t="s">
        <v>608</v>
      </c>
    </row>
    <row r="195" spans="1:12" x14ac:dyDescent="0.25">
      <c r="A195">
        <v>71</v>
      </c>
      <c r="B195">
        <v>18</v>
      </c>
      <c r="C195" t="s">
        <v>68</v>
      </c>
      <c r="D195" t="s">
        <v>619</v>
      </c>
      <c r="E195">
        <v>18</v>
      </c>
      <c r="F195">
        <v>30</v>
      </c>
      <c r="G195">
        <v>3</v>
      </c>
      <c r="H195">
        <v>20</v>
      </c>
      <c r="I195">
        <f>Cocina[[#This Row],[Precio Unitario]]*Cocina[[#This Row],[Cantidad Ordenada]]</f>
        <v>90</v>
      </c>
      <c r="J195">
        <f>(Cocina[[#This Row],[Precio Unitario]]-Cocina[[#This Row],[Costo Unitario]])*Cocina[[#This Row],[Cantidad Ordenada]]</f>
        <v>36</v>
      </c>
      <c r="K195" s="4">
        <f>Cocina[[#This Row],[Ganancia neta]]/_xlfn.XLOOKUP(Cocina[[#This Row],[Número de Orden]],Sala[Número de Orden],Sala[Monto total],"fracaso",0,1)</f>
        <v>0.26470588235294118</v>
      </c>
      <c r="L195" t="s">
        <v>608</v>
      </c>
    </row>
    <row r="196" spans="1:12" x14ac:dyDescent="0.25">
      <c r="A196">
        <v>71</v>
      </c>
      <c r="B196">
        <v>18</v>
      </c>
      <c r="C196" t="s">
        <v>200</v>
      </c>
      <c r="D196" t="s">
        <v>633</v>
      </c>
      <c r="E196">
        <v>14</v>
      </c>
      <c r="F196">
        <v>23</v>
      </c>
      <c r="G196">
        <v>2</v>
      </c>
      <c r="H196">
        <v>29</v>
      </c>
      <c r="I196">
        <f>Cocina[[#This Row],[Precio Unitario]]*Cocina[[#This Row],[Cantidad Ordenada]]</f>
        <v>46</v>
      </c>
      <c r="J196">
        <f>(Cocina[[#This Row],[Precio Unitario]]-Cocina[[#This Row],[Costo Unitario]])*Cocina[[#This Row],[Cantidad Ordenada]]</f>
        <v>18</v>
      </c>
      <c r="K196" s="4">
        <f>Cocina[[#This Row],[Ganancia neta]]/_xlfn.XLOOKUP(Cocina[[#This Row],[Número de Orden]],Sala[Número de Orden],Sala[Monto total],"fracaso",0,1)</f>
        <v>0.13235294117647059</v>
      </c>
      <c r="L196" t="s">
        <v>608</v>
      </c>
    </row>
    <row r="197" spans="1:12" x14ac:dyDescent="0.25">
      <c r="A197">
        <v>72</v>
      </c>
      <c r="B197">
        <v>17</v>
      </c>
      <c r="C197" t="s">
        <v>70</v>
      </c>
      <c r="D197" t="s">
        <v>634</v>
      </c>
      <c r="E197">
        <v>13</v>
      </c>
      <c r="F197">
        <v>21</v>
      </c>
      <c r="G197">
        <v>1</v>
      </c>
      <c r="H197">
        <v>17</v>
      </c>
      <c r="I197">
        <f>Cocina[[#This Row],[Precio Unitario]]*Cocina[[#This Row],[Cantidad Ordenada]]</f>
        <v>21</v>
      </c>
      <c r="J197">
        <f>(Cocina[[#This Row],[Precio Unitario]]-Cocina[[#This Row],[Costo Unitario]])*Cocina[[#This Row],[Cantidad Ordenada]]</f>
        <v>8</v>
      </c>
      <c r="K197" s="4">
        <f>Cocina[[#This Row],[Ganancia neta]]/_xlfn.XLOOKUP(Cocina[[#This Row],[Número de Orden]],Sala[Número de Orden],Sala[Monto total],"fracaso",0,1)</f>
        <v>0.10666666666666667</v>
      </c>
      <c r="L197" t="s">
        <v>608</v>
      </c>
    </row>
    <row r="198" spans="1:12" x14ac:dyDescent="0.25">
      <c r="A198">
        <v>72</v>
      </c>
      <c r="B198">
        <v>17</v>
      </c>
      <c r="C198" t="s">
        <v>79</v>
      </c>
      <c r="D198" t="s">
        <v>635</v>
      </c>
      <c r="E198">
        <v>10</v>
      </c>
      <c r="F198">
        <v>18</v>
      </c>
      <c r="G198">
        <v>3</v>
      </c>
      <c r="H198">
        <v>37</v>
      </c>
      <c r="I198">
        <f>Cocina[[#This Row],[Precio Unitario]]*Cocina[[#This Row],[Cantidad Ordenada]]</f>
        <v>54</v>
      </c>
      <c r="J198">
        <f>(Cocina[[#This Row],[Precio Unitario]]-Cocina[[#This Row],[Costo Unitario]])*Cocina[[#This Row],[Cantidad Ordenada]]</f>
        <v>24</v>
      </c>
      <c r="K198" s="4">
        <f>Cocina[[#This Row],[Ganancia neta]]/_xlfn.XLOOKUP(Cocina[[#This Row],[Número de Orden]],Sala[Número de Orden],Sala[Monto total],"fracaso",0,1)</f>
        <v>0.32</v>
      </c>
      <c r="L198" t="s">
        <v>608</v>
      </c>
    </row>
    <row r="199" spans="1:12" x14ac:dyDescent="0.25">
      <c r="A199">
        <v>73</v>
      </c>
      <c r="B199">
        <v>1</v>
      </c>
      <c r="C199" t="s">
        <v>106</v>
      </c>
      <c r="D199" t="s">
        <v>621</v>
      </c>
      <c r="E199">
        <v>16</v>
      </c>
      <c r="F199">
        <v>27</v>
      </c>
      <c r="G199">
        <v>3</v>
      </c>
      <c r="H199">
        <v>20</v>
      </c>
      <c r="I199">
        <f>Cocina[[#This Row],[Precio Unitario]]*Cocina[[#This Row],[Cantidad Ordenada]]</f>
        <v>81</v>
      </c>
      <c r="J199">
        <f>(Cocina[[#This Row],[Precio Unitario]]-Cocina[[#This Row],[Costo Unitario]])*Cocina[[#This Row],[Cantidad Ordenada]]</f>
        <v>33</v>
      </c>
      <c r="K199" s="4">
        <f>Cocina[[#This Row],[Ganancia neta]]/_xlfn.XLOOKUP(Cocina[[#This Row],[Número de Orden]],Sala[Número de Orden],Sala[Monto total],"fracaso",0,1)</f>
        <v>0.40740740740740738</v>
      </c>
      <c r="L199" t="s">
        <v>607</v>
      </c>
    </row>
    <row r="200" spans="1:12" x14ac:dyDescent="0.25">
      <c r="A200">
        <v>74</v>
      </c>
      <c r="B200">
        <v>19</v>
      </c>
      <c r="C200" t="s">
        <v>155</v>
      </c>
      <c r="D200" t="s">
        <v>636</v>
      </c>
      <c r="E200">
        <v>15</v>
      </c>
      <c r="F200">
        <v>26</v>
      </c>
      <c r="G200">
        <v>2</v>
      </c>
      <c r="H200">
        <v>39</v>
      </c>
      <c r="I200">
        <f>Cocina[[#This Row],[Precio Unitario]]*Cocina[[#This Row],[Cantidad Ordenada]]</f>
        <v>52</v>
      </c>
      <c r="J200">
        <f>(Cocina[[#This Row],[Precio Unitario]]-Cocina[[#This Row],[Costo Unitario]])*Cocina[[#This Row],[Cantidad Ordenada]]</f>
        <v>22</v>
      </c>
      <c r="K200" s="4">
        <f>Cocina[[#This Row],[Ganancia neta]]/_xlfn.XLOOKUP(Cocina[[#This Row],[Número de Orden]],Sala[Número de Orden],Sala[Monto total],"fracaso",0,1)</f>
        <v>0.10091743119266056</v>
      </c>
      <c r="L200" t="s">
        <v>608</v>
      </c>
    </row>
    <row r="201" spans="1:12" x14ac:dyDescent="0.25">
      <c r="A201">
        <v>74</v>
      </c>
      <c r="B201">
        <v>19</v>
      </c>
      <c r="C201" t="s">
        <v>55</v>
      </c>
      <c r="D201" t="s">
        <v>631</v>
      </c>
      <c r="E201">
        <v>20</v>
      </c>
      <c r="F201">
        <v>34</v>
      </c>
      <c r="G201">
        <v>3</v>
      </c>
      <c r="H201">
        <v>37</v>
      </c>
      <c r="I201">
        <f>Cocina[[#This Row],[Precio Unitario]]*Cocina[[#This Row],[Cantidad Ordenada]]</f>
        <v>102</v>
      </c>
      <c r="J201">
        <f>(Cocina[[#This Row],[Precio Unitario]]-Cocina[[#This Row],[Costo Unitario]])*Cocina[[#This Row],[Cantidad Ordenada]]</f>
        <v>42</v>
      </c>
      <c r="K201" s="4">
        <f>Cocina[[#This Row],[Ganancia neta]]/_xlfn.XLOOKUP(Cocina[[#This Row],[Número de Orden]],Sala[Número de Orden],Sala[Monto total],"fracaso",0,1)</f>
        <v>0.19266055045871561</v>
      </c>
      <c r="L201" t="s">
        <v>607</v>
      </c>
    </row>
    <row r="202" spans="1:12" x14ac:dyDescent="0.25">
      <c r="A202">
        <v>74</v>
      </c>
      <c r="B202">
        <v>19</v>
      </c>
      <c r="C202" t="s">
        <v>247</v>
      </c>
      <c r="D202" t="s">
        <v>629</v>
      </c>
      <c r="E202">
        <v>19</v>
      </c>
      <c r="F202">
        <v>32</v>
      </c>
      <c r="G202">
        <v>2</v>
      </c>
      <c r="H202">
        <v>24</v>
      </c>
      <c r="I202">
        <f>Cocina[[#This Row],[Precio Unitario]]*Cocina[[#This Row],[Cantidad Ordenada]]</f>
        <v>64</v>
      </c>
      <c r="J202">
        <f>(Cocina[[#This Row],[Precio Unitario]]-Cocina[[#This Row],[Costo Unitario]])*Cocina[[#This Row],[Cantidad Ordenada]]</f>
        <v>26</v>
      </c>
      <c r="K202" s="4">
        <f>Cocina[[#This Row],[Ganancia neta]]/_xlfn.XLOOKUP(Cocina[[#This Row],[Número de Orden]],Sala[Número de Orden],Sala[Monto total],"fracaso",0,1)</f>
        <v>0.11926605504587157</v>
      </c>
      <c r="L202" t="s">
        <v>608</v>
      </c>
    </row>
    <row r="203" spans="1:12" x14ac:dyDescent="0.25">
      <c r="A203">
        <v>75</v>
      </c>
      <c r="B203">
        <v>19</v>
      </c>
      <c r="C203" t="s">
        <v>48</v>
      </c>
      <c r="D203" t="s">
        <v>622</v>
      </c>
      <c r="E203">
        <v>25</v>
      </c>
      <c r="F203">
        <v>40</v>
      </c>
      <c r="G203">
        <v>1</v>
      </c>
      <c r="H203">
        <v>35</v>
      </c>
      <c r="I203">
        <f>Cocina[[#This Row],[Precio Unitario]]*Cocina[[#This Row],[Cantidad Ordenada]]</f>
        <v>40</v>
      </c>
      <c r="J203">
        <f>(Cocina[[#This Row],[Precio Unitario]]-Cocina[[#This Row],[Costo Unitario]])*Cocina[[#This Row],[Cantidad Ordenada]]</f>
        <v>15</v>
      </c>
      <c r="K203" s="4">
        <f>Cocina[[#This Row],[Ganancia neta]]/_xlfn.XLOOKUP(Cocina[[#This Row],[Número de Orden]],Sala[Número de Orden],Sala[Monto total],"fracaso",0,1)</f>
        <v>0.13761467889908258</v>
      </c>
      <c r="L203" t="s">
        <v>607</v>
      </c>
    </row>
    <row r="204" spans="1:12" x14ac:dyDescent="0.25">
      <c r="A204">
        <v>75</v>
      </c>
      <c r="B204">
        <v>19</v>
      </c>
      <c r="C204" t="s">
        <v>200</v>
      </c>
      <c r="D204" t="s">
        <v>633</v>
      </c>
      <c r="E204">
        <v>14</v>
      </c>
      <c r="F204">
        <v>23</v>
      </c>
      <c r="G204">
        <v>3</v>
      </c>
      <c r="H204">
        <v>16</v>
      </c>
      <c r="I204">
        <f>Cocina[[#This Row],[Precio Unitario]]*Cocina[[#This Row],[Cantidad Ordenada]]</f>
        <v>69</v>
      </c>
      <c r="J204">
        <f>(Cocina[[#This Row],[Precio Unitario]]-Cocina[[#This Row],[Costo Unitario]])*Cocina[[#This Row],[Cantidad Ordenada]]</f>
        <v>27</v>
      </c>
      <c r="K204" s="4">
        <f>Cocina[[#This Row],[Ganancia neta]]/_xlfn.XLOOKUP(Cocina[[#This Row],[Número de Orden]],Sala[Número de Orden],Sala[Monto total],"fracaso",0,1)</f>
        <v>0.24770642201834864</v>
      </c>
      <c r="L204" t="s">
        <v>608</v>
      </c>
    </row>
    <row r="205" spans="1:12" x14ac:dyDescent="0.25">
      <c r="A205">
        <v>76</v>
      </c>
      <c r="B205">
        <v>17</v>
      </c>
      <c r="C205" t="s">
        <v>68</v>
      </c>
      <c r="D205" t="s">
        <v>619</v>
      </c>
      <c r="E205">
        <v>18</v>
      </c>
      <c r="F205">
        <v>30</v>
      </c>
      <c r="G205">
        <v>3</v>
      </c>
      <c r="H205">
        <v>13</v>
      </c>
      <c r="I205">
        <f>Cocina[[#This Row],[Precio Unitario]]*Cocina[[#This Row],[Cantidad Ordenada]]</f>
        <v>90</v>
      </c>
      <c r="J205">
        <f>(Cocina[[#This Row],[Precio Unitario]]-Cocina[[#This Row],[Costo Unitario]])*Cocina[[#This Row],[Cantidad Ordenada]]</f>
        <v>36</v>
      </c>
      <c r="K205" s="4">
        <f>Cocina[[#This Row],[Ganancia neta]]/_xlfn.XLOOKUP(Cocina[[#This Row],[Número de Orden]],Sala[Número de Orden],Sala[Monto total],"fracaso",0,1)</f>
        <v>0.22784810126582278</v>
      </c>
      <c r="L205" t="s">
        <v>608</v>
      </c>
    </row>
    <row r="206" spans="1:12" x14ac:dyDescent="0.25">
      <c r="A206">
        <v>76</v>
      </c>
      <c r="B206">
        <v>17</v>
      </c>
      <c r="C206" t="s">
        <v>79</v>
      </c>
      <c r="D206" t="s">
        <v>635</v>
      </c>
      <c r="E206">
        <v>10</v>
      </c>
      <c r="F206">
        <v>18</v>
      </c>
      <c r="G206">
        <v>1</v>
      </c>
      <c r="H206">
        <v>34</v>
      </c>
      <c r="I206">
        <f>Cocina[[#This Row],[Precio Unitario]]*Cocina[[#This Row],[Cantidad Ordenada]]</f>
        <v>18</v>
      </c>
      <c r="J206">
        <f>(Cocina[[#This Row],[Precio Unitario]]-Cocina[[#This Row],[Costo Unitario]])*Cocina[[#This Row],[Cantidad Ordenada]]</f>
        <v>8</v>
      </c>
      <c r="K206" s="4">
        <f>Cocina[[#This Row],[Ganancia neta]]/_xlfn.XLOOKUP(Cocina[[#This Row],[Número de Orden]],Sala[Número de Orden],Sala[Monto total],"fracaso",0,1)</f>
        <v>5.0632911392405063E-2</v>
      </c>
      <c r="L206" t="s">
        <v>608</v>
      </c>
    </row>
    <row r="207" spans="1:12" x14ac:dyDescent="0.25">
      <c r="A207">
        <v>76</v>
      </c>
      <c r="B207">
        <v>17</v>
      </c>
      <c r="C207" t="s">
        <v>158</v>
      </c>
      <c r="D207" t="s">
        <v>617</v>
      </c>
      <c r="E207">
        <v>14</v>
      </c>
      <c r="F207">
        <v>24</v>
      </c>
      <c r="G207">
        <v>1</v>
      </c>
      <c r="H207">
        <v>20</v>
      </c>
      <c r="I207">
        <f>Cocina[[#This Row],[Precio Unitario]]*Cocina[[#This Row],[Cantidad Ordenada]]</f>
        <v>24</v>
      </c>
      <c r="J207">
        <f>(Cocina[[#This Row],[Precio Unitario]]-Cocina[[#This Row],[Costo Unitario]])*Cocina[[#This Row],[Cantidad Ordenada]]</f>
        <v>10</v>
      </c>
      <c r="K207" s="4">
        <f>Cocina[[#This Row],[Ganancia neta]]/_xlfn.XLOOKUP(Cocina[[#This Row],[Número de Orden]],Sala[Número de Orden],Sala[Monto total],"fracaso",0,1)</f>
        <v>6.3291139240506333E-2</v>
      </c>
      <c r="L207" t="s">
        <v>607</v>
      </c>
    </row>
    <row r="208" spans="1:12" x14ac:dyDescent="0.25">
      <c r="A208">
        <v>76</v>
      </c>
      <c r="B208">
        <v>17</v>
      </c>
      <c r="C208" t="s">
        <v>155</v>
      </c>
      <c r="D208" t="s">
        <v>636</v>
      </c>
      <c r="E208">
        <v>15</v>
      </c>
      <c r="F208">
        <v>26</v>
      </c>
      <c r="G208">
        <v>1</v>
      </c>
      <c r="H208">
        <v>30</v>
      </c>
      <c r="I208">
        <f>Cocina[[#This Row],[Precio Unitario]]*Cocina[[#This Row],[Cantidad Ordenada]]</f>
        <v>26</v>
      </c>
      <c r="J208">
        <f>(Cocina[[#This Row],[Precio Unitario]]-Cocina[[#This Row],[Costo Unitario]])*Cocina[[#This Row],[Cantidad Ordenada]]</f>
        <v>11</v>
      </c>
      <c r="K208" s="4">
        <f>Cocina[[#This Row],[Ganancia neta]]/_xlfn.XLOOKUP(Cocina[[#This Row],[Número de Orden]],Sala[Número de Orden],Sala[Monto total],"fracaso",0,1)</f>
        <v>6.9620253164556958E-2</v>
      </c>
      <c r="L208" t="s">
        <v>607</v>
      </c>
    </row>
    <row r="209" spans="1:12" x14ac:dyDescent="0.25">
      <c r="A209">
        <v>77</v>
      </c>
      <c r="B209">
        <v>3</v>
      </c>
      <c r="C209" t="s">
        <v>79</v>
      </c>
      <c r="D209" t="s">
        <v>635</v>
      </c>
      <c r="E209">
        <v>10</v>
      </c>
      <c r="F209">
        <v>18</v>
      </c>
      <c r="G209">
        <v>1</v>
      </c>
      <c r="H209">
        <v>34</v>
      </c>
      <c r="I209">
        <f>Cocina[[#This Row],[Precio Unitario]]*Cocina[[#This Row],[Cantidad Ordenada]]</f>
        <v>18</v>
      </c>
      <c r="J209">
        <f>(Cocina[[#This Row],[Precio Unitario]]-Cocina[[#This Row],[Costo Unitario]])*Cocina[[#This Row],[Cantidad Ordenada]]</f>
        <v>8</v>
      </c>
      <c r="K209" s="4">
        <f>Cocina[[#This Row],[Ganancia neta]]/_xlfn.XLOOKUP(Cocina[[#This Row],[Número de Orden]],Sala[Número de Orden],Sala[Monto total],"fracaso",0,1)</f>
        <v>8.0808080808080815E-2</v>
      </c>
      <c r="L209" t="s">
        <v>608</v>
      </c>
    </row>
    <row r="210" spans="1:12" x14ac:dyDescent="0.25">
      <c r="A210">
        <v>77</v>
      </c>
      <c r="B210">
        <v>3</v>
      </c>
      <c r="C210" t="s">
        <v>158</v>
      </c>
      <c r="D210" t="s">
        <v>617</v>
      </c>
      <c r="E210">
        <v>14</v>
      </c>
      <c r="F210">
        <v>24</v>
      </c>
      <c r="G210">
        <v>2</v>
      </c>
      <c r="H210">
        <v>55</v>
      </c>
      <c r="I210">
        <f>Cocina[[#This Row],[Precio Unitario]]*Cocina[[#This Row],[Cantidad Ordenada]]</f>
        <v>48</v>
      </c>
      <c r="J210">
        <f>(Cocina[[#This Row],[Precio Unitario]]-Cocina[[#This Row],[Costo Unitario]])*Cocina[[#This Row],[Cantidad Ordenada]]</f>
        <v>20</v>
      </c>
      <c r="K210" s="4">
        <f>Cocina[[#This Row],[Ganancia neta]]/_xlfn.XLOOKUP(Cocina[[#This Row],[Número de Orden]],Sala[Número de Orden],Sala[Monto total],"fracaso",0,1)</f>
        <v>0.20202020202020202</v>
      </c>
      <c r="L210" t="s">
        <v>607</v>
      </c>
    </row>
    <row r="211" spans="1:12" x14ac:dyDescent="0.25">
      <c r="A211">
        <v>77</v>
      </c>
      <c r="B211">
        <v>3</v>
      </c>
      <c r="C211" t="s">
        <v>261</v>
      </c>
      <c r="D211" t="s">
        <v>625</v>
      </c>
      <c r="E211">
        <v>20</v>
      </c>
      <c r="F211">
        <v>33</v>
      </c>
      <c r="G211">
        <v>1</v>
      </c>
      <c r="H211">
        <v>8</v>
      </c>
      <c r="I211">
        <f>Cocina[[#This Row],[Precio Unitario]]*Cocina[[#This Row],[Cantidad Ordenada]]</f>
        <v>33</v>
      </c>
      <c r="J211">
        <f>(Cocina[[#This Row],[Precio Unitario]]-Cocina[[#This Row],[Costo Unitario]])*Cocina[[#This Row],[Cantidad Ordenada]]</f>
        <v>13</v>
      </c>
      <c r="K211" s="4">
        <f>Cocina[[#This Row],[Ganancia neta]]/_xlfn.XLOOKUP(Cocina[[#This Row],[Número de Orden]],Sala[Número de Orden],Sala[Monto total],"fracaso",0,1)</f>
        <v>0.13131313131313133</v>
      </c>
      <c r="L211" t="s">
        <v>608</v>
      </c>
    </row>
    <row r="212" spans="1:12" x14ac:dyDescent="0.25">
      <c r="A212">
        <v>78</v>
      </c>
      <c r="B212">
        <v>7</v>
      </c>
      <c r="C212" t="s">
        <v>112</v>
      </c>
      <c r="D212" t="s">
        <v>627</v>
      </c>
      <c r="E212">
        <v>11</v>
      </c>
      <c r="F212">
        <v>19</v>
      </c>
      <c r="G212">
        <v>3</v>
      </c>
      <c r="H212">
        <v>54</v>
      </c>
      <c r="I212">
        <f>Cocina[[#This Row],[Precio Unitario]]*Cocina[[#This Row],[Cantidad Ordenada]]</f>
        <v>57</v>
      </c>
      <c r="J212">
        <f>(Cocina[[#This Row],[Precio Unitario]]-Cocina[[#This Row],[Costo Unitario]])*Cocina[[#This Row],[Cantidad Ordenada]]</f>
        <v>24</v>
      </c>
      <c r="K212" s="4">
        <f>Cocina[[#This Row],[Ganancia neta]]/_xlfn.XLOOKUP(Cocina[[#This Row],[Número de Orden]],Sala[Número de Orden],Sala[Monto total],"fracaso",0,1)</f>
        <v>0.42105263157894735</v>
      </c>
      <c r="L212" t="s">
        <v>608</v>
      </c>
    </row>
    <row r="213" spans="1:12" x14ac:dyDescent="0.25">
      <c r="A213">
        <v>79</v>
      </c>
      <c r="B213">
        <v>16</v>
      </c>
      <c r="C213" t="s">
        <v>38</v>
      </c>
      <c r="D213" t="s">
        <v>624</v>
      </c>
      <c r="E213">
        <v>17</v>
      </c>
      <c r="F213">
        <v>29</v>
      </c>
      <c r="G213">
        <v>3</v>
      </c>
      <c r="H213">
        <v>14</v>
      </c>
      <c r="I213">
        <f>Cocina[[#This Row],[Precio Unitario]]*Cocina[[#This Row],[Cantidad Ordenada]]</f>
        <v>87</v>
      </c>
      <c r="J213">
        <f>(Cocina[[#This Row],[Precio Unitario]]-Cocina[[#This Row],[Costo Unitario]])*Cocina[[#This Row],[Cantidad Ordenada]]</f>
        <v>36</v>
      </c>
      <c r="K213" s="4">
        <f>Cocina[[#This Row],[Ganancia neta]]/_xlfn.XLOOKUP(Cocina[[#This Row],[Número de Orden]],Sala[Número de Orden],Sala[Monto total],"fracaso",0,1)</f>
        <v>0.11650485436893204</v>
      </c>
      <c r="L213" t="s">
        <v>607</v>
      </c>
    </row>
    <row r="214" spans="1:12" x14ac:dyDescent="0.25">
      <c r="A214">
        <v>79</v>
      </c>
      <c r="B214">
        <v>16</v>
      </c>
      <c r="C214" t="s">
        <v>261</v>
      </c>
      <c r="D214" t="s">
        <v>625</v>
      </c>
      <c r="E214">
        <v>20</v>
      </c>
      <c r="F214">
        <v>33</v>
      </c>
      <c r="G214">
        <v>3</v>
      </c>
      <c r="H214">
        <v>14</v>
      </c>
      <c r="I214">
        <f>Cocina[[#This Row],[Precio Unitario]]*Cocina[[#This Row],[Cantidad Ordenada]]</f>
        <v>99</v>
      </c>
      <c r="J214">
        <f>(Cocina[[#This Row],[Precio Unitario]]-Cocina[[#This Row],[Costo Unitario]])*Cocina[[#This Row],[Cantidad Ordenada]]</f>
        <v>39</v>
      </c>
      <c r="K214" s="4">
        <f>Cocina[[#This Row],[Ganancia neta]]/_xlfn.XLOOKUP(Cocina[[#This Row],[Número de Orden]],Sala[Número de Orden],Sala[Monto total],"fracaso",0,1)</f>
        <v>0.12621359223300971</v>
      </c>
      <c r="L214" t="s">
        <v>608</v>
      </c>
    </row>
    <row r="215" spans="1:12" x14ac:dyDescent="0.25">
      <c r="A215">
        <v>79</v>
      </c>
      <c r="B215">
        <v>16</v>
      </c>
      <c r="C215" t="s">
        <v>146</v>
      </c>
      <c r="D215" t="s">
        <v>632</v>
      </c>
      <c r="E215">
        <v>12</v>
      </c>
      <c r="F215">
        <v>20</v>
      </c>
      <c r="G215">
        <v>3</v>
      </c>
      <c r="H215">
        <v>25</v>
      </c>
      <c r="I215">
        <f>Cocina[[#This Row],[Precio Unitario]]*Cocina[[#This Row],[Cantidad Ordenada]]</f>
        <v>60</v>
      </c>
      <c r="J215">
        <f>(Cocina[[#This Row],[Precio Unitario]]-Cocina[[#This Row],[Costo Unitario]])*Cocina[[#This Row],[Cantidad Ordenada]]</f>
        <v>24</v>
      </c>
      <c r="K215" s="4">
        <f>Cocina[[#This Row],[Ganancia neta]]/_xlfn.XLOOKUP(Cocina[[#This Row],[Número de Orden]],Sala[Número de Orden],Sala[Monto total],"fracaso",0,1)</f>
        <v>7.7669902912621352E-2</v>
      </c>
      <c r="L215" t="s">
        <v>607</v>
      </c>
    </row>
    <row r="216" spans="1:12" x14ac:dyDescent="0.25">
      <c r="A216">
        <v>79</v>
      </c>
      <c r="B216">
        <v>16</v>
      </c>
      <c r="C216" t="s">
        <v>70</v>
      </c>
      <c r="D216" t="s">
        <v>634</v>
      </c>
      <c r="E216">
        <v>13</v>
      </c>
      <c r="F216">
        <v>21</v>
      </c>
      <c r="G216">
        <v>3</v>
      </c>
      <c r="H216">
        <v>43</v>
      </c>
      <c r="I216">
        <f>Cocina[[#This Row],[Precio Unitario]]*Cocina[[#This Row],[Cantidad Ordenada]]</f>
        <v>63</v>
      </c>
      <c r="J216">
        <f>(Cocina[[#This Row],[Precio Unitario]]-Cocina[[#This Row],[Costo Unitario]])*Cocina[[#This Row],[Cantidad Ordenada]]</f>
        <v>24</v>
      </c>
      <c r="K216" s="4">
        <f>Cocina[[#This Row],[Ganancia neta]]/_xlfn.XLOOKUP(Cocina[[#This Row],[Número de Orden]],Sala[Número de Orden],Sala[Monto total],"fracaso",0,1)</f>
        <v>7.7669902912621352E-2</v>
      </c>
      <c r="L216" t="s">
        <v>607</v>
      </c>
    </row>
    <row r="217" spans="1:12" x14ac:dyDescent="0.25">
      <c r="A217">
        <v>80</v>
      </c>
      <c r="B217">
        <v>18</v>
      </c>
      <c r="C217" t="s">
        <v>203</v>
      </c>
      <c r="D217" t="s">
        <v>630</v>
      </c>
      <c r="E217">
        <v>13</v>
      </c>
      <c r="F217">
        <v>22</v>
      </c>
      <c r="G217">
        <v>2</v>
      </c>
      <c r="H217">
        <v>5</v>
      </c>
      <c r="I217">
        <f>Cocina[[#This Row],[Precio Unitario]]*Cocina[[#This Row],[Cantidad Ordenada]]</f>
        <v>44</v>
      </c>
      <c r="J217">
        <f>(Cocina[[#This Row],[Precio Unitario]]-Cocina[[#This Row],[Costo Unitario]])*Cocina[[#This Row],[Cantidad Ordenada]]</f>
        <v>18</v>
      </c>
      <c r="K217" s="4">
        <f>Cocina[[#This Row],[Ganancia neta]]/_xlfn.XLOOKUP(Cocina[[#This Row],[Número de Orden]],Sala[Número de Orden],Sala[Monto total],"fracaso",0,1)</f>
        <v>0.1487603305785124</v>
      </c>
      <c r="L217" t="s">
        <v>607</v>
      </c>
    </row>
    <row r="218" spans="1:12" x14ac:dyDescent="0.25">
      <c r="A218">
        <v>80</v>
      </c>
      <c r="B218">
        <v>18</v>
      </c>
      <c r="C218" t="s">
        <v>38</v>
      </c>
      <c r="D218" t="s">
        <v>624</v>
      </c>
      <c r="E218">
        <v>17</v>
      </c>
      <c r="F218">
        <v>29</v>
      </c>
      <c r="G218">
        <v>1</v>
      </c>
      <c r="H218">
        <v>34</v>
      </c>
      <c r="I218">
        <f>Cocina[[#This Row],[Precio Unitario]]*Cocina[[#This Row],[Cantidad Ordenada]]</f>
        <v>29</v>
      </c>
      <c r="J218">
        <f>(Cocina[[#This Row],[Precio Unitario]]-Cocina[[#This Row],[Costo Unitario]])*Cocina[[#This Row],[Cantidad Ordenada]]</f>
        <v>12</v>
      </c>
      <c r="K218" s="4">
        <f>Cocina[[#This Row],[Ganancia neta]]/_xlfn.XLOOKUP(Cocina[[#This Row],[Número de Orden]],Sala[Número de Orden],Sala[Monto total],"fracaso",0,1)</f>
        <v>9.9173553719008267E-2</v>
      </c>
      <c r="L218" t="s">
        <v>608</v>
      </c>
    </row>
    <row r="219" spans="1:12" x14ac:dyDescent="0.25">
      <c r="A219">
        <v>80</v>
      </c>
      <c r="B219">
        <v>18</v>
      </c>
      <c r="C219" t="s">
        <v>158</v>
      </c>
      <c r="D219" t="s">
        <v>617</v>
      </c>
      <c r="E219">
        <v>14</v>
      </c>
      <c r="F219">
        <v>24</v>
      </c>
      <c r="G219">
        <v>2</v>
      </c>
      <c r="H219">
        <v>28</v>
      </c>
      <c r="I219">
        <f>Cocina[[#This Row],[Precio Unitario]]*Cocina[[#This Row],[Cantidad Ordenada]]</f>
        <v>48</v>
      </c>
      <c r="J219">
        <f>(Cocina[[#This Row],[Precio Unitario]]-Cocina[[#This Row],[Costo Unitario]])*Cocina[[#This Row],[Cantidad Ordenada]]</f>
        <v>20</v>
      </c>
      <c r="K219" s="4">
        <f>Cocina[[#This Row],[Ganancia neta]]/_xlfn.XLOOKUP(Cocina[[#This Row],[Número de Orden]],Sala[Número de Orden],Sala[Monto total],"fracaso",0,1)</f>
        <v>0.16528925619834711</v>
      </c>
      <c r="L219" t="s">
        <v>607</v>
      </c>
    </row>
    <row r="220" spans="1:12" x14ac:dyDescent="0.25">
      <c r="A220">
        <v>81</v>
      </c>
      <c r="B220">
        <v>17</v>
      </c>
      <c r="C220" t="s">
        <v>116</v>
      </c>
      <c r="D220" t="s">
        <v>620</v>
      </c>
      <c r="E220">
        <v>19</v>
      </c>
      <c r="F220">
        <v>31</v>
      </c>
      <c r="G220">
        <v>2</v>
      </c>
      <c r="H220">
        <v>59</v>
      </c>
      <c r="I220">
        <f>Cocina[[#This Row],[Precio Unitario]]*Cocina[[#This Row],[Cantidad Ordenada]]</f>
        <v>62</v>
      </c>
      <c r="J220">
        <f>(Cocina[[#This Row],[Precio Unitario]]-Cocina[[#This Row],[Costo Unitario]])*Cocina[[#This Row],[Cantidad Ordenada]]</f>
        <v>24</v>
      </c>
      <c r="K220" s="4">
        <f>Cocina[[#This Row],[Ganancia neta]]/_xlfn.XLOOKUP(Cocina[[#This Row],[Número de Orden]],Sala[Número de Orden],Sala[Monto total],"fracaso",0,1)</f>
        <v>0.38709677419354838</v>
      </c>
      <c r="L220" t="s">
        <v>608</v>
      </c>
    </row>
    <row r="221" spans="1:12" x14ac:dyDescent="0.25">
      <c r="A221">
        <v>82</v>
      </c>
      <c r="B221">
        <v>16</v>
      </c>
      <c r="C221" t="s">
        <v>122</v>
      </c>
      <c r="D221" t="s">
        <v>637</v>
      </c>
      <c r="E221">
        <v>15</v>
      </c>
      <c r="F221">
        <v>25</v>
      </c>
      <c r="G221">
        <v>2</v>
      </c>
      <c r="H221">
        <v>11</v>
      </c>
      <c r="I221">
        <f>Cocina[[#This Row],[Precio Unitario]]*Cocina[[#This Row],[Cantidad Ordenada]]</f>
        <v>50</v>
      </c>
      <c r="J221">
        <f>(Cocina[[#This Row],[Precio Unitario]]-Cocina[[#This Row],[Costo Unitario]])*Cocina[[#This Row],[Cantidad Ordenada]]</f>
        <v>20</v>
      </c>
      <c r="K221" s="4">
        <f>Cocina[[#This Row],[Ganancia neta]]/_xlfn.XLOOKUP(Cocina[[#This Row],[Número de Orden]],Sala[Número de Orden],Sala[Monto total],"fracaso",0,1)</f>
        <v>0.25</v>
      </c>
      <c r="L221" t="s">
        <v>608</v>
      </c>
    </row>
    <row r="222" spans="1:12" x14ac:dyDescent="0.25">
      <c r="A222">
        <v>82</v>
      </c>
      <c r="B222">
        <v>16</v>
      </c>
      <c r="C222" t="s">
        <v>68</v>
      </c>
      <c r="D222" t="s">
        <v>619</v>
      </c>
      <c r="E222">
        <v>18</v>
      </c>
      <c r="F222">
        <v>30</v>
      </c>
      <c r="G222">
        <v>1</v>
      </c>
      <c r="H222">
        <v>8</v>
      </c>
      <c r="I222">
        <f>Cocina[[#This Row],[Precio Unitario]]*Cocina[[#This Row],[Cantidad Ordenada]]</f>
        <v>30</v>
      </c>
      <c r="J222">
        <f>(Cocina[[#This Row],[Precio Unitario]]-Cocina[[#This Row],[Costo Unitario]])*Cocina[[#This Row],[Cantidad Ordenada]]</f>
        <v>12</v>
      </c>
      <c r="K222" s="4">
        <f>Cocina[[#This Row],[Ganancia neta]]/_xlfn.XLOOKUP(Cocina[[#This Row],[Número de Orden]],Sala[Número de Orden],Sala[Monto total],"fracaso",0,1)</f>
        <v>0.15</v>
      </c>
      <c r="L222" t="s">
        <v>608</v>
      </c>
    </row>
    <row r="223" spans="1:12" x14ac:dyDescent="0.25">
      <c r="A223">
        <v>83</v>
      </c>
      <c r="B223">
        <v>15</v>
      </c>
      <c r="C223" t="s">
        <v>106</v>
      </c>
      <c r="D223" t="s">
        <v>621</v>
      </c>
      <c r="E223">
        <v>16</v>
      </c>
      <c r="F223">
        <v>27</v>
      </c>
      <c r="G223">
        <v>2</v>
      </c>
      <c r="H223">
        <v>14</v>
      </c>
      <c r="I223">
        <f>Cocina[[#This Row],[Precio Unitario]]*Cocina[[#This Row],[Cantidad Ordenada]]</f>
        <v>54</v>
      </c>
      <c r="J223">
        <f>(Cocina[[#This Row],[Precio Unitario]]-Cocina[[#This Row],[Costo Unitario]])*Cocina[[#This Row],[Cantidad Ordenada]]</f>
        <v>22</v>
      </c>
      <c r="K223" s="4">
        <f>Cocina[[#This Row],[Ganancia neta]]/_xlfn.XLOOKUP(Cocina[[#This Row],[Número de Orden]],Sala[Número de Orden],Sala[Monto total],"fracaso",0,1)</f>
        <v>0.12941176470588237</v>
      </c>
      <c r="L223" t="s">
        <v>607</v>
      </c>
    </row>
    <row r="224" spans="1:12" x14ac:dyDescent="0.25">
      <c r="A224">
        <v>83</v>
      </c>
      <c r="B224">
        <v>15</v>
      </c>
      <c r="C224" t="s">
        <v>146</v>
      </c>
      <c r="D224" t="s">
        <v>632</v>
      </c>
      <c r="E224">
        <v>12</v>
      </c>
      <c r="F224">
        <v>20</v>
      </c>
      <c r="G224">
        <v>1</v>
      </c>
      <c r="H224">
        <v>30</v>
      </c>
      <c r="I224">
        <f>Cocina[[#This Row],[Precio Unitario]]*Cocina[[#This Row],[Cantidad Ordenada]]</f>
        <v>20</v>
      </c>
      <c r="J224">
        <f>(Cocina[[#This Row],[Precio Unitario]]-Cocina[[#This Row],[Costo Unitario]])*Cocina[[#This Row],[Cantidad Ordenada]]</f>
        <v>8</v>
      </c>
      <c r="K224" s="4">
        <f>Cocina[[#This Row],[Ganancia neta]]/_xlfn.XLOOKUP(Cocina[[#This Row],[Número de Orden]],Sala[Número de Orden],Sala[Monto total],"fracaso",0,1)</f>
        <v>4.7058823529411764E-2</v>
      </c>
      <c r="L224" t="s">
        <v>608</v>
      </c>
    </row>
    <row r="225" spans="1:12" x14ac:dyDescent="0.25">
      <c r="A225">
        <v>83</v>
      </c>
      <c r="B225">
        <v>15</v>
      </c>
      <c r="C225" t="s">
        <v>247</v>
      </c>
      <c r="D225" t="s">
        <v>629</v>
      </c>
      <c r="E225">
        <v>19</v>
      </c>
      <c r="F225">
        <v>32</v>
      </c>
      <c r="G225">
        <v>3</v>
      </c>
      <c r="H225">
        <v>50</v>
      </c>
      <c r="I225">
        <f>Cocina[[#This Row],[Precio Unitario]]*Cocina[[#This Row],[Cantidad Ordenada]]</f>
        <v>96</v>
      </c>
      <c r="J225">
        <f>(Cocina[[#This Row],[Precio Unitario]]-Cocina[[#This Row],[Costo Unitario]])*Cocina[[#This Row],[Cantidad Ordenada]]</f>
        <v>39</v>
      </c>
      <c r="K225" s="4">
        <f>Cocina[[#This Row],[Ganancia neta]]/_xlfn.XLOOKUP(Cocina[[#This Row],[Número de Orden]],Sala[Número de Orden],Sala[Monto total],"fracaso",0,1)</f>
        <v>0.22941176470588234</v>
      </c>
      <c r="L225" t="s">
        <v>607</v>
      </c>
    </row>
    <row r="226" spans="1:12" x14ac:dyDescent="0.25">
      <c r="A226">
        <v>84</v>
      </c>
      <c r="B226">
        <v>19</v>
      </c>
      <c r="C226" t="s">
        <v>68</v>
      </c>
      <c r="D226" t="s">
        <v>619</v>
      </c>
      <c r="E226">
        <v>18</v>
      </c>
      <c r="F226">
        <v>30</v>
      </c>
      <c r="G226">
        <v>2</v>
      </c>
      <c r="H226">
        <v>10</v>
      </c>
      <c r="I226">
        <f>Cocina[[#This Row],[Precio Unitario]]*Cocina[[#This Row],[Cantidad Ordenada]]</f>
        <v>60</v>
      </c>
      <c r="J226">
        <f>(Cocina[[#This Row],[Precio Unitario]]-Cocina[[#This Row],[Costo Unitario]])*Cocina[[#This Row],[Cantidad Ordenada]]</f>
        <v>24</v>
      </c>
      <c r="K226" s="4">
        <f>Cocina[[#This Row],[Ganancia neta]]/_xlfn.XLOOKUP(Cocina[[#This Row],[Número de Orden]],Sala[Número de Orden],Sala[Monto total],"fracaso",0,1)</f>
        <v>0.4</v>
      </c>
      <c r="L226" t="s">
        <v>608</v>
      </c>
    </row>
    <row r="227" spans="1:12" x14ac:dyDescent="0.25">
      <c r="A227">
        <v>85</v>
      </c>
      <c r="B227">
        <v>8</v>
      </c>
      <c r="C227" t="s">
        <v>42</v>
      </c>
      <c r="D227" t="s">
        <v>626</v>
      </c>
      <c r="E227">
        <v>16</v>
      </c>
      <c r="F227">
        <v>28</v>
      </c>
      <c r="G227">
        <v>3</v>
      </c>
      <c r="H227">
        <v>26</v>
      </c>
      <c r="I227">
        <f>Cocina[[#This Row],[Precio Unitario]]*Cocina[[#This Row],[Cantidad Ordenada]]</f>
        <v>84</v>
      </c>
      <c r="J227">
        <f>(Cocina[[#This Row],[Precio Unitario]]-Cocina[[#This Row],[Costo Unitario]])*Cocina[[#This Row],[Cantidad Ordenada]]</f>
        <v>36</v>
      </c>
      <c r="K227" s="4">
        <f>Cocina[[#This Row],[Ganancia neta]]/_xlfn.XLOOKUP(Cocina[[#This Row],[Número de Orden]],Sala[Número de Orden],Sala[Monto total],"fracaso",0,1)</f>
        <v>0.17307692307692307</v>
      </c>
      <c r="L227" t="s">
        <v>608</v>
      </c>
    </row>
    <row r="228" spans="1:12" x14ac:dyDescent="0.25">
      <c r="A228">
        <v>85</v>
      </c>
      <c r="B228">
        <v>8</v>
      </c>
      <c r="C228" t="s">
        <v>73</v>
      </c>
      <c r="D228" t="s">
        <v>623</v>
      </c>
      <c r="E228">
        <v>22</v>
      </c>
      <c r="F228">
        <v>36</v>
      </c>
      <c r="G228">
        <v>2</v>
      </c>
      <c r="H228">
        <v>33</v>
      </c>
      <c r="I228">
        <f>Cocina[[#This Row],[Precio Unitario]]*Cocina[[#This Row],[Cantidad Ordenada]]</f>
        <v>72</v>
      </c>
      <c r="J228">
        <f>(Cocina[[#This Row],[Precio Unitario]]-Cocina[[#This Row],[Costo Unitario]])*Cocina[[#This Row],[Cantidad Ordenada]]</f>
        <v>28</v>
      </c>
      <c r="K228" s="4">
        <f>Cocina[[#This Row],[Ganancia neta]]/_xlfn.XLOOKUP(Cocina[[#This Row],[Número de Orden]],Sala[Número de Orden],Sala[Monto total],"fracaso",0,1)</f>
        <v>0.13461538461538461</v>
      </c>
      <c r="L228" t="s">
        <v>608</v>
      </c>
    </row>
    <row r="229" spans="1:12" x14ac:dyDescent="0.25">
      <c r="A229">
        <v>85</v>
      </c>
      <c r="B229">
        <v>8</v>
      </c>
      <c r="C229" t="s">
        <v>146</v>
      </c>
      <c r="D229" t="s">
        <v>632</v>
      </c>
      <c r="E229">
        <v>12</v>
      </c>
      <c r="F229">
        <v>20</v>
      </c>
      <c r="G229">
        <v>1</v>
      </c>
      <c r="H229">
        <v>54</v>
      </c>
      <c r="I229">
        <f>Cocina[[#This Row],[Precio Unitario]]*Cocina[[#This Row],[Cantidad Ordenada]]</f>
        <v>20</v>
      </c>
      <c r="J229">
        <f>(Cocina[[#This Row],[Precio Unitario]]-Cocina[[#This Row],[Costo Unitario]])*Cocina[[#This Row],[Cantidad Ordenada]]</f>
        <v>8</v>
      </c>
      <c r="K229" s="4">
        <f>Cocina[[#This Row],[Ganancia neta]]/_xlfn.XLOOKUP(Cocina[[#This Row],[Número de Orden]],Sala[Número de Orden],Sala[Monto total],"fracaso",0,1)</f>
        <v>3.8461538461538464E-2</v>
      </c>
      <c r="L229" t="s">
        <v>608</v>
      </c>
    </row>
    <row r="230" spans="1:12" x14ac:dyDescent="0.25">
      <c r="A230">
        <v>85</v>
      </c>
      <c r="B230">
        <v>8</v>
      </c>
      <c r="C230" t="s">
        <v>247</v>
      </c>
      <c r="D230" t="s">
        <v>629</v>
      </c>
      <c r="E230">
        <v>19</v>
      </c>
      <c r="F230">
        <v>32</v>
      </c>
      <c r="G230">
        <v>1</v>
      </c>
      <c r="H230">
        <v>29</v>
      </c>
      <c r="I230">
        <f>Cocina[[#This Row],[Precio Unitario]]*Cocina[[#This Row],[Cantidad Ordenada]]</f>
        <v>32</v>
      </c>
      <c r="J230">
        <f>(Cocina[[#This Row],[Precio Unitario]]-Cocina[[#This Row],[Costo Unitario]])*Cocina[[#This Row],[Cantidad Ordenada]]</f>
        <v>13</v>
      </c>
      <c r="K230" s="4">
        <f>Cocina[[#This Row],[Ganancia neta]]/_xlfn.XLOOKUP(Cocina[[#This Row],[Número de Orden]],Sala[Número de Orden],Sala[Monto total],"fracaso",0,1)</f>
        <v>6.25E-2</v>
      </c>
      <c r="L230" t="s">
        <v>608</v>
      </c>
    </row>
    <row r="231" spans="1:12" x14ac:dyDescent="0.25">
      <c r="A231">
        <v>86</v>
      </c>
      <c r="B231">
        <v>20</v>
      </c>
      <c r="C231" t="s">
        <v>122</v>
      </c>
      <c r="D231" t="s">
        <v>637</v>
      </c>
      <c r="E231">
        <v>15</v>
      </c>
      <c r="F231">
        <v>25</v>
      </c>
      <c r="G231">
        <v>2</v>
      </c>
      <c r="H231">
        <v>8</v>
      </c>
      <c r="I231">
        <f>Cocina[[#This Row],[Precio Unitario]]*Cocina[[#This Row],[Cantidad Ordenada]]</f>
        <v>50</v>
      </c>
      <c r="J231">
        <f>(Cocina[[#This Row],[Precio Unitario]]-Cocina[[#This Row],[Costo Unitario]])*Cocina[[#This Row],[Cantidad Ordenada]]</f>
        <v>20</v>
      </c>
      <c r="K231" s="4">
        <f>Cocina[[#This Row],[Ganancia neta]]/_xlfn.XLOOKUP(Cocina[[#This Row],[Número de Orden]],Sala[Número de Orden],Sala[Monto total],"fracaso",0,1)</f>
        <v>0.4</v>
      </c>
      <c r="L231" t="s">
        <v>608</v>
      </c>
    </row>
    <row r="232" spans="1:12" x14ac:dyDescent="0.25">
      <c r="A232">
        <v>87</v>
      </c>
      <c r="B232">
        <v>3</v>
      </c>
      <c r="C232" t="s">
        <v>79</v>
      </c>
      <c r="D232" t="s">
        <v>635</v>
      </c>
      <c r="E232">
        <v>10</v>
      </c>
      <c r="F232">
        <v>18</v>
      </c>
      <c r="G232">
        <v>2</v>
      </c>
      <c r="H232">
        <v>55</v>
      </c>
      <c r="I232">
        <f>Cocina[[#This Row],[Precio Unitario]]*Cocina[[#This Row],[Cantidad Ordenada]]</f>
        <v>36</v>
      </c>
      <c r="J232">
        <f>(Cocina[[#This Row],[Precio Unitario]]-Cocina[[#This Row],[Costo Unitario]])*Cocina[[#This Row],[Cantidad Ordenada]]</f>
        <v>16</v>
      </c>
      <c r="K232" s="4">
        <f>Cocina[[#This Row],[Ganancia neta]]/_xlfn.XLOOKUP(Cocina[[#This Row],[Número de Orden]],Sala[Número de Orden],Sala[Monto total],"fracaso",0,1)</f>
        <v>0.16161616161616163</v>
      </c>
      <c r="L232" t="s">
        <v>607</v>
      </c>
    </row>
    <row r="233" spans="1:12" x14ac:dyDescent="0.25">
      <c r="A233">
        <v>87</v>
      </c>
      <c r="B233">
        <v>3</v>
      </c>
      <c r="C233" t="s">
        <v>247</v>
      </c>
      <c r="D233" t="s">
        <v>629</v>
      </c>
      <c r="E233">
        <v>19</v>
      </c>
      <c r="F233">
        <v>32</v>
      </c>
      <c r="G233">
        <v>1</v>
      </c>
      <c r="H233">
        <v>5</v>
      </c>
      <c r="I233">
        <f>Cocina[[#This Row],[Precio Unitario]]*Cocina[[#This Row],[Cantidad Ordenada]]</f>
        <v>32</v>
      </c>
      <c r="J233">
        <f>(Cocina[[#This Row],[Precio Unitario]]-Cocina[[#This Row],[Costo Unitario]])*Cocina[[#This Row],[Cantidad Ordenada]]</f>
        <v>13</v>
      </c>
      <c r="K233" s="4">
        <f>Cocina[[#This Row],[Ganancia neta]]/_xlfn.XLOOKUP(Cocina[[#This Row],[Número de Orden]],Sala[Número de Orden],Sala[Monto total],"fracaso",0,1)</f>
        <v>0.13131313131313133</v>
      </c>
      <c r="L233" t="s">
        <v>608</v>
      </c>
    </row>
    <row r="234" spans="1:12" x14ac:dyDescent="0.25">
      <c r="A234">
        <v>87</v>
      </c>
      <c r="B234">
        <v>3</v>
      </c>
      <c r="C234" t="s">
        <v>116</v>
      </c>
      <c r="D234" t="s">
        <v>620</v>
      </c>
      <c r="E234">
        <v>19</v>
      </c>
      <c r="F234">
        <v>31</v>
      </c>
      <c r="G234">
        <v>1</v>
      </c>
      <c r="H234">
        <v>11</v>
      </c>
      <c r="I234">
        <f>Cocina[[#This Row],[Precio Unitario]]*Cocina[[#This Row],[Cantidad Ordenada]]</f>
        <v>31</v>
      </c>
      <c r="J234">
        <f>(Cocina[[#This Row],[Precio Unitario]]-Cocina[[#This Row],[Costo Unitario]])*Cocina[[#This Row],[Cantidad Ordenada]]</f>
        <v>12</v>
      </c>
      <c r="K234" s="4">
        <f>Cocina[[#This Row],[Ganancia neta]]/_xlfn.XLOOKUP(Cocina[[#This Row],[Número de Orden]],Sala[Número de Orden],Sala[Monto total],"fracaso",0,1)</f>
        <v>0.12121212121212122</v>
      </c>
      <c r="L234" t="s">
        <v>607</v>
      </c>
    </row>
    <row r="235" spans="1:12" x14ac:dyDescent="0.25">
      <c r="A235">
        <v>88</v>
      </c>
      <c r="B235">
        <v>18</v>
      </c>
      <c r="C235" t="s">
        <v>48</v>
      </c>
      <c r="D235" t="s">
        <v>622</v>
      </c>
      <c r="E235">
        <v>25</v>
      </c>
      <c r="F235">
        <v>40</v>
      </c>
      <c r="G235">
        <v>1</v>
      </c>
      <c r="H235">
        <v>12</v>
      </c>
      <c r="I235">
        <f>Cocina[[#This Row],[Precio Unitario]]*Cocina[[#This Row],[Cantidad Ordenada]]</f>
        <v>40</v>
      </c>
      <c r="J235">
        <f>(Cocina[[#This Row],[Precio Unitario]]-Cocina[[#This Row],[Costo Unitario]])*Cocina[[#This Row],[Cantidad Ordenada]]</f>
        <v>15</v>
      </c>
      <c r="K235" s="4">
        <f>Cocina[[#This Row],[Ganancia neta]]/_xlfn.XLOOKUP(Cocina[[#This Row],[Número de Orden]],Sala[Número de Orden],Sala[Monto total],"fracaso",0,1)</f>
        <v>0.12195121951219512</v>
      </c>
      <c r="L235" t="s">
        <v>607</v>
      </c>
    </row>
    <row r="236" spans="1:12" x14ac:dyDescent="0.25">
      <c r="A236">
        <v>88</v>
      </c>
      <c r="B236">
        <v>18</v>
      </c>
      <c r="C236" t="s">
        <v>112</v>
      </c>
      <c r="D236" t="s">
        <v>627</v>
      </c>
      <c r="E236">
        <v>11</v>
      </c>
      <c r="F236">
        <v>19</v>
      </c>
      <c r="G236">
        <v>3</v>
      </c>
      <c r="H236">
        <v>46</v>
      </c>
      <c r="I236">
        <f>Cocina[[#This Row],[Precio Unitario]]*Cocina[[#This Row],[Cantidad Ordenada]]</f>
        <v>57</v>
      </c>
      <c r="J236">
        <f>(Cocina[[#This Row],[Precio Unitario]]-Cocina[[#This Row],[Costo Unitario]])*Cocina[[#This Row],[Cantidad Ordenada]]</f>
        <v>24</v>
      </c>
      <c r="K236" s="4">
        <f>Cocina[[#This Row],[Ganancia neta]]/_xlfn.XLOOKUP(Cocina[[#This Row],[Número de Orden]],Sala[Número de Orden],Sala[Monto total],"fracaso",0,1)</f>
        <v>0.1951219512195122</v>
      </c>
      <c r="L236" t="s">
        <v>608</v>
      </c>
    </row>
    <row r="237" spans="1:12" x14ac:dyDescent="0.25">
      <c r="A237">
        <v>88</v>
      </c>
      <c r="B237">
        <v>18</v>
      </c>
      <c r="C237" t="s">
        <v>155</v>
      </c>
      <c r="D237" t="s">
        <v>636</v>
      </c>
      <c r="E237">
        <v>15</v>
      </c>
      <c r="F237">
        <v>26</v>
      </c>
      <c r="G237">
        <v>1</v>
      </c>
      <c r="H237">
        <v>59</v>
      </c>
      <c r="I237">
        <f>Cocina[[#This Row],[Precio Unitario]]*Cocina[[#This Row],[Cantidad Ordenada]]</f>
        <v>26</v>
      </c>
      <c r="J237">
        <f>(Cocina[[#This Row],[Precio Unitario]]-Cocina[[#This Row],[Costo Unitario]])*Cocina[[#This Row],[Cantidad Ordenada]]</f>
        <v>11</v>
      </c>
      <c r="K237" s="4">
        <f>Cocina[[#This Row],[Ganancia neta]]/_xlfn.XLOOKUP(Cocina[[#This Row],[Número de Orden]],Sala[Número de Orden],Sala[Monto total],"fracaso",0,1)</f>
        <v>8.943089430894309E-2</v>
      </c>
      <c r="L237" t="s">
        <v>607</v>
      </c>
    </row>
    <row r="238" spans="1:12" x14ac:dyDescent="0.25">
      <c r="A238">
        <v>89</v>
      </c>
      <c r="B238">
        <v>11</v>
      </c>
      <c r="C238" t="s">
        <v>200</v>
      </c>
      <c r="D238" t="s">
        <v>633</v>
      </c>
      <c r="E238">
        <v>14</v>
      </c>
      <c r="F238">
        <v>23</v>
      </c>
      <c r="G238">
        <v>3</v>
      </c>
      <c r="H238">
        <v>44</v>
      </c>
      <c r="I238">
        <f>Cocina[[#This Row],[Precio Unitario]]*Cocina[[#This Row],[Cantidad Ordenada]]</f>
        <v>69</v>
      </c>
      <c r="J238">
        <f>(Cocina[[#This Row],[Precio Unitario]]-Cocina[[#This Row],[Costo Unitario]])*Cocina[[#This Row],[Cantidad Ordenada]]</f>
        <v>27</v>
      </c>
      <c r="K238" s="4">
        <f>Cocina[[#This Row],[Ganancia neta]]/_xlfn.XLOOKUP(Cocina[[#This Row],[Número de Orden]],Sala[Número de Orden],Sala[Monto total],"fracaso",0,1)</f>
        <v>0.16981132075471697</v>
      </c>
      <c r="L238" t="s">
        <v>608</v>
      </c>
    </row>
    <row r="239" spans="1:12" x14ac:dyDescent="0.25">
      <c r="A239">
        <v>89</v>
      </c>
      <c r="B239">
        <v>11</v>
      </c>
      <c r="C239" t="s">
        <v>55</v>
      </c>
      <c r="D239" t="s">
        <v>631</v>
      </c>
      <c r="E239">
        <v>20</v>
      </c>
      <c r="F239">
        <v>34</v>
      </c>
      <c r="G239">
        <v>2</v>
      </c>
      <c r="H239">
        <v>58</v>
      </c>
      <c r="I239">
        <f>Cocina[[#This Row],[Precio Unitario]]*Cocina[[#This Row],[Cantidad Ordenada]]</f>
        <v>68</v>
      </c>
      <c r="J239">
        <f>(Cocina[[#This Row],[Precio Unitario]]-Cocina[[#This Row],[Costo Unitario]])*Cocina[[#This Row],[Cantidad Ordenada]]</f>
        <v>28</v>
      </c>
      <c r="K239" s="4">
        <f>Cocina[[#This Row],[Ganancia neta]]/_xlfn.XLOOKUP(Cocina[[#This Row],[Número de Orden]],Sala[Número de Orden],Sala[Monto total],"fracaso",0,1)</f>
        <v>0.1761006289308176</v>
      </c>
      <c r="L239" t="s">
        <v>607</v>
      </c>
    </row>
    <row r="240" spans="1:12" x14ac:dyDescent="0.25">
      <c r="A240">
        <v>89</v>
      </c>
      <c r="B240">
        <v>11</v>
      </c>
      <c r="C240" t="s">
        <v>203</v>
      </c>
      <c r="D240" t="s">
        <v>630</v>
      </c>
      <c r="E240">
        <v>13</v>
      </c>
      <c r="F240">
        <v>22</v>
      </c>
      <c r="G240">
        <v>1</v>
      </c>
      <c r="H240">
        <v>40</v>
      </c>
      <c r="I240">
        <f>Cocina[[#This Row],[Precio Unitario]]*Cocina[[#This Row],[Cantidad Ordenada]]</f>
        <v>22</v>
      </c>
      <c r="J240">
        <f>(Cocina[[#This Row],[Precio Unitario]]-Cocina[[#This Row],[Costo Unitario]])*Cocina[[#This Row],[Cantidad Ordenada]]</f>
        <v>9</v>
      </c>
      <c r="K240" s="4">
        <f>Cocina[[#This Row],[Ganancia neta]]/_xlfn.XLOOKUP(Cocina[[#This Row],[Número de Orden]],Sala[Número de Orden],Sala[Monto total],"fracaso",0,1)</f>
        <v>5.6603773584905662E-2</v>
      </c>
      <c r="L240" t="s">
        <v>608</v>
      </c>
    </row>
    <row r="241" spans="1:12" x14ac:dyDescent="0.25">
      <c r="A241">
        <v>90</v>
      </c>
      <c r="B241">
        <v>6</v>
      </c>
      <c r="C241" t="s">
        <v>55</v>
      </c>
      <c r="D241" t="s">
        <v>631</v>
      </c>
      <c r="E241">
        <v>20</v>
      </c>
      <c r="F241">
        <v>34</v>
      </c>
      <c r="G241">
        <v>1</v>
      </c>
      <c r="H241">
        <v>48</v>
      </c>
      <c r="I241">
        <f>Cocina[[#This Row],[Precio Unitario]]*Cocina[[#This Row],[Cantidad Ordenada]]</f>
        <v>34</v>
      </c>
      <c r="J241">
        <f>(Cocina[[#This Row],[Precio Unitario]]-Cocina[[#This Row],[Costo Unitario]])*Cocina[[#This Row],[Cantidad Ordenada]]</f>
        <v>14</v>
      </c>
      <c r="K241" s="4">
        <f>Cocina[[#This Row],[Ganancia neta]]/_xlfn.XLOOKUP(Cocina[[#This Row],[Número de Orden]],Sala[Número de Orden],Sala[Monto total],"fracaso",0,1)</f>
        <v>0.41176470588235292</v>
      </c>
      <c r="L241" t="s">
        <v>608</v>
      </c>
    </row>
    <row r="242" spans="1:12" x14ac:dyDescent="0.25">
      <c r="A242">
        <v>91</v>
      </c>
      <c r="B242">
        <v>1</v>
      </c>
      <c r="C242" t="s">
        <v>26</v>
      </c>
      <c r="D242" t="s">
        <v>628</v>
      </c>
      <c r="E242">
        <v>21</v>
      </c>
      <c r="F242">
        <v>35</v>
      </c>
      <c r="G242">
        <v>3</v>
      </c>
      <c r="H242">
        <v>21</v>
      </c>
      <c r="I242">
        <f>Cocina[[#This Row],[Precio Unitario]]*Cocina[[#This Row],[Cantidad Ordenada]]</f>
        <v>105</v>
      </c>
      <c r="J242">
        <f>(Cocina[[#This Row],[Precio Unitario]]-Cocina[[#This Row],[Costo Unitario]])*Cocina[[#This Row],[Cantidad Ordenada]]</f>
        <v>42</v>
      </c>
      <c r="K242" s="4">
        <f>Cocina[[#This Row],[Ganancia neta]]/_xlfn.XLOOKUP(Cocina[[#This Row],[Número de Orden]],Sala[Número de Orden],Sala[Monto total],"fracaso",0,1)</f>
        <v>0.14334470989761092</v>
      </c>
      <c r="L242" t="s">
        <v>608</v>
      </c>
    </row>
    <row r="243" spans="1:12" x14ac:dyDescent="0.25">
      <c r="A243">
        <v>91</v>
      </c>
      <c r="B243">
        <v>1</v>
      </c>
      <c r="C243" t="s">
        <v>70</v>
      </c>
      <c r="D243" t="s">
        <v>634</v>
      </c>
      <c r="E243">
        <v>13</v>
      </c>
      <c r="F243">
        <v>21</v>
      </c>
      <c r="G243">
        <v>3</v>
      </c>
      <c r="H243">
        <v>52</v>
      </c>
      <c r="I243">
        <f>Cocina[[#This Row],[Precio Unitario]]*Cocina[[#This Row],[Cantidad Ordenada]]</f>
        <v>63</v>
      </c>
      <c r="J243">
        <f>(Cocina[[#This Row],[Precio Unitario]]-Cocina[[#This Row],[Costo Unitario]])*Cocina[[#This Row],[Cantidad Ordenada]]</f>
        <v>24</v>
      </c>
      <c r="K243" s="4">
        <f>Cocina[[#This Row],[Ganancia neta]]/_xlfn.XLOOKUP(Cocina[[#This Row],[Número de Orden]],Sala[Número de Orden],Sala[Monto total],"fracaso",0,1)</f>
        <v>8.191126279863481E-2</v>
      </c>
      <c r="L243" t="s">
        <v>607</v>
      </c>
    </row>
    <row r="244" spans="1:12" x14ac:dyDescent="0.25">
      <c r="A244">
        <v>91</v>
      </c>
      <c r="B244">
        <v>1</v>
      </c>
      <c r="C244" t="s">
        <v>203</v>
      </c>
      <c r="D244" t="s">
        <v>630</v>
      </c>
      <c r="E244">
        <v>13</v>
      </c>
      <c r="F244">
        <v>22</v>
      </c>
      <c r="G244">
        <v>2</v>
      </c>
      <c r="H244">
        <v>11</v>
      </c>
      <c r="I244">
        <f>Cocina[[#This Row],[Precio Unitario]]*Cocina[[#This Row],[Cantidad Ordenada]]</f>
        <v>44</v>
      </c>
      <c r="J244">
        <f>(Cocina[[#This Row],[Precio Unitario]]-Cocina[[#This Row],[Costo Unitario]])*Cocina[[#This Row],[Cantidad Ordenada]]</f>
        <v>18</v>
      </c>
      <c r="K244" s="4">
        <f>Cocina[[#This Row],[Ganancia neta]]/_xlfn.XLOOKUP(Cocina[[#This Row],[Número de Orden]],Sala[Número de Orden],Sala[Monto total],"fracaso",0,1)</f>
        <v>6.1433447098976107E-2</v>
      </c>
      <c r="L244" t="s">
        <v>607</v>
      </c>
    </row>
    <row r="245" spans="1:12" x14ac:dyDescent="0.25">
      <c r="A245">
        <v>91</v>
      </c>
      <c r="B245">
        <v>1</v>
      </c>
      <c r="C245" t="s">
        <v>106</v>
      </c>
      <c r="D245" t="s">
        <v>621</v>
      </c>
      <c r="E245">
        <v>16</v>
      </c>
      <c r="F245">
        <v>27</v>
      </c>
      <c r="G245">
        <v>3</v>
      </c>
      <c r="H245">
        <v>48</v>
      </c>
      <c r="I245">
        <f>Cocina[[#This Row],[Precio Unitario]]*Cocina[[#This Row],[Cantidad Ordenada]]</f>
        <v>81</v>
      </c>
      <c r="J245">
        <f>(Cocina[[#This Row],[Precio Unitario]]-Cocina[[#This Row],[Costo Unitario]])*Cocina[[#This Row],[Cantidad Ordenada]]</f>
        <v>33</v>
      </c>
      <c r="K245" s="4">
        <f>Cocina[[#This Row],[Ganancia neta]]/_xlfn.XLOOKUP(Cocina[[#This Row],[Número de Orden]],Sala[Número de Orden],Sala[Monto total],"fracaso",0,1)</f>
        <v>0.11262798634812286</v>
      </c>
      <c r="L245" t="s">
        <v>607</v>
      </c>
    </row>
    <row r="246" spans="1:12" x14ac:dyDescent="0.25">
      <c r="A246">
        <v>92</v>
      </c>
      <c r="B246">
        <v>6</v>
      </c>
      <c r="C246" t="s">
        <v>38</v>
      </c>
      <c r="D246" t="s">
        <v>624</v>
      </c>
      <c r="E246">
        <v>17</v>
      </c>
      <c r="F246">
        <v>29</v>
      </c>
      <c r="G246">
        <v>2</v>
      </c>
      <c r="H246">
        <v>36</v>
      </c>
      <c r="I246">
        <f>Cocina[[#This Row],[Precio Unitario]]*Cocina[[#This Row],[Cantidad Ordenada]]</f>
        <v>58</v>
      </c>
      <c r="J246">
        <f>(Cocina[[#This Row],[Precio Unitario]]-Cocina[[#This Row],[Costo Unitario]])*Cocina[[#This Row],[Cantidad Ordenada]]</f>
        <v>24</v>
      </c>
      <c r="K246" s="4">
        <f>Cocina[[#This Row],[Ganancia neta]]/_xlfn.XLOOKUP(Cocina[[#This Row],[Número de Orden]],Sala[Número de Orden],Sala[Monto total],"fracaso",0,1)</f>
        <v>0.29268292682926828</v>
      </c>
      <c r="L246" t="s">
        <v>607</v>
      </c>
    </row>
    <row r="247" spans="1:12" x14ac:dyDescent="0.25">
      <c r="A247">
        <v>92</v>
      </c>
      <c r="B247">
        <v>6</v>
      </c>
      <c r="C247" t="s">
        <v>158</v>
      </c>
      <c r="D247" t="s">
        <v>617</v>
      </c>
      <c r="E247">
        <v>14</v>
      </c>
      <c r="F247">
        <v>24</v>
      </c>
      <c r="G247">
        <v>1</v>
      </c>
      <c r="H247">
        <v>6</v>
      </c>
      <c r="I247">
        <f>Cocina[[#This Row],[Precio Unitario]]*Cocina[[#This Row],[Cantidad Ordenada]]</f>
        <v>24</v>
      </c>
      <c r="J247">
        <f>(Cocina[[#This Row],[Precio Unitario]]-Cocina[[#This Row],[Costo Unitario]])*Cocina[[#This Row],[Cantidad Ordenada]]</f>
        <v>10</v>
      </c>
      <c r="K247" s="4">
        <f>Cocina[[#This Row],[Ganancia neta]]/_xlfn.XLOOKUP(Cocina[[#This Row],[Número de Orden]],Sala[Número de Orden],Sala[Monto total],"fracaso",0,1)</f>
        <v>0.12195121951219512</v>
      </c>
      <c r="L247" t="s">
        <v>608</v>
      </c>
    </row>
    <row r="248" spans="1:12" x14ac:dyDescent="0.25">
      <c r="A248">
        <v>93</v>
      </c>
      <c r="B248">
        <v>2</v>
      </c>
      <c r="C248" t="s">
        <v>38</v>
      </c>
      <c r="D248" t="s">
        <v>624</v>
      </c>
      <c r="E248">
        <v>17</v>
      </c>
      <c r="F248">
        <v>29</v>
      </c>
      <c r="G248">
        <v>1</v>
      </c>
      <c r="H248">
        <v>18</v>
      </c>
      <c r="I248">
        <f>Cocina[[#This Row],[Precio Unitario]]*Cocina[[#This Row],[Cantidad Ordenada]]</f>
        <v>29</v>
      </c>
      <c r="J248">
        <f>(Cocina[[#This Row],[Precio Unitario]]-Cocina[[#This Row],[Costo Unitario]])*Cocina[[#This Row],[Cantidad Ordenada]]</f>
        <v>12</v>
      </c>
      <c r="K248" s="4">
        <f>Cocina[[#This Row],[Ganancia neta]]/_xlfn.XLOOKUP(Cocina[[#This Row],[Número de Orden]],Sala[Número de Orden],Sala[Monto total],"fracaso",0,1)</f>
        <v>0.41379310344827586</v>
      </c>
      <c r="L248" t="s">
        <v>608</v>
      </c>
    </row>
    <row r="249" spans="1:12" x14ac:dyDescent="0.25">
      <c r="A249">
        <v>94</v>
      </c>
      <c r="B249">
        <v>12</v>
      </c>
      <c r="C249" t="s">
        <v>68</v>
      </c>
      <c r="D249" t="s">
        <v>619</v>
      </c>
      <c r="E249">
        <v>18</v>
      </c>
      <c r="F249">
        <v>30</v>
      </c>
      <c r="G249">
        <v>3</v>
      </c>
      <c r="H249">
        <v>19</v>
      </c>
      <c r="I249">
        <f>Cocina[[#This Row],[Precio Unitario]]*Cocina[[#This Row],[Cantidad Ordenada]]</f>
        <v>90</v>
      </c>
      <c r="J249">
        <f>(Cocina[[#This Row],[Precio Unitario]]-Cocina[[#This Row],[Costo Unitario]])*Cocina[[#This Row],[Cantidad Ordenada]]</f>
        <v>36</v>
      </c>
      <c r="K249" s="4">
        <f>Cocina[[#This Row],[Ganancia neta]]/_xlfn.XLOOKUP(Cocina[[#This Row],[Número de Orden]],Sala[Número de Orden],Sala[Monto total],"fracaso",0,1)</f>
        <v>0.14229249011857709</v>
      </c>
      <c r="L249" t="s">
        <v>608</v>
      </c>
    </row>
    <row r="250" spans="1:12" x14ac:dyDescent="0.25">
      <c r="A250">
        <v>94</v>
      </c>
      <c r="B250">
        <v>12</v>
      </c>
      <c r="C250" t="s">
        <v>247</v>
      </c>
      <c r="D250" t="s">
        <v>629</v>
      </c>
      <c r="E250">
        <v>19</v>
      </c>
      <c r="F250">
        <v>32</v>
      </c>
      <c r="G250">
        <v>2</v>
      </c>
      <c r="H250">
        <v>56</v>
      </c>
      <c r="I250">
        <f>Cocina[[#This Row],[Precio Unitario]]*Cocina[[#This Row],[Cantidad Ordenada]]</f>
        <v>64</v>
      </c>
      <c r="J250">
        <f>(Cocina[[#This Row],[Precio Unitario]]-Cocina[[#This Row],[Costo Unitario]])*Cocina[[#This Row],[Cantidad Ordenada]]</f>
        <v>26</v>
      </c>
      <c r="K250" s="4">
        <f>Cocina[[#This Row],[Ganancia neta]]/_xlfn.XLOOKUP(Cocina[[#This Row],[Número de Orden]],Sala[Número de Orden],Sala[Monto total],"fracaso",0,1)</f>
        <v>0.10276679841897234</v>
      </c>
      <c r="L250" t="s">
        <v>608</v>
      </c>
    </row>
    <row r="251" spans="1:12" x14ac:dyDescent="0.25">
      <c r="A251">
        <v>94</v>
      </c>
      <c r="B251">
        <v>12</v>
      </c>
      <c r="C251" t="s">
        <v>261</v>
      </c>
      <c r="D251" t="s">
        <v>625</v>
      </c>
      <c r="E251">
        <v>20</v>
      </c>
      <c r="F251">
        <v>33</v>
      </c>
      <c r="G251">
        <v>3</v>
      </c>
      <c r="H251">
        <v>54</v>
      </c>
      <c r="I251">
        <f>Cocina[[#This Row],[Precio Unitario]]*Cocina[[#This Row],[Cantidad Ordenada]]</f>
        <v>99</v>
      </c>
      <c r="J251">
        <f>(Cocina[[#This Row],[Precio Unitario]]-Cocina[[#This Row],[Costo Unitario]])*Cocina[[#This Row],[Cantidad Ordenada]]</f>
        <v>39</v>
      </c>
      <c r="K251" s="4">
        <f>Cocina[[#This Row],[Ganancia neta]]/_xlfn.XLOOKUP(Cocina[[#This Row],[Número de Orden]],Sala[Número de Orden],Sala[Monto total],"fracaso",0,1)</f>
        <v>0.1541501976284585</v>
      </c>
      <c r="L251" t="s">
        <v>608</v>
      </c>
    </row>
    <row r="252" spans="1:12" x14ac:dyDescent="0.25">
      <c r="A252">
        <v>95</v>
      </c>
      <c r="B252">
        <v>12</v>
      </c>
      <c r="C252" t="s">
        <v>112</v>
      </c>
      <c r="D252" t="s">
        <v>627</v>
      </c>
      <c r="E252">
        <v>11</v>
      </c>
      <c r="F252">
        <v>19</v>
      </c>
      <c r="G252">
        <v>3</v>
      </c>
      <c r="H252">
        <v>19</v>
      </c>
      <c r="I252">
        <f>Cocina[[#This Row],[Precio Unitario]]*Cocina[[#This Row],[Cantidad Ordenada]]</f>
        <v>57</v>
      </c>
      <c r="J252">
        <f>(Cocina[[#This Row],[Precio Unitario]]-Cocina[[#This Row],[Costo Unitario]])*Cocina[[#This Row],[Cantidad Ordenada]]</f>
        <v>24</v>
      </c>
      <c r="K252" s="4">
        <f>Cocina[[#This Row],[Ganancia neta]]/_xlfn.XLOOKUP(Cocina[[#This Row],[Número de Orden]],Sala[Número de Orden],Sala[Monto total],"fracaso",0,1)</f>
        <v>0.15686274509803921</v>
      </c>
      <c r="L252" t="s">
        <v>608</v>
      </c>
    </row>
    <row r="253" spans="1:12" x14ac:dyDescent="0.25">
      <c r="A253">
        <v>95</v>
      </c>
      <c r="B253">
        <v>12</v>
      </c>
      <c r="C253" t="s">
        <v>247</v>
      </c>
      <c r="D253" t="s">
        <v>629</v>
      </c>
      <c r="E253">
        <v>19</v>
      </c>
      <c r="F253">
        <v>32</v>
      </c>
      <c r="G253">
        <v>3</v>
      </c>
      <c r="H253">
        <v>22</v>
      </c>
      <c r="I253">
        <f>Cocina[[#This Row],[Precio Unitario]]*Cocina[[#This Row],[Cantidad Ordenada]]</f>
        <v>96</v>
      </c>
      <c r="J253">
        <f>(Cocina[[#This Row],[Precio Unitario]]-Cocina[[#This Row],[Costo Unitario]])*Cocina[[#This Row],[Cantidad Ordenada]]</f>
        <v>39</v>
      </c>
      <c r="K253" s="4">
        <f>Cocina[[#This Row],[Ganancia neta]]/_xlfn.XLOOKUP(Cocina[[#This Row],[Número de Orden]],Sala[Número de Orden],Sala[Monto total],"fracaso",0,1)</f>
        <v>0.25490196078431371</v>
      </c>
      <c r="L253" t="s">
        <v>608</v>
      </c>
    </row>
    <row r="254" spans="1:12" x14ac:dyDescent="0.25">
      <c r="A254">
        <v>96</v>
      </c>
      <c r="B254">
        <v>16</v>
      </c>
      <c r="C254" t="s">
        <v>261</v>
      </c>
      <c r="D254" t="s">
        <v>625</v>
      </c>
      <c r="E254">
        <v>20</v>
      </c>
      <c r="F254">
        <v>33</v>
      </c>
      <c r="G254">
        <v>2</v>
      </c>
      <c r="H254">
        <v>47</v>
      </c>
      <c r="I254">
        <f>Cocina[[#This Row],[Precio Unitario]]*Cocina[[#This Row],[Cantidad Ordenada]]</f>
        <v>66</v>
      </c>
      <c r="J254">
        <f>(Cocina[[#This Row],[Precio Unitario]]-Cocina[[#This Row],[Costo Unitario]])*Cocina[[#This Row],[Cantidad Ordenada]]</f>
        <v>26</v>
      </c>
      <c r="K254" s="4">
        <f>Cocina[[#This Row],[Ganancia neta]]/_xlfn.XLOOKUP(Cocina[[#This Row],[Número de Orden]],Sala[Número de Orden],Sala[Monto total],"fracaso",0,1)</f>
        <v>0.14772727272727273</v>
      </c>
      <c r="L254" t="s">
        <v>607</v>
      </c>
    </row>
    <row r="255" spans="1:12" x14ac:dyDescent="0.25">
      <c r="A255">
        <v>96</v>
      </c>
      <c r="B255">
        <v>16</v>
      </c>
      <c r="C255" t="s">
        <v>112</v>
      </c>
      <c r="D255" t="s">
        <v>627</v>
      </c>
      <c r="E255">
        <v>11</v>
      </c>
      <c r="F255">
        <v>19</v>
      </c>
      <c r="G255">
        <v>2</v>
      </c>
      <c r="H255">
        <v>10</v>
      </c>
      <c r="I255">
        <f>Cocina[[#This Row],[Precio Unitario]]*Cocina[[#This Row],[Cantidad Ordenada]]</f>
        <v>38</v>
      </c>
      <c r="J255">
        <f>(Cocina[[#This Row],[Precio Unitario]]-Cocina[[#This Row],[Costo Unitario]])*Cocina[[#This Row],[Cantidad Ordenada]]</f>
        <v>16</v>
      </c>
      <c r="K255" s="4">
        <f>Cocina[[#This Row],[Ganancia neta]]/_xlfn.XLOOKUP(Cocina[[#This Row],[Número de Orden]],Sala[Número de Orden],Sala[Monto total],"fracaso",0,1)</f>
        <v>9.0909090909090912E-2</v>
      </c>
      <c r="L255" t="s">
        <v>607</v>
      </c>
    </row>
    <row r="256" spans="1:12" x14ac:dyDescent="0.25">
      <c r="A256">
        <v>96</v>
      </c>
      <c r="B256">
        <v>16</v>
      </c>
      <c r="C256" t="s">
        <v>158</v>
      </c>
      <c r="D256" t="s">
        <v>617</v>
      </c>
      <c r="E256">
        <v>14</v>
      </c>
      <c r="F256">
        <v>24</v>
      </c>
      <c r="G256">
        <v>3</v>
      </c>
      <c r="H256">
        <v>19</v>
      </c>
      <c r="I256">
        <f>Cocina[[#This Row],[Precio Unitario]]*Cocina[[#This Row],[Cantidad Ordenada]]</f>
        <v>72</v>
      </c>
      <c r="J256">
        <f>(Cocina[[#This Row],[Precio Unitario]]-Cocina[[#This Row],[Costo Unitario]])*Cocina[[#This Row],[Cantidad Ordenada]]</f>
        <v>30</v>
      </c>
      <c r="K256" s="4">
        <f>Cocina[[#This Row],[Ganancia neta]]/_xlfn.XLOOKUP(Cocina[[#This Row],[Número de Orden]],Sala[Número de Orden],Sala[Monto total],"fracaso",0,1)</f>
        <v>0.17045454545454544</v>
      </c>
      <c r="L256" t="s">
        <v>608</v>
      </c>
    </row>
    <row r="257" spans="1:12" x14ac:dyDescent="0.25">
      <c r="A257">
        <v>97</v>
      </c>
      <c r="B257">
        <v>14</v>
      </c>
      <c r="C257" t="s">
        <v>155</v>
      </c>
      <c r="D257" t="s">
        <v>636</v>
      </c>
      <c r="E257">
        <v>15</v>
      </c>
      <c r="F257">
        <v>26</v>
      </c>
      <c r="G257">
        <v>1</v>
      </c>
      <c r="H257">
        <v>17</v>
      </c>
      <c r="I257">
        <f>Cocina[[#This Row],[Precio Unitario]]*Cocina[[#This Row],[Cantidad Ordenada]]</f>
        <v>26</v>
      </c>
      <c r="J257">
        <f>(Cocina[[#This Row],[Precio Unitario]]-Cocina[[#This Row],[Costo Unitario]])*Cocina[[#This Row],[Cantidad Ordenada]]</f>
        <v>11</v>
      </c>
      <c r="K257" s="4">
        <f>Cocina[[#This Row],[Ganancia neta]]/_xlfn.XLOOKUP(Cocina[[#This Row],[Número de Orden]],Sala[Número de Orden],Sala[Monto total],"fracaso",0,1)</f>
        <v>5.8510638297872342E-2</v>
      </c>
      <c r="L257" t="s">
        <v>608</v>
      </c>
    </row>
    <row r="258" spans="1:12" x14ac:dyDescent="0.25">
      <c r="A258">
        <v>97</v>
      </c>
      <c r="B258">
        <v>14</v>
      </c>
      <c r="C258" t="s">
        <v>146</v>
      </c>
      <c r="D258" t="s">
        <v>632</v>
      </c>
      <c r="E258">
        <v>12</v>
      </c>
      <c r="F258">
        <v>20</v>
      </c>
      <c r="G258">
        <v>3</v>
      </c>
      <c r="H258">
        <v>5</v>
      </c>
      <c r="I258">
        <f>Cocina[[#This Row],[Precio Unitario]]*Cocina[[#This Row],[Cantidad Ordenada]]</f>
        <v>60</v>
      </c>
      <c r="J258">
        <f>(Cocina[[#This Row],[Precio Unitario]]-Cocina[[#This Row],[Costo Unitario]])*Cocina[[#This Row],[Cantidad Ordenada]]</f>
        <v>24</v>
      </c>
      <c r="K258" s="4">
        <f>Cocina[[#This Row],[Ganancia neta]]/_xlfn.XLOOKUP(Cocina[[#This Row],[Número de Orden]],Sala[Número de Orden],Sala[Monto total],"fracaso",0,1)</f>
        <v>0.1276595744680851</v>
      </c>
      <c r="L258" t="s">
        <v>607</v>
      </c>
    </row>
    <row r="259" spans="1:12" x14ac:dyDescent="0.25">
      <c r="A259">
        <v>97</v>
      </c>
      <c r="B259">
        <v>14</v>
      </c>
      <c r="C259" t="s">
        <v>55</v>
      </c>
      <c r="D259" t="s">
        <v>631</v>
      </c>
      <c r="E259">
        <v>20</v>
      </c>
      <c r="F259">
        <v>34</v>
      </c>
      <c r="G259">
        <v>3</v>
      </c>
      <c r="H259">
        <v>57</v>
      </c>
      <c r="I259">
        <f>Cocina[[#This Row],[Precio Unitario]]*Cocina[[#This Row],[Cantidad Ordenada]]</f>
        <v>102</v>
      </c>
      <c r="J259">
        <f>(Cocina[[#This Row],[Precio Unitario]]-Cocina[[#This Row],[Costo Unitario]])*Cocina[[#This Row],[Cantidad Ordenada]]</f>
        <v>42</v>
      </c>
      <c r="K259" s="4">
        <f>Cocina[[#This Row],[Ganancia neta]]/_xlfn.XLOOKUP(Cocina[[#This Row],[Número de Orden]],Sala[Número de Orden],Sala[Monto total],"fracaso",0,1)</f>
        <v>0.22340425531914893</v>
      </c>
      <c r="L259" t="s">
        <v>607</v>
      </c>
    </row>
    <row r="260" spans="1:12" x14ac:dyDescent="0.25">
      <c r="A260">
        <v>98</v>
      </c>
      <c r="B260">
        <v>7</v>
      </c>
      <c r="C260" t="s">
        <v>146</v>
      </c>
      <c r="D260" t="s">
        <v>632</v>
      </c>
      <c r="E260">
        <v>12</v>
      </c>
      <c r="F260">
        <v>20</v>
      </c>
      <c r="G260">
        <v>3</v>
      </c>
      <c r="H260">
        <v>56</v>
      </c>
      <c r="I260">
        <f>Cocina[[#This Row],[Precio Unitario]]*Cocina[[#This Row],[Cantidad Ordenada]]</f>
        <v>60</v>
      </c>
      <c r="J260">
        <f>(Cocina[[#This Row],[Precio Unitario]]-Cocina[[#This Row],[Costo Unitario]])*Cocina[[#This Row],[Cantidad Ordenada]]</f>
        <v>24</v>
      </c>
      <c r="K260" s="4">
        <f>Cocina[[#This Row],[Ganancia neta]]/_xlfn.XLOOKUP(Cocina[[#This Row],[Número de Orden]],Sala[Número de Orden],Sala[Monto total],"fracaso",0,1)</f>
        <v>0.14457831325301204</v>
      </c>
      <c r="L260" t="s">
        <v>608</v>
      </c>
    </row>
    <row r="261" spans="1:12" x14ac:dyDescent="0.25">
      <c r="A261">
        <v>98</v>
      </c>
      <c r="B261">
        <v>7</v>
      </c>
      <c r="C261" t="s">
        <v>38</v>
      </c>
      <c r="D261" t="s">
        <v>624</v>
      </c>
      <c r="E261">
        <v>17</v>
      </c>
      <c r="F261">
        <v>29</v>
      </c>
      <c r="G261">
        <v>3</v>
      </c>
      <c r="H261">
        <v>33</v>
      </c>
      <c r="I261">
        <f>Cocina[[#This Row],[Precio Unitario]]*Cocina[[#This Row],[Cantidad Ordenada]]</f>
        <v>87</v>
      </c>
      <c r="J261">
        <f>(Cocina[[#This Row],[Precio Unitario]]-Cocina[[#This Row],[Costo Unitario]])*Cocina[[#This Row],[Cantidad Ordenada]]</f>
        <v>36</v>
      </c>
      <c r="K261" s="4">
        <f>Cocina[[#This Row],[Ganancia neta]]/_xlfn.XLOOKUP(Cocina[[#This Row],[Número de Orden]],Sala[Número de Orden],Sala[Monto total],"fracaso",0,1)</f>
        <v>0.21686746987951808</v>
      </c>
      <c r="L261" t="s">
        <v>608</v>
      </c>
    </row>
    <row r="262" spans="1:12" x14ac:dyDescent="0.25">
      <c r="A262">
        <v>98</v>
      </c>
      <c r="B262">
        <v>7</v>
      </c>
      <c r="C262" t="s">
        <v>112</v>
      </c>
      <c r="D262" t="s">
        <v>627</v>
      </c>
      <c r="E262">
        <v>11</v>
      </c>
      <c r="F262">
        <v>19</v>
      </c>
      <c r="G262">
        <v>1</v>
      </c>
      <c r="H262">
        <v>51</v>
      </c>
      <c r="I262">
        <f>Cocina[[#This Row],[Precio Unitario]]*Cocina[[#This Row],[Cantidad Ordenada]]</f>
        <v>19</v>
      </c>
      <c r="J262">
        <f>(Cocina[[#This Row],[Precio Unitario]]-Cocina[[#This Row],[Costo Unitario]])*Cocina[[#This Row],[Cantidad Ordenada]]</f>
        <v>8</v>
      </c>
      <c r="K262" s="4">
        <f>Cocina[[#This Row],[Ganancia neta]]/_xlfn.XLOOKUP(Cocina[[#This Row],[Número de Orden]],Sala[Número de Orden],Sala[Monto total],"fracaso",0,1)</f>
        <v>4.8192771084337352E-2</v>
      </c>
      <c r="L262" t="s">
        <v>608</v>
      </c>
    </row>
    <row r="263" spans="1:12" x14ac:dyDescent="0.25">
      <c r="A263">
        <v>99</v>
      </c>
      <c r="B263">
        <v>2</v>
      </c>
      <c r="C263" t="s">
        <v>68</v>
      </c>
      <c r="D263" t="s">
        <v>619</v>
      </c>
      <c r="E263">
        <v>18</v>
      </c>
      <c r="F263">
        <v>30</v>
      </c>
      <c r="G263">
        <v>2</v>
      </c>
      <c r="H263">
        <v>27</v>
      </c>
      <c r="I263">
        <f>Cocina[[#This Row],[Precio Unitario]]*Cocina[[#This Row],[Cantidad Ordenada]]</f>
        <v>60</v>
      </c>
      <c r="J263">
        <f>(Cocina[[#This Row],[Precio Unitario]]-Cocina[[#This Row],[Costo Unitario]])*Cocina[[#This Row],[Cantidad Ordenada]]</f>
        <v>24</v>
      </c>
      <c r="K263" s="4">
        <f>Cocina[[#This Row],[Ganancia neta]]/_xlfn.XLOOKUP(Cocina[[#This Row],[Número de Orden]],Sala[Número de Orden],Sala[Monto total],"fracaso",0,1)</f>
        <v>0.17266187050359713</v>
      </c>
      <c r="L263" t="s">
        <v>608</v>
      </c>
    </row>
    <row r="264" spans="1:12" x14ac:dyDescent="0.25">
      <c r="A264">
        <v>99</v>
      </c>
      <c r="B264">
        <v>2</v>
      </c>
      <c r="C264" t="s">
        <v>116</v>
      </c>
      <c r="D264" t="s">
        <v>620</v>
      </c>
      <c r="E264">
        <v>19</v>
      </c>
      <c r="F264">
        <v>31</v>
      </c>
      <c r="G264">
        <v>1</v>
      </c>
      <c r="H264">
        <v>5</v>
      </c>
      <c r="I264">
        <f>Cocina[[#This Row],[Precio Unitario]]*Cocina[[#This Row],[Cantidad Ordenada]]</f>
        <v>31</v>
      </c>
      <c r="J264">
        <f>(Cocina[[#This Row],[Precio Unitario]]-Cocina[[#This Row],[Costo Unitario]])*Cocina[[#This Row],[Cantidad Ordenada]]</f>
        <v>12</v>
      </c>
      <c r="K264" s="4">
        <f>Cocina[[#This Row],[Ganancia neta]]/_xlfn.XLOOKUP(Cocina[[#This Row],[Número de Orden]],Sala[Número de Orden],Sala[Monto total],"fracaso",0,1)</f>
        <v>8.6330935251798566E-2</v>
      </c>
      <c r="L264" t="s">
        <v>608</v>
      </c>
    </row>
    <row r="265" spans="1:12" x14ac:dyDescent="0.25">
      <c r="A265">
        <v>99</v>
      </c>
      <c r="B265">
        <v>2</v>
      </c>
      <c r="C265" t="s">
        <v>112</v>
      </c>
      <c r="D265" t="s">
        <v>627</v>
      </c>
      <c r="E265">
        <v>11</v>
      </c>
      <c r="F265">
        <v>19</v>
      </c>
      <c r="G265">
        <v>1</v>
      </c>
      <c r="H265">
        <v>9</v>
      </c>
      <c r="I265">
        <f>Cocina[[#This Row],[Precio Unitario]]*Cocina[[#This Row],[Cantidad Ordenada]]</f>
        <v>19</v>
      </c>
      <c r="J265">
        <f>(Cocina[[#This Row],[Precio Unitario]]-Cocina[[#This Row],[Costo Unitario]])*Cocina[[#This Row],[Cantidad Ordenada]]</f>
        <v>8</v>
      </c>
      <c r="K265" s="4">
        <f>Cocina[[#This Row],[Ganancia neta]]/_xlfn.XLOOKUP(Cocina[[#This Row],[Número de Orden]],Sala[Número de Orden],Sala[Monto total],"fracaso",0,1)</f>
        <v>5.7553956834532377E-2</v>
      </c>
      <c r="L265" t="s">
        <v>607</v>
      </c>
    </row>
    <row r="266" spans="1:12" x14ac:dyDescent="0.25">
      <c r="A266">
        <v>99</v>
      </c>
      <c r="B266">
        <v>2</v>
      </c>
      <c r="C266" t="s">
        <v>38</v>
      </c>
      <c r="D266" t="s">
        <v>624</v>
      </c>
      <c r="E266">
        <v>17</v>
      </c>
      <c r="F266">
        <v>29</v>
      </c>
      <c r="G266">
        <v>1</v>
      </c>
      <c r="H266">
        <v>45</v>
      </c>
      <c r="I266">
        <f>Cocina[[#This Row],[Precio Unitario]]*Cocina[[#This Row],[Cantidad Ordenada]]</f>
        <v>29</v>
      </c>
      <c r="J266">
        <f>(Cocina[[#This Row],[Precio Unitario]]-Cocina[[#This Row],[Costo Unitario]])*Cocina[[#This Row],[Cantidad Ordenada]]</f>
        <v>12</v>
      </c>
      <c r="K266" s="4">
        <f>Cocina[[#This Row],[Ganancia neta]]/_xlfn.XLOOKUP(Cocina[[#This Row],[Número de Orden]],Sala[Número de Orden],Sala[Monto total],"fracaso",0,1)</f>
        <v>8.6330935251798566E-2</v>
      </c>
      <c r="L266" t="s">
        <v>607</v>
      </c>
    </row>
    <row r="267" spans="1:12" x14ac:dyDescent="0.25">
      <c r="A267">
        <v>100</v>
      </c>
      <c r="B267">
        <v>18</v>
      </c>
      <c r="C267" t="s">
        <v>158</v>
      </c>
      <c r="D267" t="s">
        <v>617</v>
      </c>
      <c r="E267">
        <v>14</v>
      </c>
      <c r="F267">
        <v>24</v>
      </c>
      <c r="G267">
        <v>3</v>
      </c>
      <c r="H267">
        <v>48</v>
      </c>
      <c r="I267">
        <f>Cocina[[#This Row],[Precio Unitario]]*Cocina[[#This Row],[Cantidad Ordenada]]</f>
        <v>72</v>
      </c>
      <c r="J267">
        <f>(Cocina[[#This Row],[Precio Unitario]]-Cocina[[#This Row],[Costo Unitario]])*Cocina[[#This Row],[Cantidad Ordenada]]</f>
        <v>30</v>
      </c>
      <c r="K267" s="4">
        <f>Cocina[[#This Row],[Ganancia neta]]/_xlfn.XLOOKUP(Cocina[[#This Row],[Número de Orden]],Sala[Número de Orden],Sala[Monto total],"fracaso",0,1)</f>
        <v>0.18072289156626506</v>
      </c>
      <c r="L267" t="s">
        <v>608</v>
      </c>
    </row>
    <row r="268" spans="1:12" x14ac:dyDescent="0.25">
      <c r="A268">
        <v>100</v>
      </c>
      <c r="B268">
        <v>18</v>
      </c>
      <c r="C268" t="s">
        <v>203</v>
      </c>
      <c r="D268" t="s">
        <v>630</v>
      </c>
      <c r="E268">
        <v>13</v>
      </c>
      <c r="F268">
        <v>22</v>
      </c>
      <c r="G268">
        <v>2</v>
      </c>
      <c r="H268">
        <v>33</v>
      </c>
      <c r="I268">
        <f>Cocina[[#This Row],[Precio Unitario]]*Cocina[[#This Row],[Cantidad Ordenada]]</f>
        <v>44</v>
      </c>
      <c r="J268">
        <f>(Cocina[[#This Row],[Precio Unitario]]-Cocina[[#This Row],[Costo Unitario]])*Cocina[[#This Row],[Cantidad Ordenada]]</f>
        <v>18</v>
      </c>
      <c r="K268" s="4">
        <f>Cocina[[#This Row],[Ganancia neta]]/_xlfn.XLOOKUP(Cocina[[#This Row],[Número de Orden]],Sala[Número de Orden],Sala[Monto total],"fracaso",0,1)</f>
        <v>0.10843373493975904</v>
      </c>
      <c r="L268" t="s">
        <v>607</v>
      </c>
    </row>
    <row r="269" spans="1:12" x14ac:dyDescent="0.25">
      <c r="A269">
        <v>100</v>
      </c>
      <c r="B269">
        <v>18</v>
      </c>
      <c r="C269" t="s">
        <v>122</v>
      </c>
      <c r="D269" t="s">
        <v>637</v>
      </c>
      <c r="E269">
        <v>15</v>
      </c>
      <c r="F269">
        <v>25</v>
      </c>
      <c r="G269">
        <v>2</v>
      </c>
      <c r="H269">
        <v>22</v>
      </c>
      <c r="I269">
        <f>Cocina[[#This Row],[Precio Unitario]]*Cocina[[#This Row],[Cantidad Ordenada]]</f>
        <v>50</v>
      </c>
      <c r="J269">
        <f>(Cocina[[#This Row],[Precio Unitario]]-Cocina[[#This Row],[Costo Unitario]])*Cocina[[#This Row],[Cantidad Ordenada]]</f>
        <v>20</v>
      </c>
      <c r="K269" s="4">
        <f>Cocina[[#This Row],[Ganancia neta]]/_xlfn.XLOOKUP(Cocina[[#This Row],[Número de Orden]],Sala[Número de Orden],Sala[Monto total],"fracaso",0,1)</f>
        <v>0.12048192771084337</v>
      </c>
      <c r="L269" t="s">
        <v>608</v>
      </c>
    </row>
    <row r="270" spans="1:12" x14ac:dyDescent="0.25">
      <c r="A270">
        <v>101</v>
      </c>
      <c r="B270">
        <v>1</v>
      </c>
      <c r="C270" t="s">
        <v>116</v>
      </c>
      <c r="D270" t="s">
        <v>620</v>
      </c>
      <c r="E270">
        <v>19</v>
      </c>
      <c r="F270">
        <v>31</v>
      </c>
      <c r="G270">
        <v>1</v>
      </c>
      <c r="H270">
        <v>24</v>
      </c>
      <c r="I270">
        <f>Cocina[[#This Row],[Precio Unitario]]*Cocina[[#This Row],[Cantidad Ordenada]]</f>
        <v>31</v>
      </c>
      <c r="J270">
        <f>(Cocina[[#This Row],[Precio Unitario]]-Cocina[[#This Row],[Costo Unitario]])*Cocina[[#This Row],[Cantidad Ordenada]]</f>
        <v>12</v>
      </c>
      <c r="K270" s="4">
        <f>Cocina[[#This Row],[Ganancia neta]]/_xlfn.XLOOKUP(Cocina[[#This Row],[Número de Orden]],Sala[Número de Orden],Sala[Monto total],"fracaso",0,1)</f>
        <v>8.6956521739130432E-2</v>
      </c>
      <c r="L270" t="s">
        <v>608</v>
      </c>
    </row>
    <row r="271" spans="1:12" x14ac:dyDescent="0.25">
      <c r="A271">
        <v>101</v>
      </c>
      <c r="B271">
        <v>1</v>
      </c>
      <c r="C271" t="s">
        <v>122</v>
      </c>
      <c r="D271" t="s">
        <v>637</v>
      </c>
      <c r="E271">
        <v>15</v>
      </c>
      <c r="F271">
        <v>25</v>
      </c>
      <c r="G271">
        <v>2</v>
      </c>
      <c r="H271">
        <v>41</v>
      </c>
      <c r="I271">
        <f>Cocina[[#This Row],[Precio Unitario]]*Cocina[[#This Row],[Cantidad Ordenada]]</f>
        <v>50</v>
      </c>
      <c r="J271">
        <f>(Cocina[[#This Row],[Precio Unitario]]-Cocina[[#This Row],[Costo Unitario]])*Cocina[[#This Row],[Cantidad Ordenada]]</f>
        <v>20</v>
      </c>
      <c r="K271" s="4">
        <f>Cocina[[#This Row],[Ganancia neta]]/_xlfn.XLOOKUP(Cocina[[#This Row],[Número de Orden]],Sala[Número de Orden],Sala[Monto total],"fracaso",0,1)</f>
        <v>0.14492753623188406</v>
      </c>
      <c r="L271" t="s">
        <v>608</v>
      </c>
    </row>
    <row r="272" spans="1:12" x14ac:dyDescent="0.25">
      <c r="A272">
        <v>101</v>
      </c>
      <c r="B272">
        <v>1</v>
      </c>
      <c r="C272" t="s">
        <v>203</v>
      </c>
      <c r="D272" t="s">
        <v>630</v>
      </c>
      <c r="E272">
        <v>13</v>
      </c>
      <c r="F272">
        <v>22</v>
      </c>
      <c r="G272">
        <v>1</v>
      </c>
      <c r="H272">
        <v>35</v>
      </c>
      <c r="I272">
        <f>Cocina[[#This Row],[Precio Unitario]]*Cocina[[#This Row],[Cantidad Ordenada]]</f>
        <v>22</v>
      </c>
      <c r="J272">
        <f>(Cocina[[#This Row],[Precio Unitario]]-Cocina[[#This Row],[Costo Unitario]])*Cocina[[#This Row],[Cantidad Ordenada]]</f>
        <v>9</v>
      </c>
      <c r="K272" s="4">
        <f>Cocina[[#This Row],[Ganancia neta]]/_xlfn.XLOOKUP(Cocina[[#This Row],[Número de Orden]],Sala[Número de Orden],Sala[Monto total],"fracaso",0,1)</f>
        <v>6.5217391304347824E-2</v>
      </c>
      <c r="L272" t="s">
        <v>608</v>
      </c>
    </row>
    <row r="273" spans="1:12" x14ac:dyDescent="0.25">
      <c r="A273">
        <v>101</v>
      </c>
      <c r="B273">
        <v>1</v>
      </c>
      <c r="C273" t="s">
        <v>26</v>
      </c>
      <c r="D273" t="s">
        <v>628</v>
      </c>
      <c r="E273">
        <v>21</v>
      </c>
      <c r="F273">
        <v>35</v>
      </c>
      <c r="G273">
        <v>1</v>
      </c>
      <c r="H273">
        <v>34</v>
      </c>
      <c r="I273">
        <f>Cocina[[#This Row],[Precio Unitario]]*Cocina[[#This Row],[Cantidad Ordenada]]</f>
        <v>35</v>
      </c>
      <c r="J273">
        <f>(Cocina[[#This Row],[Precio Unitario]]-Cocina[[#This Row],[Costo Unitario]])*Cocina[[#This Row],[Cantidad Ordenada]]</f>
        <v>14</v>
      </c>
      <c r="K273" s="4">
        <f>Cocina[[#This Row],[Ganancia neta]]/_xlfn.XLOOKUP(Cocina[[#This Row],[Número de Orden]],Sala[Número de Orden],Sala[Monto total],"fracaso",0,1)</f>
        <v>0.10144927536231885</v>
      </c>
      <c r="L273" t="s">
        <v>608</v>
      </c>
    </row>
    <row r="274" spans="1:12" x14ac:dyDescent="0.25">
      <c r="A274">
        <v>102</v>
      </c>
      <c r="B274">
        <v>19</v>
      </c>
      <c r="C274" t="s">
        <v>42</v>
      </c>
      <c r="D274" t="s">
        <v>626</v>
      </c>
      <c r="E274">
        <v>16</v>
      </c>
      <c r="F274">
        <v>28</v>
      </c>
      <c r="G274">
        <v>3</v>
      </c>
      <c r="H274">
        <v>17</v>
      </c>
      <c r="I274">
        <f>Cocina[[#This Row],[Precio Unitario]]*Cocina[[#This Row],[Cantidad Ordenada]]</f>
        <v>84</v>
      </c>
      <c r="J274">
        <f>(Cocina[[#This Row],[Precio Unitario]]-Cocina[[#This Row],[Costo Unitario]])*Cocina[[#This Row],[Cantidad Ordenada]]</f>
        <v>36</v>
      </c>
      <c r="K274" s="4">
        <f>Cocina[[#This Row],[Ganancia neta]]/_xlfn.XLOOKUP(Cocina[[#This Row],[Número de Orden]],Sala[Número de Orden],Sala[Monto total],"fracaso",0,1)</f>
        <v>0.21052631578947367</v>
      </c>
      <c r="L274" t="s">
        <v>608</v>
      </c>
    </row>
    <row r="275" spans="1:12" x14ac:dyDescent="0.25">
      <c r="A275">
        <v>102</v>
      </c>
      <c r="B275">
        <v>19</v>
      </c>
      <c r="C275" t="s">
        <v>38</v>
      </c>
      <c r="D275" t="s">
        <v>624</v>
      </c>
      <c r="E275">
        <v>17</v>
      </c>
      <c r="F275">
        <v>29</v>
      </c>
      <c r="G275">
        <v>3</v>
      </c>
      <c r="H275">
        <v>29</v>
      </c>
      <c r="I275">
        <f>Cocina[[#This Row],[Precio Unitario]]*Cocina[[#This Row],[Cantidad Ordenada]]</f>
        <v>87</v>
      </c>
      <c r="J275">
        <f>(Cocina[[#This Row],[Precio Unitario]]-Cocina[[#This Row],[Costo Unitario]])*Cocina[[#This Row],[Cantidad Ordenada]]</f>
        <v>36</v>
      </c>
      <c r="K275" s="4">
        <f>Cocina[[#This Row],[Ganancia neta]]/_xlfn.XLOOKUP(Cocina[[#This Row],[Número de Orden]],Sala[Número de Orden],Sala[Monto total],"fracaso",0,1)</f>
        <v>0.21052631578947367</v>
      </c>
      <c r="L275" t="s">
        <v>607</v>
      </c>
    </row>
    <row r="276" spans="1:12" x14ac:dyDescent="0.25">
      <c r="A276">
        <v>103</v>
      </c>
      <c r="B276">
        <v>13</v>
      </c>
      <c r="C276" t="s">
        <v>70</v>
      </c>
      <c r="D276" t="s">
        <v>634</v>
      </c>
      <c r="E276">
        <v>13</v>
      </c>
      <c r="F276">
        <v>21</v>
      </c>
      <c r="G276">
        <v>1</v>
      </c>
      <c r="H276">
        <v>57</v>
      </c>
      <c r="I276">
        <f>Cocina[[#This Row],[Precio Unitario]]*Cocina[[#This Row],[Cantidad Ordenada]]</f>
        <v>21</v>
      </c>
      <c r="J276">
        <f>(Cocina[[#This Row],[Precio Unitario]]-Cocina[[#This Row],[Costo Unitario]])*Cocina[[#This Row],[Cantidad Ordenada]]</f>
        <v>8</v>
      </c>
      <c r="K276" s="4">
        <f>Cocina[[#This Row],[Ganancia neta]]/_xlfn.XLOOKUP(Cocina[[#This Row],[Número de Orden]],Sala[Número de Orden],Sala[Monto total],"fracaso",0,1)</f>
        <v>0.1095890410958904</v>
      </c>
      <c r="L276" t="s">
        <v>608</v>
      </c>
    </row>
    <row r="277" spans="1:12" x14ac:dyDescent="0.25">
      <c r="A277">
        <v>103</v>
      </c>
      <c r="B277">
        <v>13</v>
      </c>
      <c r="C277" t="s">
        <v>55</v>
      </c>
      <c r="D277" t="s">
        <v>631</v>
      </c>
      <c r="E277">
        <v>20</v>
      </c>
      <c r="F277">
        <v>34</v>
      </c>
      <c r="G277">
        <v>1</v>
      </c>
      <c r="H277">
        <v>9</v>
      </c>
      <c r="I277">
        <f>Cocina[[#This Row],[Precio Unitario]]*Cocina[[#This Row],[Cantidad Ordenada]]</f>
        <v>34</v>
      </c>
      <c r="J277">
        <f>(Cocina[[#This Row],[Precio Unitario]]-Cocina[[#This Row],[Costo Unitario]])*Cocina[[#This Row],[Cantidad Ordenada]]</f>
        <v>14</v>
      </c>
      <c r="K277" s="4">
        <f>Cocina[[#This Row],[Ganancia neta]]/_xlfn.XLOOKUP(Cocina[[#This Row],[Número de Orden]],Sala[Número de Orden],Sala[Monto total],"fracaso",0,1)</f>
        <v>0.19178082191780821</v>
      </c>
      <c r="L277" t="s">
        <v>607</v>
      </c>
    </row>
    <row r="278" spans="1:12" x14ac:dyDescent="0.25">
      <c r="A278">
        <v>103</v>
      </c>
      <c r="B278">
        <v>13</v>
      </c>
      <c r="C278" t="s">
        <v>79</v>
      </c>
      <c r="D278" t="s">
        <v>635</v>
      </c>
      <c r="E278">
        <v>10</v>
      </c>
      <c r="F278">
        <v>18</v>
      </c>
      <c r="G278">
        <v>1</v>
      </c>
      <c r="H278">
        <v>33</v>
      </c>
      <c r="I278">
        <f>Cocina[[#This Row],[Precio Unitario]]*Cocina[[#This Row],[Cantidad Ordenada]]</f>
        <v>18</v>
      </c>
      <c r="J278">
        <f>(Cocina[[#This Row],[Precio Unitario]]-Cocina[[#This Row],[Costo Unitario]])*Cocina[[#This Row],[Cantidad Ordenada]]</f>
        <v>8</v>
      </c>
      <c r="K278" s="4">
        <f>Cocina[[#This Row],[Ganancia neta]]/_xlfn.XLOOKUP(Cocina[[#This Row],[Número de Orden]],Sala[Número de Orden],Sala[Monto total],"fracaso",0,1)</f>
        <v>0.1095890410958904</v>
      </c>
      <c r="L278" t="s">
        <v>608</v>
      </c>
    </row>
    <row r="279" spans="1:12" x14ac:dyDescent="0.25">
      <c r="A279">
        <v>104</v>
      </c>
      <c r="B279">
        <v>14</v>
      </c>
      <c r="C279" t="s">
        <v>200</v>
      </c>
      <c r="D279" t="s">
        <v>633</v>
      </c>
      <c r="E279">
        <v>14</v>
      </c>
      <c r="F279">
        <v>23</v>
      </c>
      <c r="G279">
        <v>2</v>
      </c>
      <c r="H279">
        <v>43</v>
      </c>
      <c r="I279">
        <f>Cocina[[#This Row],[Precio Unitario]]*Cocina[[#This Row],[Cantidad Ordenada]]</f>
        <v>46</v>
      </c>
      <c r="J279">
        <f>(Cocina[[#This Row],[Precio Unitario]]-Cocina[[#This Row],[Costo Unitario]])*Cocina[[#This Row],[Cantidad Ordenada]]</f>
        <v>18</v>
      </c>
      <c r="K279" s="4">
        <f>Cocina[[#This Row],[Ganancia neta]]/_xlfn.XLOOKUP(Cocina[[#This Row],[Número de Orden]],Sala[Número de Orden],Sala[Monto total],"fracaso",0,1)</f>
        <v>0.23376623376623376</v>
      </c>
      <c r="L279" t="s">
        <v>608</v>
      </c>
    </row>
    <row r="280" spans="1:12" x14ac:dyDescent="0.25">
      <c r="A280">
        <v>104</v>
      </c>
      <c r="B280">
        <v>14</v>
      </c>
      <c r="C280" t="s">
        <v>116</v>
      </c>
      <c r="D280" t="s">
        <v>620</v>
      </c>
      <c r="E280">
        <v>19</v>
      </c>
      <c r="F280">
        <v>31</v>
      </c>
      <c r="G280">
        <v>1</v>
      </c>
      <c r="H280">
        <v>12</v>
      </c>
      <c r="I280">
        <f>Cocina[[#This Row],[Precio Unitario]]*Cocina[[#This Row],[Cantidad Ordenada]]</f>
        <v>31</v>
      </c>
      <c r="J280">
        <f>(Cocina[[#This Row],[Precio Unitario]]-Cocina[[#This Row],[Costo Unitario]])*Cocina[[#This Row],[Cantidad Ordenada]]</f>
        <v>12</v>
      </c>
      <c r="K280" s="4">
        <f>Cocina[[#This Row],[Ganancia neta]]/_xlfn.XLOOKUP(Cocina[[#This Row],[Número de Orden]],Sala[Número de Orden],Sala[Monto total],"fracaso",0,1)</f>
        <v>0.15584415584415584</v>
      </c>
      <c r="L280" t="s">
        <v>607</v>
      </c>
    </row>
    <row r="281" spans="1:12" x14ac:dyDescent="0.25">
      <c r="A281">
        <v>105</v>
      </c>
      <c r="B281">
        <v>14</v>
      </c>
      <c r="C281" t="s">
        <v>146</v>
      </c>
      <c r="D281" t="s">
        <v>632</v>
      </c>
      <c r="E281">
        <v>12</v>
      </c>
      <c r="F281">
        <v>20</v>
      </c>
      <c r="G281">
        <v>3</v>
      </c>
      <c r="H281">
        <v>9</v>
      </c>
      <c r="I281">
        <f>Cocina[[#This Row],[Precio Unitario]]*Cocina[[#This Row],[Cantidad Ordenada]]</f>
        <v>60</v>
      </c>
      <c r="J281">
        <f>(Cocina[[#This Row],[Precio Unitario]]-Cocina[[#This Row],[Costo Unitario]])*Cocina[[#This Row],[Cantidad Ordenada]]</f>
        <v>24</v>
      </c>
      <c r="K281" s="4">
        <f>Cocina[[#This Row],[Ganancia neta]]/_xlfn.XLOOKUP(Cocina[[#This Row],[Número de Orden]],Sala[Número de Orden],Sala[Monto total],"fracaso",0,1)</f>
        <v>0.1702127659574468</v>
      </c>
      <c r="L281" t="s">
        <v>607</v>
      </c>
    </row>
    <row r="282" spans="1:12" x14ac:dyDescent="0.25">
      <c r="A282">
        <v>105</v>
      </c>
      <c r="B282">
        <v>14</v>
      </c>
      <c r="C282" t="s">
        <v>106</v>
      </c>
      <c r="D282" t="s">
        <v>621</v>
      </c>
      <c r="E282">
        <v>16</v>
      </c>
      <c r="F282">
        <v>27</v>
      </c>
      <c r="G282">
        <v>3</v>
      </c>
      <c r="H282">
        <v>34</v>
      </c>
      <c r="I282">
        <f>Cocina[[#This Row],[Precio Unitario]]*Cocina[[#This Row],[Cantidad Ordenada]]</f>
        <v>81</v>
      </c>
      <c r="J282">
        <f>(Cocina[[#This Row],[Precio Unitario]]-Cocina[[#This Row],[Costo Unitario]])*Cocina[[#This Row],[Cantidad Ordenada]]</f>
        <v>33</v>
      </c>
      <c r="K282" s="4">
        <f>Cocina[[#This Row],[Ganancia neta]]/_xlfn.XLOOKUP(Cocina[[#This Row],[Número de Orden]],Sala[Número de Orden],Sala[Monto total],"fracaso",0,1)</f>
        <v>0.23404255319148937</v>
      </c>
      <c r="L282" t="s">
        <v>607</v>
      </c>
    </row>
    <row r="283" spans="1:12" x14ac:dyDescent="0.25">
      <c r="A283">
        <v>106</v>
      </c>
      <c r="B283">
        <v>15</v>
      </c>
      <c r="C283" t="s">
        <v>55</v>
      </c>
      <c r="D283" t="s">
        <v>631</v>
      </c>
      <c r="E283">
        <v>20</v>
      </c>
      <c r="F283">
        <v>34</v>
      </c>
      <c r="G283">
        <v>2</v>
      </c>
      <c r="H283">
        <v>29</v>
      </c>
      <c r="I283">
        <f>Cocina[[#This Row],[Precio Unitario]]*Cocina[[#This Row],[Cantidad Ordenada]]</f>
        <v>68</v>
      </c>
      <c r="J283">
        <f>(Cocina[[#This Row],[Precio Unitario]]-Cocina[[#This Row],[Costo Unitario]])*Cocina[[#This Row],[Cantidad Ordenada]]</f>
        <v>28</v>
      </c>
      <c r="K283" s="4">
        <f>Cocina[[#This Row],[Ganancia neta]]/_xlfn.XLOOKUP(Cocina[[#This Row],[Número de Orden]],Sala[Número de Orden],Sala[Monto total],"fracaso",0,1)</f>
        <v>0.41176470588235292</v>
      </c>
      <c r="L283" t="s">
        <v>607</v>
      </c>
    </row>
    <row r="284" spans="1:12" x14ac:dyDescent="0.25">
      <c r="A284">
        <v>107</v>
      </c>
      <c r="B284">
        <v>11</v>
      </c>
      <c r="C284" t="s">
        <v>247</v>
      </c>
      <c r="D284" t="s">
        <v>629</v>
      </c>
      <c r="E284">
        <v>19</v>
      </c>
      <c r="F284">
        <v>32</v>
      </c>
      <c r="G284">
        <v>2</v>
      </c>
      <c r="H284">
        <v>48</v>
      </c>
      <c r="I284">
        <f>Cocina[[#This Row],[Precio Unitario]]*Cocina[[#This Row],[Cantidad Ordenada]]</f>
        <v>64</v>
      </c>
      <c r="J284">
        <f>(Cocina[[#This Row],[Precio Unitario]]-Cocina[[#This Row],[Costo Unitario]])*Cocina[[#This Row],[Cantidad Ordenada]]</f>
        <v>26</v>
      </c>
      <c r="K284" s="4">
        <f>Cocina[[#This Row],[Ganancia neta]]/_xlfn.XLOOKUP(Cocina[[#This Row],[Número de Orden]],Sala[Número de Orden],Sala[Monto total],"fracaso",0,1)</f>
        <v>0.10276679841897234</v>
      </c>
      <c r="L284" t="s">
        <v>607</v>
      </c>
    </row>
    <row r="285" spans="1:12" x14ac:dyDescent="0.25">
      <c r="A285">
        <v>107</v>
      </c>
      <c r="B285">
        <v>11</v>
      </c>
      <c r="C285" t="s">
        <v>38</v>
      </c>
      <c r="D285" t="s">
        <v>624</v>
      </c>
      <c r="E285">
        <v>17</v>
      </c>
      <c r="F285">
        <v>29</v>
      </c>
      <c r="G285">
        <v>3</v>
      </c>
      <c r="H285">
        <v>51</v>
      </c>
      <c r="I285">
        <f>Cocina[[#This Row],[Precio Unitario]]*Cocina[[#This Row],[Cantidad Ordenada]]</f>
        <v>87</v>
      </c>
      <c r="J285">
        <f>(Cocina[[#This Row],[Precio Unitario]]-Cocina[[#This Row],[Costo Unitario]])*Cocina[[#This Row],[Cantidad Ordenada]]</f>
        <v>36</v>
      </c>
      <c r="K285" s="4">
        <f>Cocina[[#This Row],[Ganancia neta]]/_xlfn.XLOOKUP(Cocina[[#This Row],[Número de Orden]],Sala[Número de Orden],Sala[Monto total],"fracaso",0,1)</f>
        <v>0.14229249011857709</v>
      </c>
      <c r="L285" t="s">
        <v>608</v>
      </c>
    </row>
    <row r="286" spans="1:12" x14ac:dyDescent="0.25">
      <c r="A286">
        <v>107</v>
      </c>
      <c r="B286">
        <v>11</v>
      </c>
      <c r="C286" t="s">
        <v>55</v>
      </c>
      <c r="D286" t="s">
        <v>631</v>
      </c>
      <c r="E286">
        <v>20</v>
      </c>
      <c r="F286">
        <v>34</v>
      </c>
      <c r="G286">
        <v>3</v>
      </c>
      <c r="H286">
        <v>42</v>
      </c>
      <c r="I286">
        <f>Cocina[[#This Row],[Precio Unitario]]*Cocina[[#This Row],[Cantidad Ordenada]]</f>
        <v>102</v>
      </c>
      <c r="J286">
        <f>(Cocina[[#This Row],[Precio Unitario]]-Cocina[[#This Row],[Costo Unitario]])*Cocina[[#This Row],[Cantidad Ordenada]]</f>
        <v>42</v>
      </c>
      <c r="K286" s="4">
        <f>Cocina[[#This Row],[Ganancia neta]]/_xlfn.XLOOKUP(Cocina[[#This Row],[Número de Orden]],Sala[Número de Orden],Sala[Monto total],"fracaso",0,1)</f>
        <v>0.16600790513833993</v>
      </c>
      <c r="L286" t="s">
        <v>608</v>
      </c>
    </row>
    <row r="287" spans="1:12" x14ac:dyDescent="0.25">
      <c r="A287">
        <v>108</v>
      </c>
      <c r="B287">
        <v>3</v>
      </c>
      <c r="C287" t="s">
        <v>38</v>
      </c>
      <c r="D287" t="s">
        <v>624</v>
      </c>
      <c r="E287">
        <v>17</v>
      </c>
      <c r="F287">
        <v>29</v>
      </c>
      <c r="G287">
        <v>2</v>
      </c>
      <c r="H287">
        <v>23</v>
      </c>
      <c r="I287">
        <f>Cocina[[#This Row],[Precio Unitario]]*Cocina[[#This Row],[Cantidad Ordenada]]</f>
        <v>58</v>
      </c>
      <c r="J287">
        <f>(Cocina[[#This Row],[Precio Unitario]]-Cocina[[#This Row],[Costo Unitario]])*Cocina[[#This Row],[Cantidad Ordenada]]</f>
        <v>24</v>
      </c>
      <c r="K287" s="4">
        <f>Cocina[[#This Row],[Ganancia neta]]/_xlfn.XLOOKUP(Cocina[[#This Row],[Número de Orden]],Sala[Número de Orden],Sala[Monto total],"fracaso",0,1)</f>
        <v>0.19354838709677419</v>
      </c>
      <c r="L287" t="s">
        <v>607</v>
      </c>
    </row>
    <row r="288" spans="1:12" x14ac:dyDescent="0.25">
      <c r="A288">
        <v>108</v>
      </c>
      <c r="B288">
        <v>3</v>
      </c>
      <c r="C288" t="s">
        <v>79</v>
      </c>
      <c r="D288" t="s">
        <v>635</v>
      </c>
      <c r="E288">
        <v>10</v>
      </c>
      <c r="F288">
        <v>18</v>
      </c>
      <c r="G288">
        <v>1</v>
      </c>
      <c r="H288">
        <v>10</v>
      </c>
      <c r="I288">
        <f>Cocina[[#This Row],[Precio Unitario]]*Cocina[[#This Row],[Cantidad Ordenada]]</f>
        <v>18</v>
      </c>
      <c r="J288">
        <f>(Cocina[[#This Row],[Precio Unitario]]-Cocina[[#This Row],[Costo Unitario]])*Cocina[[#This Row],[Cantidad Ordenada]]</f>
        <v>8</v>
      </c>
      <c r="K288" s="4">
        <f>Cocina[[#This Row],[Ganancia neta]]/_xlfn.XLOOKUP(Cocina[[#This Row],[Número de Orden]],Sala[Número de Orden],Sala[Monto total],"fracaso",0,1)</f>
        <v>6.4516129032258063E-2</v>
      </c>
      <c r="L288" t="s">
        <v>608</v>
      </c>
    </row>
    <row r="289" spans="1:12" x14ac:dyDescent="0.25">
      <c r="A289">
        <v>108</v>
      </c>
      <c r="B289">
        <v>3</v>
      </c>
      <c r="C289" t="s">
        <v>146</v>
      </c>
      <c r="D289" t="s">
        <v>632</v>
      </c>
      <c r="E289">
        <v>12</v>
      </c>
      <c r="F289">
        <v>20</v>
      </c>
      <c r="G289">
        <v>1</v>
      </c>
      <c r="H289">
        <v>26</v>
      </c>
      <c r="I289">
        <f>Cocina[[#This Row],[Precio Unitario]]*Cocina[[#This Row],[Cantidad Ordenada]]</f>
        <v>20</v>
      </c>
      <c r="J289">
        <f>(Cocina[[#This Row],[Precio Unitario]]-Cocina[[#This Row],[Costo Unitario]])*Cocina[[#This Row],[Cantidad Ordenada]]</f>
        <v>8</v>
      </c>
      <c r="K289" s="4">
        <f>Cocina[[#This Row],[Ganancia neta]]/_xlfn.XLOOKUP(Cocina[[#This Row],[Número de Orden]],Sala[Número de Orden],Sala[Monto total],"fracaso",0,1)</f>
        <v>6.4516129032258063E-2</v>
      </c>
      <c r="L289" t="s">
        <v>608</v>
      </c>
    </row>
    <row r="290" spans="1:12" x14ac:dyDescent="0.25">
      <c r="A290">
        <v>108</v>
      </c>
      <c r="B290">
        <v>3</v>
      </c>
      <c r="C290" t="s">
        <v>42</v>
      </c>
      <c r="D290" t="s">
        <v>626</v>
      </c>
      <c r="E290">
        <v>16</v>
      </c>
      <c r="F290">
        <v>28</v>
      </c>
      <c r="G290">
        <v>1</v>
      </c>
      <c r="H290">
        <v>56</v>
      </c>
      <c r="I290">
        <f>Cocina[[#This Row],[Precio Unitario]]*Cocina[[#This Row],[Cantidad Ordenada]]</f>
        <v>28</v>
      </c>
      <c r="J290">
        <f>(Cocina[[#This Row],[Precio Unitario]]-Cocina[[#This Row],[Costo Unitario]])*Cocina[[#This Row],[Cantidad Ordenada]]</f>
        <v>12</v>
      </c>
      <c r="K290" s="4">
        <f>Cocina[[#This Row],[Ganancia neta]]/_xlfn.XLOOKUP(Cocina[[#This Row],[Número de Orden]],Sala[Número de Orden],Sala[Monto total],"fracaso",0,1)</f>
        <v>9.6774193548387094E-2</v>
      </c>
      <c r="L290" t="s">
        <v>607</v>
      </c>
    </row>
    <row r="291" spans="1:12" x14ac:dyDescent="0.25">
      <c r="A291">
        <v>109</v>
      </c>
      <c r="B291">
        <v>10</v>
      </c>
      <c r="C291" t="s">
        <v>55</v>
      </c>
      <c r="D291" t="s">
        <v>631</v>
      </c>
      <c r="E291">
        <v>20</v>
      </c>
      <c r="F291">
        <v>34</v>
      </c>
      <c r="G291">
        <v>3</v>
      </c>
      <c r="H291">
        <v>54</v>
      </c>
      <c r="I291">
        <f>Cocina[[#This Row],[Precio Unitario]]*Cocina[[#This Row],[Cantidad Ordenada]]</f>
        <v>102</v>
      </c>
      <c r="J291">
        <f>(Cocina[[#This Row],[Precio Unitario]]-Cocina[[#This Row],[Costo Unitario]])*Cocina[[#This Row],[Cantidad Ordenada]]</f>
        <v>42</v>
      </c>
      <c r="K291" s="4">
        <f>Cocina[[#This Row],[Ganancia neta]]/_xlfn.XLOOKUP(Cocina[[#This Row],[Número de Orden]],Sala[Número de Orden],Sala[Monto total],"fracaso",0,1)</f>
        <v>0.24852071005917159</v>
      </c>
      <c r="L291" t="s">
        <v>608</v>
      </c>
    </row>
    <row r="292" spans="1:12" x14ac:dyDescent="0.25">
      <c r="A292">
        <v>109</v>
      </c>
      <c r="B292">
        <v>10</v>
      </c>
      <c r="C292" t="s">
        <v>200</v>
      </c>
      <c r="D292" t="s">
        <v>633</v>
      </c>
      <c r="E292">
        <v>14</v>
      </c>
      <c r="F292">
        <v>23</v>
      </c>
      <c r="G292">
        <v>1</v>
      </c>
      <c r="H292">
        <v>26</v>
      </c>
      <c r="I292">
        <f>Cocina[[#This Row],[Precio Unitario]]*Cocina[[#This Row],[Cantidad Ordenada]]</f>
        <v>23</v>
      </c>
      <c r="J292">
        <f>(Cocina[[#This Row],[Precio Unitario]]-Cocina[[#This Row],[Costo Unitario]])*Cocina[[#This Row],[Cantidad Ordenada]]</f>
        <v>9</v>
      </c>
      <c r="K292" s="4">
        <f>Cocina[[#This Row],[Ganancia neta]]/_xlfn.XLOOKUP(Cocina[[#This Row],[Número de Orden]],Sala[Número de Orden],Sala[Monto total],"fracaso",0,1)</f>
        <v>5.3254437869822487E-2</v>
      </c>
      <c r="L292" t="s">
        <v>608</v>
      </c>
    </row>
    <row r="293" spans="1:12" x14ac:dyDescent="0.25">
      <c r="A293">
        <v>109</v>
      </c>
      <c r="B293">
        <v>10</v>
      </c>
      <c r="C293" t="s">
        <v>203</v>
      </c>
      <c r="D293" t="s">
        <v>630</v>
      </c>
      <c r="E293">
        <v>13</v>
      </c>
      <c r="F293">
        <v>22</v>
      </c>
      <c r="G293">
        <v>2</v>
      </c>
      <c r="H293">
        <v>38</v>
      </c>
      <c r="I293">
        <f>Cocina[[#This Row],[Precio Unitario]]*Cocina[[#This Row],[Cantidad Ordenada]]</f>
        <v>44</v>
      </c>
      <c r="J293">
        <f>(Cocina[[#This Row],[Precio Unitario]]-Cocina[[#This Row],[Costo Unitario]])*Cocina[[#This Row],[Cantidad Ordenada]]</f>
        <v>18</v>
      </c>
      <c r="K293" s="4">
        <f>Cocina[[#This Row],[Ganancia neta]]/_xlfn.XLOOKUP(Cocina[[#This Row],[Número de Orden]],Sala[Número de Orden],Sala[Monto total],"fracaso",0,1)</f>
        <v>0.10650887573964497</v>
      </c>
      <c r="L293" t="s">
        <v>607</v>
      </c>
    </row>
    <row r="294" spans="1:12" x14ac:dyDescent="0.25">
      <c r="A294">
        <v>110</v>
      </c>
      <c r="B294">
        <v>5</v>
      </c>
      <c r="C294" t="s">
        <v>38</v>
      </c>
      <c r="D294" t="s">
        <v>624</v>
      </c>
      <c r="E294">
        <v>17</v>
      </c>
      <c r="F294">
        <v>29</v>
      </c>
      <c r="G294">
        <v>2</v>
      </c>
      <c r="H294">
        <v>38</v>
      </c>
      <c r="I294">
        <f>Cocina[[#This Row],[Precio Unitario]]*Cocina[[#This Row],[Cantidad Ordenada]]</f>
        <v>58</v>
      </c>
      <c r="J294">
        <f>(Cocina[[#This Row],[Precio Unitario]]-Cocina[[#This Row],[Costo Unitario]])*Cocina[[#This Row],[Cantidad Ordenada]]</f>
        <v>24</v>
      </c>
      <c r="K294" s="4">
        <f>Cocina[[#This Row],[Ganancia neta]]/_xlfn.XLOOKUP(Cocina[[#This Row],[Número de Orden]],Sala[Número de Orden],Sala[Monto total],"fracaso",0,1)</f>
        <v>0.14723926380368099</v>
      </c>
      <c r="L294" t="s">
        <v>607</v>
      </c>
    </row>
    <row r="295" spans="1:12" x14ac:dyDescent="0.25">
      <c r="A295">
        <v>110</v>
      </c>
      <c r="B295">
        <v>5</v>
      </c>
      <c r="C295" t="s">
        <v>155</v>
      </c>
      <c r="D295" t="s">
        <v>636</v>
      </c>
      <c r="E295">
        <v>15</v>
      </c>
      <c r="F295">
        <v>26</v>
      </c>
      <c r="G295">
        <v>3</v>
      </c>
      <c r="H295">
        <v>27</v>
      </c>
      <c r="I295">
        <f>Cocina[[#This Row],[Precio Unitario]]*Cocina[[#This Row],[Cantidad Ordenada]]</f>
        <v>78</v>
      </c>
      <c r="J295">
        <f>(Cocina[[#This Row],[Precio Unitario]]-Cocina[[#This Row],[Costo Unitario]])*Cocina[[#This Row],[Cantidad Ordenada]]</f>
        <v>33</v>
      </c>
      <c r="K295" s="4">
        <f>Cocina[[#This Row],[Ganancia neta]]/_xlfn.XLOOKUP(Cocina[[#This Row],[Número de Orden]],Sala[Número de Orden],Sala[Monto total],"fracaso",0,1)</f>
        <v>0.20245398773006135</v>
      </c>
      <c r="L295" t="s">
        <v>607</v>
      </c>
    </row>
    <row r="296" spans="1:12" x14ac:dyDescent="0.25">
      <c r="A296">
        <v>110</v>
      </c>
      <c r="B296">
        <v>5</v>
      </c>
      <c r="C296" t="s">
        <v>106</v>
      </c>
      <c r="D296" t="s">
        <v>621</v>
      </c>
      <c r="E296">
        <v>16</v>
      </c>
      <c r="F296">
        <v>27</v>
      </c>
      <c r="G296">
        <v>1</v>
      </c>
      <c r="H296">
        <v>56</v>
      </c>
      <c r="I296">
        <f>Cocina[[#This Row],[Precio Unitario]]*Cocina[[#This Row],[Cantidad Ordenada]]</f>
        <v>27</v>
      </c>
      <c r="J296">
        <f>(Cocina[[#This Row],[Precio Unitario]]-Cocina[[#This Row],[Costo Unitario]])*Cocina[[#This Row],[Cantidad Ordenada]]</f>
        <v>11</v>
      </c>
      <c r="K296" s="4">
        <f>Cocina[[#This Row],[Ganancia neta]]/_xlfn.XLOOKUP(Cocina[[#This Row],[Número de Orden]],Sala[Número de Orden],Sala[Monto total],"fracaso",0,1)</f>
        <v>6.7484662576687116E-2</v>
      </c>
      <c r="L296" t="s">
        <v>608</v>
      </c>
    </row>
    <row r="297" spans="1:12" x14ac:dyDescent="0.25">
      <c r="A297">
        <v>111</v>
      </c>
      <c r="B297">
        <v>3</v>
      </c>
      <c r="C297" t="s">
        <v>247</v>
      </c>
      <c r="D297" t="s">
        <v>629</v>
      </c>
      <c r="E297">
        <v>19</v>
      </c>
      <c r="F297">
        <v>32</v>
      </c>
      <c r="G297">
        <v>1</v>
      </c>
      <c r="H297">
        <v>47</v>
      </c>
      <c r="I297">
        <f>Cocina[[#This Row],[Precio Unitario]]*Cocina[[#This Row],[Cantidad Ordenada]]</f>
        <v>32</v>
      </c>
      <c r="J297">
        <f>(Cocina[[#This Row],[Precio Unitario]]-Cocina[[#This Row],[Costo Unitario]])*Cocina[[#This Row],[Cantidad Ordenada]]</f>
        <v>13</v>
      </c>
      <c r="K297" s="4">
        <f>Cocina[[#This Row],[Ganancia neta]]/_xlfn.XLOOKUP(Cocina[[#This Row],[Número de Orden]],Sala[Número de Orden],Sala[Monto total],"fracaso",0,1)</f>
        <v>6.3725490196078427E-2</v>
      </c>
      <c r="L297" t="s">
        <v>608</v>
      </c>
    </row>
    <row r="298" spans="1:12" x14ac:dyDescent="0.25">
      <c r="A298">
        <v>111</v>
      </c>
      <c r="B298">
        <v>3</v>
      </c>
      <c r="C298" t="s">
        <v>203</v>
      </c>
      <c r="D298" t="s">
        <v>630</v>
      </c>
      <c r="E298">
        <v>13</v>
      </c>
      <c r="F298">
        <v>22</v>
      </c>
      <c r="G298">
        <v>3</v>
      </c>
      <c r="H298">
        <v>5</v>
      </c>
      <c r="I298">
        <f>Cocina[[#This Row],[Precio Unitario]]*Cocina[[#This Row],[Cantidad Ordenada]]</f>
        <v>66</v>
      </c>
      <c r="J298">
        <f>(Cocina[[#This Row],[Precio Unitario]]-Cocina[[#This Row],[Costo Unitario]])*Cocina[[#This Row],[Cantidad Ordenada]]</f>
        <v>27</v>
      </c>
      <c r="K298" s="4">
        <f>Cocina[[#This Row],[Ganancia neta]]/_xlfn.XLOOKUP(Cocina[[#This Row],[Número de Orden]],Sala[Número de Orden],Sala[Monto total],"fracaso",0,1)</f>
        <v>0.13235294117647059</v>
      </c>
      <c r="L298" t="s">
        <v>607</v>
      </c>
    </row>
    <row r="299" spans="1:12" x14ac:dyDescent="0.25">
      <c r="A299">
        <v>111</v>
      </c>
      <c r="B299">
        <v>3</v>
      </c>
      <c r="C299" t="s">
        <v>158</v>
      </c>
      <c r="D299" t="s">
        <v>617</v>
      </c>
      <c r="E299">
        <v>14</v>
      </c>
      <c r="F299">
        <v>24</v>
      </c>
      <c r="G299">
        <v>2</v>
      </c>
      <c r="H299">
        <v>48</v>
      </c>
      <c r="I299">
        <f>Cocina[[#This Row],[Precio Unitario]]*Cocina[[#This Row],[Cantidad Ordenada]]</f>
        <v>48</v>
      </c>
      <c r="J299">
        <f>(Cocina[[#This Row],[Precio Unitario]]-Cocina[[#This Row],[Costo Unitario]])*Cocina[[#This Row],[Cantidad Ordenada]]</f>
        <v>20</v>
      </c>
      <c r="K299" s="4">
        <f>Cocina[[#This Row],[Ganancia neta]]/_xlfn.XLOOKUP(Cocina[[#This Row],[Número de Orden]],Sala[Número de Orden],Sala[Monto total],"fracaso",0,1)</f>
        <v>9.8039215686274508E-2</v>
      </c>
      <c r="L299" t="s">
        <v>607</v>
      </c>
    </row>
    <row r="300" spans="1:12" x14ac:dyDescent="0.25">
      <c r="A300">
        <v>111</v>
      </c>
      <c r="B300">
        <v>3</v>
      </c>
      <c r="C300" t="s">
        <v>38</v>
      </c>
      <c r="D300" t="s">
        <v>624</v>
      </c>
      <c r="E300">
        <v>17</v>
      </c>
      <c r="F300">
        <v>29</v>
      </c>
      <c r="G300">
        <v>2</v>
      </c>
      <c r="H300">
        <v>37</v>
      </c>
      <c r="I300">
        <f>Cocina[[#This Row],[Precio Unitario]]*Cocina[[#This Row],[Cantidad Ordenada]]</f>
        <v>58</v>
      </c>
      <c r="J300">
        <f>(Cocina[[#This Row],[Precio Unitario]]-Cocina[[#This Row],[Costo Unitario]])*Cocina[[#This Row],[Cantidad Ordenada]]</f>
        <v>24</v>
      </c>
      <c r="K300" s="4">
        <f>Cocina[[#This Row],[Ganancia neta]]/_xlfn.XLOOKUP(Cocina[[#This Row],[Número de Orden]],Sala[Número de Orden],Sala[Monto total],"fracaso",0,1)</f>
        <v>0.11764705882352941</v>
      </c>
      <c r="L300" t="s">
        <v>608</v>
      </c>
    </row>
    <row r="301" spans="1:12" x14ac:dyDescent="0.25">
      <c r="A301">
        <v>112</v>
      </c>
      <c r="B301">
        <v>6</v>
      </c>
      <c r="C301" t="s">
        <v>146</v>
      </c>
      <c r="D301" t="s">
        <v>632</v>
      </c>
      <c r="E301">
        <v>12</v>
      </c>
      <c r="F301">
        <v>20</v>
      </c>
      <c r="G301">
        <v>1</v>
      </c>
      <c r="H301">
        <v>16</v>
      </c>
      <c r="I301">
        <f>Cocina[[#This Row],[Precio Unitario]]*Cocina[[#This Row],[Cantidad Ordenada]]</f>
        <v>20</v>
      </c>
      <c r="J301">
        <f>(Cocina[[#This Row],[Precio Unitario]]-Cocina[[#This Row],[Costo Unitario]])*Cocina[[#This Row],[Cantidad Ordenada]]</f>
        <v>8</v>
      </c>
      <c r="K301" s="4">
        <f>Cocina[[#This Row],[Ganancia neta]]/_xlfn.XLOOKUP(Cocina[[#This Row],[Número de Orden]],Sala[Número de Orden],Sala[Monto total],"fracaso",0,1)</f>
        <v>0.4</v>
      </c>
      <c r="L301" t="s">
        <v>608</v>
      </c>
    </row>
    <row r="302" spans="1:12" x14ac:dyDescent="0.25">
      <c r="A302">
        <v>113</v>
      </c>
      <c r="B302">
        <v>4</v>
      </c>
      <c r="C302" t="s">
        <v>55</v>
      </c>
      <c r="D302" t="s">
        <v>631</v>
      </c>
      <c r="E302">
        <v>20</v>
      </c>
      <c r="F302">
        <v>34</v>
      </c>
      <c r="G302">
        <v>2</v>
      </c>
      <c r="H302">
        <v>51</v>
      </c>
      <c r="I302">
        <f>Cocina[[#This Row],[Precio Unitario]]*Cocina[[#This Row],[Cantidad Ordenada]]</f>
        <v>68</v>
      </c>
      <c r="J302">
        <f>(Cocina[[#This Row],[Precio Unitario]]-Cocina[[#This Row],[Costo Unitario]])*Cocina[[#This Row],[Cantidad Ordenada]]</f>
        <v>28</v>
      </c>
      <c r="K302" s="4">
        <f>Cocina[[#This Row],[Ganancia neta]]/_xlfn.XLOOKUP(Cocina[[#This Row],[Número de Orden]],Sala[Número de Orden],Sala[Monto total],"fracaso",0,1)</f>
        <v>0.41176470588235292</v>
      </c>
      <c r="L302" t="s">
        <v>607</v>
      </c>
    </row>
    <row r="303" spans="1:12" x14ac:dyDescent="0.25">
      <c r="A303">
        <v>114</v>
      </c>
      <c r="B303">
        <v>7</v>
      </c>
      <c r="C303" t="s">
        <v>68</v>
      </c>
      <c r="D303" t="s">
        <v>619</v>
      </c>
      <c r="E303">
        <v>18</v>
      </c>
      <c r="F303">
        <v>30</v>
      </c>
      <c r="G303">
        <v>3</v>
      </c>
      <c r="H303">
        <v>36</v>
      </c>
      <c r="I303">
        <f>Cocina[[#This Row],[Precio Unitario]]*Cocina[[#This Row],[Cantidad Ordenada]]</f>
        <v>90</v>
      </c>
      <c r="J303">
        <f>(Cocina[[#This Row],[Precio Unitario]]-Cocina[[#This Row],[Costo Unitario]])*Cocina[[#This Row],[Cantidad Ordenada]]</f>
        <v>36</v>
      </c>
      <c r="K303" s="4">
        <f>Cocina[[#This Row],[Ganancia neta]]/_xlfn.XLOOKUP(Cocina[[#This Row],[Número de Orden]],Sala[Número de Orden],Sala[Monto total],"fracaso",0,1)</f>
        <v>0.14229249011857709</v>
      </c>
      <c r="L303" t="s">
        <v>607</v>
      </c>
    </row>
    <row r="304" spans="1:12" x14ac:dyDescent="0.25">
      <c r="A304">
        <v>114</v>
      </c>
      <c r="B304">
        <v>7</v>
      </c>
      <c r="C304" t="s">
        <v>38</v>
      </c>
      <c r="D304" t="s">
        <v>624</v>
      </c>
      <c r="E304">
        <v>17</v>
      </c>
      <c r="F304">
        <v>29</v>
      </c>
      <c r="G304">
        <v>3</v>
      </c>
      <c r="H304">
        <v>22</v>
      </c>
      <c r="I304">
        <f>Cocina[[#This Row],[Precio Unitario]]*Cocina[[#This Row],[Cantidad Ordenada]]</f>
        <v>87</v>
      </c>
      <c r="J304">
        <f>(Cocina[[#This Row],[Precio Unitario]]-Cocina[[#This Row],[Costo Unitario]])*Cocina[[#This Row],[Cantidad Ordenada]]</f>
        <v>36</v>
      </c>
      <c r="K304" s="4">
        <f>Cocina[[#This Row],[Ganancia neta]]/_xlfn.XLOOKUP(Cocina[[#This Row],[Número de Orden]],Sala[Número de Orden],Sala[Monto total],"fracaso",0,1)</f>
        <v>0.14229249011857709</v>
      </c>
      <c r="L304" t="s">
        <v>607</v>
      </c>
    </row>
    <row r="305" spans="1:12" x14ac:dyDescent="0.25">
      <c r="A305">
        <v>114</v>
      </c>
      <c r="B305">
        <v>7</v>
      </c>
      <c r="C305" t="s">
        <v>79</v>
      </c>
      <c r="D305" t="s">
        <v>635</v>
      </c>
      <c r="E305">
        <v>10</v>
      </c>
      <c r="F305">
        <v>18</v>
      </c>
      <c r="G305">
        <v>3</v>
      </c>
      <c r="H305">
        <v>31</v>
      </c>
      <c r="I305">
        <f>Cocina[[#This Row],[Precio Unitario]]*Cocina[[#This Row],[Cantidad Ordenada]]</f>
        <v>54</v>
      </c>
      <c r="J305">
        <f>(Cocina[[#This Row],[Precio Unitario]]-Cocina[[#This Row],[Costo Unitario]])*Cocina[[#This Row],[Cantidad Ordenada]]</f>
        <v>24</v>
      </c>
      <c r="K305" s="4">
        <f>Cocina[[#This Row],[Ganancia neta]]/_xlfn.XLOOKUP(Cocina[[#This Row],[Número de Orden]],Sala[Número de Orden],Sala[Monto total],"fracaso",0,1)</f>
        <v>9.4861660079051377E-2</v>
      </c>
      <c r="L305" t="s">
        <v>608</v>
      </c>
    </row>
    <row r="306" spans="1:12" x14ac:dyDescent="0.25">
      <c r="A306">
        <v>114</v>
      </c>
      <c r="B306">
        <v>7</v>
      </c>
      <c r="C306" t="s">
        <v>203</v>
      </c>
      <c r="D306" t="s">
        <v>630</v>
      </c>
      <c r="E306">
        <v>13</v>
      </c>
      <c r="F306">
        <v>22</v>
      </c>
      <c r="G306">
        <v>1</v>
      </c>
      <c r="H306">
        <v>42</v>
      </c>
      <c r="I306">
        <f>Cocina[[#This Row],[Precio Unitario]]*Cocina[[#This Row],[Cantidad Ordenada]]</f>
        <v>22</v>
      </c>
      <c r="J306">
        <f>(Cocina[[#This Row],[Precio Unitario]]-Cocina[[#This Row],[Costo Unitario]])*Cocina[[#This Row],[Cantidad Ordenada]]</f>
        <v>9</v>
      </c>
      <c r="K306" s="4">
        <f>Cocina[[#This Row],[Ganancia neta]]/_xlfn.XLOOKUP(Cocina[[#This Row],[Número de Orden]],Sala[Número de Orden],Sala[Monto total],"fracaso",0,1)</f>
        <v>3.5573122529644272E-2</v>
      </c>
      <c r="L306" t="s">
        <v>608</v>
      </c>
    </row>
    <row r="307" spans="1:12" x14ac:dyDescent="0.25">
      <c r="A307">
        <v>115</v>
      </c>
      <c r="B307">
        <v>12</v>
      </c>
      <c r="C307" t="s">
        <v>106</v>
      </c>
      <c r="D307" t="s">
        <v>621</v>
      </c>
      <c r="E307">
        <v>16</v>
      </c>
      <c r="F307">
        <v>27</v>
      </c>
      <c r="G307">
        <v>3</v>
      </c>
      <c r="H307">
        <v>23</v>
      </c>
      <c r="I307">
        <f>Cocina[[#This Row],[Precio Unitario]]*Cocina[[#This Row],[Cantidad Ordenada]]</f>
        <v>81</v>
      </c>
      <c r="J307">
        <f>(Cocina[[#This Row],[Precio Unitario]]-Cocina[[#This Row],[Costo Unitario]])*Cocina[[#This Row],[Cantidad Ordenada]]</f>
        <v>33</v>
      </c>
      <c r="K307" s="4">
        <f>Cocina[[#This Row],[Ganancia neta]]/_xlfn.XLOOKUP(Cocina[[#This Row],[Número de Orden]],Sala[Número de Orden],Sala[Monto total],"fracaso",0,1)</f>
        <v>0.13924050632911392</v>
      </c>
      <c r="L307" t="s">
        <v>608</v>
      </c>
    </row>
    <row r="308" spans="1:12" x14ac:dyDescent="0.25">
      <c r="A308">
        <v>115</v>
      </c>
      <c r="B308">
        <v>12</v>
      </c>
      <c r="C308" t="s">
        <v>68</v>
      </c>
      <c r="D308" t="s">
        <v>619</v>
      </c>
      <c r="E308">
        <v>18</v>
      </c>
      <c r="F308">
        <v>30</v>
      </c>
      <c r="G308">
        <v>2</v>
      </c>
      <c r="H308">
        <v>32</v>
      </c>
      <c r="I308">
        <f>Cocina[[#This Row],[Precio Unitario]]*Cocina[[#This Row],[Cantidad Ordenada]]</f>
        <v>60</v>
      </c>
      <c r="J308">
        <f>(Cocina[[#This Row],[Precio Unitario]]-Cocina[[#This Row],[Costo Unitario]])*Cocina[[#This Row],[Cantidad Ordenada]]</f>
        <v>24</v>
      </c>
      <c r="K308" s="4">
        <f>Cocina[[#This Row],[Ganancia neta]]/_xlfn.XLOOKUP(Cocina[[#This Row],[Número de Orden]],Sala[Número de Orden],Sala[Monto total],"fracaso",0,1)</f>
        <v>0.10126582278481013</v>
      </c>
      <c r="L308" t="s">
        <v>608</v>
      </c>
    </row>
    <row r="309" spans="1:12" x14ac:dyDescent="0.25">
      <c r="A309">
        <v>115</v>
      </c>
      <c r="B309">
        <v>12</v>
      </c>
      <c r="C309" t="s">
        <v>247</v>
      </c>
      <c r="D309" t="s">
        <v>629</v>
      </c>
      <c r="E309">
        <v>19</v>
      </c>
      <c r="F309">
        <v>32</v>
      </c>
      <c r="G309">
        <v>3</v>
      </c>
      <c r="H309">
        <v>43</v>
      </c>
      <c r="I309">
        <f>Cocina[[#This Row],[Precio Unitario]]*Cocina[[#This Row],[Cantidad Ordenada]]</f>
        <v>96</v>
      </c>
      <c r="J309">
        <f>(Cocina[[#This Row],[Precio Unitario]]-Cocina[[#This Row],[Costo Unitario]])*Cocina[[#This Row],[Cantidad Ordenada]]</f>
        <v>39</v>
      </c>
      <c r="K309" s="4">
        <f>Cocina[[#This Row],[Ganancia neta]]/_xlfn.XLOOKUP(Cocina[[#This Row],[Número de Orden]],Sala[Número de Orden],Sala[Monto total],"fracaso",0,1)</f>
        <v>0.16455696202531644</v>
      </c>
      <c r="L309" t="s">
        <v>608</v>
      </c>
    </row>
    <row r="310" spans="1:12" x14ac:dyDescent="0.25">
      <c r="A310">
        <v>116</v>
      </c>
      <c r="B310">
        <v>8</v>
      </c>
      <c r="C310" t="s">
        <v>247</v>
      </c>
      <c r="D310" t="s">
        <v>629</v>
      </c>
      <c r="E310">
        <v>19</v>
      </c>
      <c r="F310">
        <v>32</v>
      </c>
      <c r="G310">
        <v>3</v>
      </c>
      <c r="H310">
        <v>54</v>
      </c>
      <c r="I310">
        <f>Cocina[[#This Row],[Precio Unitario]]*Cocina[[#This Row],[Cantidad Ordenada]]</f>
        <v>96</v>
      </c>
      <c r="J310">
        <f>(Cocina[[#This Row],[Precio Unitario]]-Cocina[[#This Row],[Costo Unitario]])*Cocina[[#This Row],[Cantidad Ordenada]]</f>
        <v>39</v>
      </c>
      <c r="K310" s="4">
        <f>Cocina[[#This Row],[Ganancia neta]]/_xlfn.XLOOKUP(Cocina[[#This Row],[Número de Orden]],Sala[Número de Orden],Sala[Monto total],"fracaso",0,1)</f>
        <v>0.1449814126394052</v>
      </c>
      <c r="L310" t="s">
        <v>608</v>
      </c>
    </row>
    <row r="311" spans="1:12" x14ac:dyDescent="0.25">
      <c r="A311">
        <v>116</v>
      </c>
      <c r="B311">
        <v>8</v>
      </c>
      <c r="C311" t="s">
        <v>26</v>
      </c>
      <c r="D311" t="s">
        <v>628</v>
      </c>
      <c r="E311">
        <v>21</v>
      </c>
      <c r="F311">
        <v>35</v>
      </c>
      <c r="G311">
        <v>1</v>
      </c>
      <c r="H311">
        <v>21</v>
      </c>
      <c r="I311">
        <f>Cocina[[#This Row],[Precio Unitario]]*Cocina[[#This Row],[Cantidad Ordenada]]</f>
        <v>35</v>
      </c>
      <c r="J311">
        <f>(Cocina[[#This Row],[Precio Unitario]]-Cocina[[#This Row],[Costo Unitario]])*Cocina[[#This Row],[Cantidad Ordenada]]</f>
        <v>14</v>
      </c>
      <c r="K311" s="4">
        <f>Cocina[[#This Row],[Ganancia neta]]/_xlfn.XLOOKUP(Cocina[[#This Row],[Número de Orden]],Sala[Número de Orden],Sala[Monto total],"fracaso",0,1)</f>
        <v>5.204460966542751E-2</v>
      </c>
      <c r="L311" t="s">
        <v>607</v>
      </c>
    </row>
    <row r="312" spans="1:12" x14ac:dyDescent="0.25">
      <c r="A312">
        <v>116</v>
      </c>
      <c r="B312">
        <v>8</v>
      </c>
      <c r="C312" t="s">
        <v>73</v>
      </c>
      <c r="D312" t="s">
        <v>623</v>
      </c>
      <c r="E312">
        <v>22</v>
      </c>
      <c r="F312">
        <v>36</v>
      </c>
      <c r="G312">
        <v>1</v>
      </c>
      <c r="H312">
        <v>26</v>
      </c>
      <c r="I312">
        <f>Cocina[[#This Row],[Precio Unitario]]*Cocina[[#This Row],[Cantidad Ordenada]]</f>
        <v>36</v>
      </c>
      <c r="J312">
        <f>(Cocina[[#This Row],[Precio Unitario]]-Cocina[[#This Row],[Costo Unitario]])*Cocina[[#This Row],[Cantidad Ordenada]]</f>
        <v>14</v>
      </c>
      <c r="K312" s="4">
        <f>Cocina[[#This Row],[Ganancia neta]]/_xlfn.XLOOKUP(Cocina[[#This Row],[Número de Orden]],Sala[Número de Orden],Sala[Monto total],"fracaso",0,1)</f>
        <v>5.204460966542751E-2</v>
      </c>
      <c r="L312" t="s">
        <v>608</v>
      </c>
    </row>
    <row r="313" spans="1:12" x14ac:dyDescent="0.25">
      <c r="A313">
        <v>116</v>
      </c>
      <c r="B313">
        <v>8</v>
      </c>
      <c r="C313" t="s">
        <v>55</v>
      </c>
      <c r="D313" t="s">
        <v>631</v>
      </c>
      <c r="E313">
        <v>20</v>
      </c>
      <c r="F313">
        <v>34</v>
      </c>
      <c r="G313">
        <v>3</v>
      </c>
      <c r="H313">
        <v>28</v>
      </c>
      <c r="I313">
        <f>Cocina[[#This Row],[Precio Unitario]]*Cocina[[#This Row],[Cantidad Ordenada]]</f>
        <v>102</v>
      </c>
      <c r="J313">
        <f>(Cocina[[#This Row],[Precio Unitario]]-Cocina[[#This Row],[Costo Unitario]])*Cocina[[#This Row],[Cantidad Ordenada]]</f>
        <v>42</v>
      </c>
      <c r="K313" s="4">
        <f>Cocina[[#This Row],[Ganancia neta]]/_xlfn.XLOOKUP(Cocina[[#This Row],[Número de Orden]],Sala[Número de Orden],Sala[Monto total],"fracaso",0,1)</f>
        <v>0.15613382899628253</v>
      </c>
      <c r="L313" t="s">
        <v>608</v>
      </c>
    </row>
    <row r="314" spans="1:12" x14ac:dyDescent="0.25">
      <c r="A314">
        <v>117</v>
      </c>
      <c r="B314">
        <v>8</v>
      </c>
      <c r="C314" t="s">
        <v>26</v>
      </c>
      <c r="D314" t="s">
        <v>628</v>
      </c>
      <c r="E314">
        <v>21</v>
      </c>
      <c r="F314">
        <v>35</v>
      </c>
      <c r="G314">
        <v>2</v>
      </c>
      <c r="H314">
        <v>8</v>
      </c>
      <c r="I314">
        <f>Cocina[[#This Row],[Precio Unitario]]*Cocina[[#This Row],[Cantidad Ordenada]]</f>
        <v>70</v>
      </c>
      <c r="J314">
        <f>(Cocina[[#This Row],[Precio Unitario]]-Cocina[[#This Row],[Costo Unitario]])*Cocina[[#This Row],[Cantidad Ordenada]]</f>
        <v>28</v>
      </c>
      <c r="K314" s="4">
        <f>Cocina[[#This Row],[Ganancia neta]]/_xlfn.XLOOKUP(Cocina[[#This Row],[Número de Orden]],Sala[Número de Orden],Sala[Monto total],"fracaso",0,1)</f>
        <v>0.4</v>
      </c>
      <c r="L314" t="s">
        <v>608</v>
      </c>
    </row>
    <row r="315" spans="1:12" x14ac:dyDescent="0.25">
      <c r="A315">
        <v>118</v>
      </c>
      <c r="B315">
        <v>13</v>
      </c>
      <c r="C315" t="s">
        <v>79</v>
      </c>
      <c r="D315" t="s">
        <v>635</v>
      </c>
      <c r="E315">
        <v>10</v>
      </c>
      <c r="F315">
        <v>18</v>
      </c>
      <c r="G315">
        <v>3</v>
      </c>
      <c r="H315">
        <v>39</v>
      </c>
      <c r="I315">
        <f>Cocina[[#This Row],[Precio Unitario]]*Cocina[[#This Row],[Cantidad Ordenada]]</f>
        <v>54</v>
      </c>
      <c r="J315">
        <f>(Cocina[[#This Row],[Precio Unitario]]-Cocina[[#This Row],[Costo Unitario]])*Cocina[[#This Row],[Cantidad Ordenada]]</f>
        <v>24</v>
      </c>
      <c r="K315" s="4">
        <f>Cocina[[#This Row],[Ganancia neta]]/_xlfn.XLOOKUP(Cocina[[#This Row],[Número de Orden]],Sala[Número de Orden],Sala[Monto total],"fracaso",0,1)</f>
        <v>0.11483253588516747</v>
      </c>
      <c r="L315" t="s">
        <v>607</v>
      </c>
    </row>
    <row r="316" spans="1:12" x14ac:dyDescent="0.25">
      <c r="A316">
        <v>118</v>
      </c>
      <c r="B316">
        <v>13</v>
      </c>
      <c r="C316" t="s">
        <v>200</v>
      </c>
      <c r="D316" t="s">
        <v>633</v>
      </c>
      <c r="E316">
        <v>14</v>
      </c>
      <c r="F316">
        <v>23</v>
      </c>
      <c r="G316">
        <v>3</v>
      </c>
      <c r="H316">
        <v>22</v>
      </c>
      <c r="I316">
        <f>Cocina[[#This Row],[Precio Unitario]]*Cocina[[#This Row],[Cantidad Ordenada]]</f>
        <v>69</v>
      </c>
      <c r="J316">
        <f>(Cocina[[#This Row],[Precio Unitario]]-Cocina[[#This Row],[Costo Unitario]])*Cocina[[#This Row],[Cantidad Ordenada]]</f>
        <v>27</v>
      </c>
      <c r="K316" s="4">
        <f>Cocina[[#This Row],[Ganancia neta]]/_xlfn.XLOOKUP(Cocina[[#This Row],[Número de Orden]],Sala[Número de Orden],Sala[Monto total],"fracaso",0,1)</f>
        <v>0.12918660287081341</v>
      </c>
      <c r="L316" t="s">
        <v>608</v>
      </c>
    </row>
    <row r="317" spans="1:12" x14ac:dyDescent="0.25">
      <c r="A317">
        <v>118</v>
      </c>
      <c r="B317">
        <v>13</v>
      </c>
      <c r="C317" t="s">
        <v>106</v>
      </c>
      <c r="D317" t="s">
        <v>621</v>
      </c>
      <c r="E317">
        <v>16</v>
      </c>
      <c r="F317">
        <v>27</v>
      </c>
      <c r="G317">
        <v>2</v>
      </c>
      <c r="H317">
        <v>52</v>
      </c>
      <c r="I317">
        <f>Cocina[[#This Row],[Precio Unitario]]*Cocina[[#This Row],[Cantidad Ordenada]]</f>
        <v>54</v>
      </c>
      <c r="J317">
        <f>(Cocina[[#This Row],[Precio Unitario]]-Cocina[[#This Row],[Costo Unitario]])*Cocina[[#This Row],[Cantidad Ordenada]]</f>
        <v>22</v>
      </c>
      <c r="K317" s="4">
        <f>Cocina[[#This Row],[Ganancia neta]]/_xlfn.XLOOKUP(Cocina[[#This Row],[Número de Orden]],Sala[Número de Orden],Sala[Monto total],"fracaso",0,1)</f>
        <v>0.10526315789473684</v>
      </c>
      <c r="L317" t="s">
        <v>608</v>
      </c>
    </row>
    <row r="318" spans="1:12" x14ac:dyDescent="0.25">
      <c r="A318">
        <v>118</v>
      </c>
      <c r="B318">
        <v>13</v>
      </c>
      <c r="C318" t="s">
        <v>247</v>
      </c>
      <c r="D318" t="s">
        <v>629</v>
      </c>
      <c r="E318">
        <v>19</v>
      </c>
      <c r="F318">
        <v>32</v>
      </c>
      <c r="G318">
        <v>1</v>
      </c>
      <c r="H318">
        <v>23</v>
      </c>
      <c r="I318">
        <f>Cocina[[#This Row],[Precio Unitario]]*Cocina[[#This Row],[Cantidad Ordenada]]</f>
        <v>32</v>
      </c>
      <c r="J318">
        <f>(Cocina[[#This Row],[Precio Unitario]]-Cocina[[#This Row],[Costo Unitario]])*Cocina[[#This Row],[Cantidad Ordenada]]</f>
        <v>13</v>
      </c>
      <c r="K318" s="4">
        <f>Cocina[[#This Row],[Ganancia neta]]/_xlfn.XLOOKUP(Cocina[[#This Row],[Número de Orden]],Sala[Número de Orden],Sala[Monto total],"fracaso",0,1)</f>
        <v>6.2200956937799042E-2</v>
      </c>
      <c r="L318" t="s">
        <v>608</v>
      </c>
    </row>
    <row r="319" spans="1:12" x14ac:dyDescent="0.25">
      <c r="A319">
        <v>119</v>
      </c>
      <c r="B319">
        <v>17</v>
      </c>
      <c r="C319" t="s">
        <v>155</v>
      </c>
      <c r="D319" t="s">
        <v>636</v>
      </c>
      <c r="E319">
        <v>15</v>
      </c>
      <c r="F319">
        <v>26</v>
      </c>
      <c r="G319">
        <v>1</v>
      </c>
      <c r="H319">
        <v>7</v>
      </c>
      <c r="I319">
        <f>Cocina[[#This Row],[Precio Unitario]]*Cocina[[#This Row],[Cantidad Ordenada]]</f>
        <v>26</v>
      </c>
      <c r="J319">
        <f>(Cocina[[#This Row],[Precio Unitario]]-Cocina[[#This Row],[Costo Unitario]])*Cocina[[#This Row],[Cantidad Ordenada]]</f>
        <v>11</v>
      </c>
      <c r="K319" s="4">
        <f>Cocina[[#This Row],[Ganancia neta]]/_xlfn.XLOOKUP(Cocina[[#This Row],[Número de Orden]],Sala[Número de Orden],Sala[Monto total],"fracaso",0,1)</f>
        <v>8.2089552238805971E-2</v>
      </c>
      <c r="L319" t="s">
        <v>607</v>
      </c>
    </row>
    <row r="320" spans="1:12" x14ac:dyDescent="0.25">
      <c r="A320">
        <v>119</v>
      </c>
      <c r="B320">
        <v>17</v>
      </c>
      <c r="C320" t="s">
        <v>73</v>
      </c>
      <c r="D320" t="s">
        <v>623</v>
      </c>
      <c r="E320">
        <v>22</v>
      </c>
      <c r="F320">
        <v>36</v>
      </c>
      <c r="G320">
        <v>2</v>
      </c>
      <c r="H320">
        <v>13</v>
      </c>
      <c r="I320">
        <f>Cocina[[#This Row],[Precio Unitario]]*Cocina[[#This Row],[Cantidad Ordenada]]</f>
        <v>72</v>
      </c>
      <c r="J320">
        <f>(Cocina[[#This Row],[Precio Unitario]]-Cocina[[#This Row],[Costo Unitario]])*Cocina[[#This Row],[Cantidad Ordenada]]</f>
        <v>28</v>
      </c>
      <c r="K320" s="4">
        <f>Cocina[[#This Row],[Ganancia neta]]/_xlfn.XLOOKUP(Cocina[[#This Row],[Número de Orden]],Sala[Número de Orden],Sala[Monto total],"fracaso",0,1)</f>
        <v>0.20895522388059701</v>
      </c>
      <c r="L320" t="s">
        <v>608</v>
      </c>
    </row>
    <row r="321" spans="1:12" x14ac:dyDescent="0.25">
      <c r="A321">
        <v>119</v>
      </c>
      <c r="B321">
        <v>17</v>
      </c>
      <c r="C321" t="s">
        <v>79</v>
      </c>
      <c r="D321" t="s">
        <v>635</v>
      </c>
      <c r="E321">
        <v>10</v>
      </c>
      <c r="F321">
        <v>18</v>
      </c>
      <c r="G321">
        <v>2</v>
      </c>
      <c r="H321">
        <v>34</v>
      </c>
      <c r="I321">
        <f>Cocina[[#This Row],[Precio Unitario]]*Cocina[[#This Row],[Cantidad Ordenada]]</f>
        <v>36</v>
      </c>
      <c r="J321">
        <f>(Cocina[[#This Row],[Precio Unitario]]-Cocina[[#This Row],[Costo Unitario]])*Cocina[[#This Row],[Cantidad Ordenada]]</f>
        <v>16</v>
      </c>
      <c r="K321" s="4">
        <f>Cocina[[#This Row],[Ganancia neta]]/_xlfn.XLOOKUP(Cocina[[#This Row],[Número de Orden]],Sala[Número de Orden],Sala[Monto total],"fracaso",0,1)</f>
        <v>0.11940298507462686</v>
      </c>
      <c r="L321" t="s">
        <v>608</v>
      </c>
    </row>
    <row r="322" spans="1:12" x14ac:dyDescent="0.25">
      <c r="A322">
        <v>120</v>
      </c>
      <c r="B322">
        <v>4</v>
      </c>
      <c r="C322" t="s">
        <v>116</v>
      </c>
      <c r="D322" t="s">
        <v>620</v>
      </c>
      <c r="E322">
        <v>19</v>
      </c>
      <c r="F322">
        <v>31</v>
      </c>
      <c r="G322">
        <v>3</v>
      </c>
      <c r="H322">
        <v>56</v>
      </c>
      <c r="I322">
        <f>Cocina[[#This Row],[Precio Unitario]]*Cocina[[#This Row],[Cantidad Ordenada]]</f>
        <v>93</v>
      </c>
      <c r="J322">
        <f>(Cocina[[#This Row],[Precio Unitario]]-Cocina[[#This Row],[Costo Unitario]])*Cocina[[#This Row],[Cantidad Ordenada]]</f>
        <v>36</v>
      </c>
      <c r="K322" s="4">
        <f>Cocina[[#This Row],[Ganancia neta]]/_xlfn.XLOOKUP(Cocina[[#This Row],[Número de Orden]],Sala[Número de Orden],Sala[Monto total],"fracaso",0,1)</f>
        <v>0.24827586206896551</v>
      </c>
      <c r="L322" t="s">
        <v>608</v>
      </c>
    </row>
    <row r="323" spans="1:12" x14ac:dyDescent="0.25">
      <c r="A323">
        <v>120</v>
      </c>
      <c r="B323">
        <v>4</v>
      </c>
      <c r="C323" t="s">
        <v>155</v>
      </c>
      <c r="D323" t="s">
        <v>636</v>
      </c>
      <c r="E323">
        <v>15</v>
      </c>
      <c r="F323">
        <v>26</v>
      </c>
      <c r="G323">
        <v>2</v>
      </c>
      <c r="H323">
        <v>41</v>
      </c>
      <c r="I323">
        <f>Cocina[[#This Row],[Precio Unitario]]*Cocina[[#This Row],[Cantidad Ordenada]]</f>
        <v>52</v>
      </c>
      <c r="J323">
        <f>(Cocina[[#This Row],[Precio Unitario]]-Cocina[[#This Row],[Costo Unitario]])*Cocina[[#This Row],[Cantidad Ordenada]]</f>
        <v>22</v>
      </c>
      <c r="K323" s="4">
        <f>Cocina[[#This Row],[Ganancia neta]]/_xlfn.XLOOKUP(Cocina[[#This Row],[Número de Orden]],Sala[Número de Orden],Sala[Monto total],"fracaso",0,1)</f>
        <v>0.15172413793103448</v>
      </c>
      <c r="L323" t="s">
        <v>608</v>
      </c>
    </row>
    <row r="324" spans="1:12" x14ac:dyDescent="0.25">
      <c r="A324">
        <v>121</v>
      </c>
      <c r="B324">
        <v>5</v>
      </c>
      <c r="C324" t="s">
        <v>155</v>
      </c>
      <c r="D324" t="s">
        <v>636</v>
      </c>
      <c r="E324">
        <v>15</v>
      </c>
      <c r="F324">
        <v>26</v>
      </c>
      <c r="G324">
        <v>2</v>
      </c>
      <c r="H324">
        <v>38</v>
      </c>
      <c r="I324">
        <f>Cocina[[#This Row],[Precio Unitario]]*Cocina[[#This Row],[Cantidad Ordenada]]</f>
        <v>52</v>
      </c>
      <c r="J324">
        <f>(Cocina[[#This Row],[Precio Unitario]]-Cocina[[#This Row],[Costo Unitario]])*Cocina[[#This Row],[Cantidad Ordenada]]</f>
        <v>22</v>
      </c>
      <c r="K324" s="4">
        <f>Cocina[[#This Row],[Ganancia neta]]/_xlfn.XLOOKUP(Cocina[[#This Row],[Número de Orden]],Sala[Número de Orden],Sala[Monto total],"fracaso",0,1)</f>
        <v>0.42307692307692307</v>
      </c>
      <c r="L324" t="s">
        <v>607</v>
      </c>
    </row>
    <row r="325" spans="1:12" x14ac:dyDescent="0.25">
      <c r="A325">
        <v>122</v>
      </c>
      <c r="B325">
        <v>6</v>
      </c>
      <c r="C325" t="s">
        <v>26</v>
      </c>
      <c r="D325" t="s">
        <v>628</v>
      </c>
      <c r="E325">
        <v>21</v>
      </c>
      <c r="F325">
        <v>35</v>
      </c>
      <c r="G325">
        <v>3</v>
      </c>
      <c r="H325">
        <v>32</v>
      </c>
      <c r="I325">
        <f>Cocina[[#This Row],[Precio Unitario]]*Cocina[[#This Row],[Cantidad Ordenada]]</f>
        <v>105</v>
      </c>
      <c r="J325">
        <f>(Cocina[[#This Row],[Precio Unitario]]-Cocina[[#This Row],[Costo Unitario]])*Cocina[[#This Row],[Cantidad Ordenada]]</f>
        <v>42</v>
      </c>
      <c r="K325" s="4">
        <f>Cocina[[#This Row],[Ganancia neta]]/_xlfn.XLOOKUP(Cocina[[#This Row],[Número de Orden]],Sala[Número de Orden],Sala[Monto total],"fracaso",0,1)</f>
        <v>0.4</v>
      </c>
      <c r="L325" t="s">
        <v>607</v>
      </c>
    </row>
    <row r="326" spans="1:12" x14ac:dyDescent="0.25">
      <c r="A326">
        <v>123</v>
      </c>
      <c r="B326">
        <v>16</v>
      </c>
      <c r="C326" t="s">
        <v>158</v>
      </c>
      <c r="D326" t="s">
        <v>617</v>
      </c>
      <c r="E326">
        <v>14</v>
      </c>
      <c r="F326">
        <v>24</v>
      </c>
      <c r="G326">
        <v>1</v>
      </c>
      <c r="H326">
        <v>33</v>
      </c>
      <c r="I326">
        <f>Cocina[[#This Row],[Precio Unitario]]*Cocina[[#This Row],[Cantidad Ordenada]]</f>
        <v>24</v>
      </c>
      <c r="J326">
        <f>(Cocina[[#This Row],[Precio Unitario]]-Cocina[[#This Row],[Costo Unitario]])*Cocina[[#This Row],[Cantidad Ordenada]]</f>
        <v>10</v>
      </c>
      <c r="K326" s="4">
        <f>Cocina[[#This Row],[Ganancia neta]]/_xlfn.XLOOKUP(Cocina[[#This Row],[Número de Orden]],Sala[Número de Orden],Sala[Monto total],"fracaso",0,1)</f>
        <v>0.41666666666666669</v>
      </c>
      <c r="L326" t="s">
        <v>608</v>
      </c>
    </row>
    <row r="327" spans="1:12" x14ac:dyDescent="0.25">
      <c r="A327">
        <v>124</v>
      </c>
      <c r="B327">
        <v>16</v>
      </c>
      <c r="C327" t="s">
        <v>146</v>
      </c>
      <c r="D327" t="s">
        <v>632</v>
      </c>
      <c r="E327">
        <v>12</v>
      </c>
      <c r="F327">
        <v>20</v>
      </c>
      <c r="G327">
        <v>2</v>
      </c>
      <c r="H327">
        <v>43</v>
      </c>
      <c r="I327">
        <f>Cocina[[#This Row],[Precio Unitario]]*Cocina[[#This Row],[Cantidad Ordenada]]</f>
        <v>40</v>
      </c>
      <c r="J327">
        <f>(Cocina[[#This Row],[Precio Unitario]]-Cocina[[#This Row],[Costo Unitario]])*Cocina[[#This Row],[Cantidad Ordenada]]</f>
        <v>16</v>
      </c>
      <c r="K327" s="4">
        <f>Cocina[[#This Row],[Ganancia neta]]/_xlfn.XLOOKUP(Cocina[[#This Row],[Número de Orden]],Sala[Número de Orden],Sala[Monto total],"fracaso",0,1)</f>
        <v>7.2072072072072071E-2</v>
      </c>
      <c r="L327" t="s">
        <v>607</v>
      </c>
    </row>
    <row r="328" spans="1:12" x14ac:dyDescent="0.25">
      <c r="A328">
        <v>124</v>
      </c>
      <c r="B328">
        <v>16</v>
      </c>
      <c r="C328" t="s">
        <v>122</v>
      </c>
      <c r="D328" t="s">
        <v>637</v>
      </c>
      <c r="E328">
        <v>15</v>
      </c>
      <c r="F328">
        <v>25</v>
      </c>
      <c r="G328">
        <v>1</v>
      </c>
      <c r="H328">
        <v>27</v>
      </c>
      <c r="I328">
        <f>Cocina[[#This Row],[Precio Unitario]]*Cocina[[#This Row],[Cantidad Ordenada]]</f>
        <v>25</v>
      </c>
      <c r="J328">
        <f>(Cocina[[#This Row],[Precio Unitario]]-Cocina[[#This Row],[Costo Unitario]])*Cocina[[#This Row],[Cantidad Ordenada]]</f>
        <v>10</v>
      </c>
      <c r="K328" s="4">
        <f>Cocina[[#This Row],[Ganancia neta]]/_xlfn.XLOOKUP(Cocina[[#This Row],[Número de Orden]],Sala[Número de Orden],Sala[Monto total],"fracaso",0,1)</f>
        <v>4.5045045045045043E-2</v>
      </c>
      <c r="L328" t="s">
        <v>608</v>
      </c>
    </row>
    <row r="329" spans="1:12" x14ac:dyDescent="0.25">
      <c r="A329">
        <v>124</v>
      </c>
      <c r="B329">
        <v>16</v>
      </c>
      <c r="C329" t="s">
        <v>261</v>
      </c>
      <c r="D329" t="s">
        <v>625</v>
      </c>
      <c r="E329">
        <v>20</v>
      </c>
      <c r="F329">
        <v>33</v>
      </c>
      <c r="G329">
        <v>3</v>
      </c>
      <c r="H329">
        <v>9</v>
      </c>
      <c r="I329">
        <f>Cocina[[#This Row],[Precio Unitario]]*Cocina[[#This Row],[Cantidad Ordenada]]</f>
        <v>99</v>
      </c>
      <c r="J329">
        <f>(Cocina[[#This Row],[Precio Unitario]]-Cocina[[#This Row],[Costo Unitario]])*Cocina[[#This Row],[Cantidad Ordenada]]</f>
        <v>39</v>
      </c>
      <c r="K329" s="4">
        <f>Cocina[[#This Row],[Ganancia neta]]/_xlfn.XLOOKUP(Cocina[[#This Row],[Número de Orden]],Sala[Número de Orden],Sala[Monto total],"fracaso",0,1)</f>
        <v>0.17567567567567569</v>
      </c>
      <c r="L329" t="s">
        <v>608</v>
      </c>
    </row>
    <row r="330" spans="1:12" x14ac:dyDescent="0.25">
      <c r="A330">
        <v>124</v>
      </c>
      <c r="B330">
        <v>16</v>
      </c>
      <c r="C330" t="s">
        <v>38</v>
      </c>
      <c r="D330" t="s">
        <v>624</v>
      </c>
      <c r="E330">
        <v>17</v>
      </c>
      <c r="F330">
        <v>29</v>
      </c>
      <c r="G330">
        <v>2</v>
      </c>
      <c r="H330">
        <v>59</v>
      </c>
      <c r="I330">
        <f>Cocina[[#This Row],[Precio Unitario]]*Cocina[[#This Row],[Cantidad Ordenada]]</f>
        <v>58</v>
      </c>
      <c r="J330">
        <f>(Cocina[[#This Row],[Precio Unitario]]-Cocina[[#This Row],[Costo Unitario]])*Cocina[[#This Row],[Cantidad Ordenada]]</f>
        <v>24</v>
      </c>
      <c r="K330" s="4">
        <f>Cocina[[#This Row],[Ganancia neta]]/_xlfn.XLOOKUP(Cocina[[#This Row],[Número de Orden]],Sala[Número de Orden],Sala[Monto total],"fracaso",0,1)</f>
        <v>0.10810810810810811</v>
      </c>
      <c r="L330" t="s">
        <v>608</v>
      </c>
    </row>
    <row r="331" spans="1:12" x14ac:dyDescent="0.25">
      <c r="A331">
        <v>125</v>
      </c>
      <c r="B331">
        <v>14</v>
      </c>
      <c r="C331" t="s">
        <v>42</v>
      </c>
      <c r="D331" t="s">
        <v>626</v>
      </c>
      <c r="E331">
        <v>16</v>
      </c>
      <c r="F331">
        <v>28</v>
      </c>
      <c r="G331">
        <v>2</v>
      </c>
      <c r="H331">
        <v>38</v>
      </c>
      <c r="I331">
        <f>Cocina[[#This Row],[Precio Unitario]]*Cocina[[#This Row],[Cantidad Ordenada]]</f>
        <v>56</v>
      </c>
      <c r="J331">
        <f>(Cocina[[#This Row],[Precio Unitario]]-Cocina[[#This Row],[Costo Unitario]])*Cocina[[#This Row],[Cantidad Ordenada]]</f>
        <v>24</v>
      </c>
      <c r="K331" s="4">
        <f>Cocina[[#This Row],[Ganancia neta]]/_xlfn.XLOOKUP(Cocina[[#This Row],[Número de Orden]],Sala[Número de Orden],Sala[Monto total],"fracaso",0,1)</f>
        <v>0.13043478260869565</v>
      </c>
      <c r="L331" t="s">
        <v>608</v>
      </c>
    </row>
    <row r="332" spans="1:12" x14ac:dyDescent="0.25">
      <c r="A332">
        <v>125</v>
      </c>
      <c r="B332">
        <v>14</v>
      </c>
      <c r="C332" t="s">
        <v>55</v>
      </c>
      <c r="D332" t="s">
        <v>631</v>
      </c>
      <c r="E332">
        <v>20</v>
      </c>
      <c r="F332">
        <v>34</v>
      </c>
      <c r="G332">
        <v>2</v>
      </c>
      <c r="H332">
        <v>15</v>
      </c>
      <c r="I332">
        <f>Cocina[[#This Row],[Precio Unitario]]*Cocina[[#This Row],[Cantidad Ordenada]]</f>
        <v>68</v>
      </c>
      <c r="J332">
        <f>(Cocina[[#This Row],[Precio Unitario]]-Cocina[[#This Row],[Costo Unitario]])*Cocina[[#This Row],[Cantidad Ordenada]]</f>
        <v>28</v>
      </c>
      <c r="K332" s="4">
        <f>Cocina[[#This Row],[Ganancia neta]]/_xlfn.XLOOKUP(Cocina[[#This Row],[Número de Orden]],Sala[Número de Orden],Sala[Monto total],"fracaso",0,1)</f>
        <v>0.15217391304347827</v>
      </c>
      <c r="L332" t="s">
        <v>607</v>
      </c>
    </row>
    <row r="333" spans="1:12" x14ac:dyDescent="0.25">
      <c r="A333">
        <v>125</v>
      </c>
      <c r="B333">
        <v>14</v>
      </c>
      <c r="C333" t="s">
        <v>146</v>
      </c>
      <c r="D333" t="s">
        <v>632</v>
      </c>
      <c r="E333">
        <v>12</v>
      </c>
      <c r="F333">
        <v>20</v>
      </c>
      <c r="G333">
        <v>3</v>
      </c>
      <c r="H333">
        <v>31</v>
      </c>
      <c r="I333">
        <f>Cocina[[#This Row],[Precio Unitario]]*Cocina[[#This Row],[Cantidad Ordenada]]</f>
        <v>60</v>
      </c>
      <c r="J333">
        <f>(Cocina[[#This Row],[Precio Unitario]]-Cocina[[#This Row],[Costo Unitario]])*Cocina[[#This Row],[Cantidad Ordenada]]</f>
        <v>24</v>
      </c>
      <c r="K333" s="4">
        <f>Cocina[[#This Row],[Ganancia neta]]/_xlfn.XLOOKUP(Cocina[[#This Row],[Número de Orden]],Sala[Número de Orden],Sala[Monto total],"fracaso",0,1)</f>
        <v>0.13043478260869565</v>
      </c>
      <c r="L333" t="s">
        <v>607</v>
      </c>
    </row>
    <row r="334" spans="1:12" x14ac:dyDescent="0.25">
      <c r="A334">
        <v>126</v>
      </c>
      <c r="B334">
        <v>18</v>
      </c>
      <c r="C334" t="s">
        <v>42</v>
      </c>
      <c r="D334" t="s">
        <v>626</v>
      </c>
      <c r="E334">
        <v>16</v>
      </c>
      <c r="F334">
        <v>28</v>
      </c>
      <c r="G334">
        <v>1</v>
      </c>
      <c r="H334">
        <v>19</v>
      </c>
      <c r="I334">
        <f>Cocina[[#This Row],[Precio Unitario]]*Cocina[[#This Row],[Cantidad Ordenada]]</f>
        <v>28</v>
      </c>
      <c r="J334">
        <f>(Cocina[[#This Row],[Precio Unitario]]-Cocina[[#This Row],[Costo Unitario]])*Cocina[[#This Row],[Cantidad Ordenada]]</f>
        <v>12</v>
      </c>
      <c r="K334" s="4">
        <f>Cocina[[#This Row],[Ganancia neta]]/_xlfn.XLOOKUP(Cocina[[#This Row],[Número de Orden]],Sala[Número de Orden],Sala[Monto total],"fracaso",0,1)</f>
        <v>7.2727272727272724E-2</v>
      </c>
      <c r="L334" t="s">
        <v>608</v>
      </c>
    </row>
    <row r="335" spans="1:12" x14ac:dyDescent="0.25">
      <c r="A335">
        <v>126</v>
      </c>
      <c r="B335">
        <v>18</v>
      </c>
      <c r="C335" t="s">
        <v>26</v>
      </c>
      <c r="D335" t="s">
        <v>628</v>
      </c>
      <c r="E335">
        <v>21</v>
      </c>
      <c r="F335">
        <v>35</v>
      </c>
      <c r="G335">
        <v>1</v>
      </c>
      <c r="H335">
        <v>40</v>
      </c>
      <c r="I335">
        <f>Cocina[[#This Row],[Precio Unitario]]*Cocina[[#This Row],[Cantidad Ordenada]]</f>
        <v>35</v>
      </c>
      <c r="J335">
        <f>(Cocina[[#This Row],[Precio Unitario]]-Cocina[[#This Row],[Costo Unitario]])*Cocina[[#This Row],[Cantidad Ordenada]]</f>
        <v>14</v>
      </c>
      <c r="K335" s="4">
        <f>Cocina[[#This Row],[Ganancia neta]]/_xlfn.XLOOKUP(Cocina[[#This Row],[Número de Orden]],Sala[Número de Orden],Sala[Monto total],"fracaso",0,1)</f>
        <v>8.4848484848484854E-2</v>
      </c>
      <c r="L335" t="s">
        <v>608</v>
      </c>
    </row>
    <row r="336" spans="1:12" x14ac:dyDescent="0.25">
      <c r="A336">
        <v>126</v>
      </c>
      <c r="B336">
        <v>18</v>
      </c>
      <c r="C336" t="s">
        <v>158</v>
      </c>
      <c r="D336" t="s">
        <v>617</v>
      </c>
      <c r="E336">
        <v>14</v>
      </c>
      <c r="F336">
        <v>24</v>
      </c>
      <c r="G336">
        <v>3</v>
      </c>
      <c r="H336">
        <v>27</v>
      </c>
      <c r="I336">
        <f>Cocina[[#This Row],[Precio Unitario]]*Cocina[[#This Row],[Cantidad Ordenada]]</f>
        <v>72</v>
      </c>
      <c r="J336">
        <f>(Cocina[[#This Row],[Precio Unitario]]-Cocina[[#This Row],[Costo Unitario]])*Cocina[[#This Row],[Cantidad Ordenada]]</f>
        <v>30</v>
      </c>
      <c r="K336" s="4">
        <f>Cocina[[#This Row],[Ganancia neta]]/_xlfn.XLOOKUP(Cocina[[#This Row],[Número de Orden]],Sala[Número de Orden],Sala[Monto total],"fracaso",0,1)</f>
        <v>0.18181818181818182</v>
      </c>
      <c r="L336" t="s">
        <v>607</v>
      </c>
    </row>
    <row r="337" spans="1:12" x14ac:dyDescent="0.25">
      <c r="A337">
        <v>126</v>
      </c>
      <c r="B337">
        <v>18</v>
      </c>
      <c r="C337" t="s">
        <v>68</v>
      </c>
      <c r="D337" t="s">
        <v>619</v>
      </c>
      <c r="E337">
        <v>18</v>
      </c>
      <c r="F337">
        <v>30</v>
      </c>
      <c r="G337">
        <v>1</v>
      </c>
      <c r="H337">
        <v>53</v>
      </c>
      <c r="I337">
        <f>Cocina[[#This Row],[Precio Unitario]]*Cocina[[#This Row],[Cantidad Ordenada]]</f>
        <v>30</v>
      </c>
      <c r="J337">
        <f>(Cocina[[#This Row],[Precio Unitario]]-Cocina[[#This Row],[Costo Unitario]])*Cocina[[#This Row],[Cantidad Ordenada]]</f>
        <v>12</v>
      </c>
      <c r="K337" s="4">
        <f>Cocina[[#This Row],[Ganancia neta]]/_xlfn.XLOOKUP(Cocina[[#This Row],[Número de Orden]],Sala[Número de Orden],Sala[Monto total],"fracaso",0,1)</f>
        <v>7.2727272727272724E-2</v>
      </c>
      <c r="L337" t="s">
        <v>607</v>
      </c>
    </row>
    <row r="338" spans="1:12" x14ac:dyDescent="0.25">
      <c r="A338">
        <v>127</v>
      </c>
      <c r="B338">
        <v>6</v>
      </c>
      <c r="C338" t="s">
        <v>73</v>
      </c>
      <c r="D338" t="s">
        <v>623</v>
      </c>
      <c r="E338">
        <v>22</v>
      </c>
      <c r="F338">
        <v>36</v>
      </c>
      <c r="G338">
        <v>2</v>
      </c>
      <c r="H338">
        <v>30</v>
      </c>
      <c r="I338">
        <f>Cocina[[#This Row],[Precio Unitario]]*Cocina[[#This Row],[Cantidad Ordenada]]</f>
        <v>72</v>
      </c>
      <c r="J338">
        <f>(Cocina[[#This Row],[Precio Unitario]]-Cocina[[#This Row],[Costo Unitario]])*Cocina[[#This Row],[Cantidad Ordenada]]</f>
        <v>28</v>
      </c>
      <c r="K338" s="4">
        <f>Cocina[[#This Row],[Ganancia neta]]/_xlfn.XLOOKUP(Cocina[[#This Row],[Número de Orden]],Sala[Número de Orden],Sala[Monto total],"fracaso",0,1)</f>
        <v>0.3888888888888889</v>
      </c>
      <c r="L338" t="s">
        <v>608</v>
      </c>
    </row>
    <row r="339" spans="1:12" x14ac:dyDescent="0.25">
      <c r="A339">
        <v>128</v>
      </c>
      <c r="B339">
        <v>2</v>
      </c>
      <c r="C339" t="s">
        <v>122</v>
      </c>
      <c r="D339" t="s">
        <v>637</v>
      </c>
      <c r="E339">
        <v>15</v>
      </c>
      <c r="F339">
        <v>25</v>
      </c>
      <c r="G339">
        <v>3</v>
      </c>
      <c r="H339">
        <v>53</v>
      </c>
      <c r="I339">
        <f>Cocina[[#This Row],[Precio Unitario]]*Cocina[[#This Row],[Cantidad Ordenada]]</f>
        <v>75</v>
      </c>
      <c r="J339">
        <f>(Cocina[[#This Row],[Precio Unitario]]-Cocina[[#This Row],[Costo Unitario]])*Cocina[[#This Row],[Cantidad Ordenada]]</f>
        <v>30</v>
      </c>
      <c r="K339" s="4">
        <f>Cocina[[#This Row],[Ganancia neta]]/_xlfn.XLOOKUP(Cocina[[#This Row],[Número de Orden]],Sala[Número de Orden],Sala[Monto total],"fracaso",0,1)</f>
        <v>0.12552301255230125</v>
      </c>
      <c r="L339" t="s">
        <v>607</v>
      </c>
    </row>
    <row r="340" spans="1:12" x14ac:dyDescent="0.25">
      <c r="A340">
        <v>128</v>
      </c>
      <c r="B340">
        <v>2</v>
      </c>
      <c r="C340" t="s">
        <v>79</v>
      </c>
      <c r="D340" t="s">
        <v>635</v>
      </c>
      <c r="E340">
        <v>10</v>
      </c>
      <c r="F340">
        <v>18</v>
      </c>
      <c r="G340">
        <v>3</v>
      </c>
      <c r="H340">
        <v>50</v>
      </c>
      <c r="I340">
        <f>Cocina[[#This Row],[Precio Unitario]]*Cocina[[#This Row],[Cantidad Ordenada]]</f>
        <v>54</v>
      </c>
      <c r="J340">
        <f>(Cocina[[#This Row],[Precio Unitario]]-Cocina[[#This Row],[Costo Unitario]])*Cocina[[#This Row],[Cantidad Ordenada]]</f>
        <v>24</v>
      </c>
      <c r="K340" s="4">
        <f>Cocina[[#This Row],[Ganancia neta]]/_xlfn.XLOOKUP(Cocina[[#This Row],[Número de Orden]],Sala[Número de Orden],Sala[Monto total],"fracaso",0,1)</f>
        <v>0.100418410041841</v>
      </c>
      <c r="L340" t="s">
        <v>608</v>
      </c>
    </row>
    <row r="341" spans="1:12" x14ac:dyDescent="0.25">
      <c r="A341">
        <v>128</v>
      </c>
      <c r="B341">
        <v>2</v>
      </c>
      <c r="C341" t="s">
        <v>158</v>
      </c>
      <c r="D341" t="s">
        <v>617</v>
      </c>
      <c r="E341">
        <v>14</v>
      </c>
      <c r="F341">
        <v>24</v>
      </c>
      <c r="G341">
        <v>2</v>
      </c>
      <c r="H341">
        <v>35</v>
      </c>
      <c r="I341">
        <f>Cocina[[#This Row],[Precio Unitario]]*Cocina[[#This Row],[Cantidad Ordenada]]</f>
        <v>48</v>
      </c>
      <c r="J341">
        <f>(Cocina[[#This Row],[Precio Unitario]]-Cocina[[#This Row],[Costo Unitario]])*Cocina[[#This Row],[Cantidad Ordenada]]</f>
        <v>20</v>
      </c>
      <c r="K341" s="4">
        <f>Cocina[[#This Row],[Ganancia neta]]/_xlfn.XLOOKUP(Cocina[[#This Row],[Número de Orden]],Sala[Número de Orden],Sala[Monto total],"fracaso",0,1)</f>
        <v>8.3682008368200833E-2</v>
      </c>
      <c r="L341" t="s">
        <v>608</v>
      </c>
    </row>
    <row r="342" spans="1:12" x14ac:dyDescent="0.25">
      <c r="A342">
        <v>128</v>
      </c>
      <c r="B342">
        <v>2</v>
      </c>
      <c r="C342" t="s">
        <v>116</v>
      </c>
      <c r="D342" t="s">
        <v>620</v>
      </c>
      <c r="E342">
        <v>19</v>
      </c>
      <c r="F342">
        <v>31</v>
      </c>
      <c r="G342">
        <v>2</v>
      </c>
      <c r="H342">
        <v>34</v>
      </c>
      <c r="I342">
        <f>Cocina[[#This Row],[Precio Unitario]]*Cocina[[#This Row],[Cantidad Ordenada]]</f>
        <v>62</v>
      </c>
      <c r="J342">
        <f>(Cocina[[#This Row],[Precio Unitario]]-Cocina[[#This Row],[Costo Unitario]])*Cocina[[#This Row],[Cantidad Ordenada]]</f>
        <v>24</v>
      </c>
      <c r="K342" s="4">
        <f>Cocina[[#This Row],[Ganancia neta]]/_xlfn.XLOOKUP(Cocina[[#This Row],[Número de Orden]],Sala[Número de Orden],Sala[Monto total],"fracaso",0,1)</f>
        <v>0.100418410041841</v>
      </c>
      <c r="L342" t="s">
        <v>608</v>
      </c>
    </row>
    <row r="343" spans="1:12" x14ac:dyDescent="0.25">
      <c r="A343">
        <v>129</v>
      </c>
      <c r="B343">
        <v>16</v>
      </c>
      <c r="C343" t="s">
        <v>112</v>
      </c>
      <c r="D343" t="s">
        <v>627</v>
      </c>
      <c r="E343">
        <v>11</v>
      </c>
      <c r="F343">
        <v>19</v>
      </c>
      <c r="G343">
        <v>3</v>
      </c>
      <c r="H343">
        <v>6</v>
      </c>
      <c r="I343">
        <f>Cocina[[#This Row],[Precio Unitario]]*Cocina[[#This Row],[Cantidad Ordenada]]</f>
        <v>57</v>
      </c>
      <c r="J343">
        <f>(Cocina[[#This Row],[Precio Unitario]]-Cocina[[#This Row],[Costo Unitario]])*Cocina[[#This Row],[Cantidad Ordenada]]</f>
        <v>24</v>
      </c>
      <c r="K343" s="4">
        <f>Cocina[[#This Row],[Ganancia neta]]/_xlfn.XLOOKUP(Cocina[[#This Row],[Número de Orden]],Sala[Número de Orden],Sala[Monto total],"fracaso",0,1)</f>
        <v>0.22641509433962265</v>
      </c>
      <c r="L343" t="s">
        <v>608</v>
      </c>
    </row>
    <row r="344" spans="1:12" x14ac:dyDescent="0.25">
      <c r="A344">
        <v>129</v>
      </c>
      <c r="B344">
        <v>16</v>
      </c>
      <c r="C344" t="s">
        <v>146</v>
      </c>
      <c r="D344" t="s">
        <v>632</v>
      </c>
      <c r="E344">
        <v>12</v>
      </c>
      <c r="F344">
        <v>20</v>
      </c>
      <c r="G344">
        <v>1</v>
      </c>
      <c r="H344">
        <v>24</v>
      </c>
      <c r="I344">
        <f>Cocina[[#This Row],[Precio Unitario]]*Cocina[[#This Row],[Cantidad Ordenada]]</f>
        <v>20</v>
      </c>
      <c r="J344">
        <f>(Cocina[[#This Row],[Precio Unitario]]-Cocina[[#This Row],[Costo Unitario]])*Cocina[[#This Row],[Cantidad Ordenada]]</f>
        <v>8</v>
      </c>
      <c r="K344" s="4">
        <f>Cocina[[#This Row],[Ganancia neta]]/_xlfn.XLOOKUP(Cocina[[#This Row],[Número de Orden]],Sala[Número de Orden],Sala[Monto total],"fracaso",0,1)</f>
        <v>7.5471698113207544E-2</v>
      </c>
      <c r="L344" t="s">
        <v>607</v>
      </c>
    </row>
    <row r="345" spans="1:12" x14ac:dyDescent="0.25">
      <c r="A345">
        <v>129</v>
      </c>
      <c r="B345">
        <v>16</v>
      </c>
      <c r="C345" t="s">
        <v>38</v>
      </c>
      <c r="D345" t="s">
        <v>624</v>
      </c>
      <c r="E345">
        <v>17</v>
      </c>
      <c r="F345">
        <v>29</v>
      </c>
      <c r="G345">
        <v>1</v>
      </c>
      <c r="H345">
        <v>50</v>
      </c>
      <c r="I345">
        <f>Cocina[[#This Row],[Precio Unitario]]*Cocina[[#This Row],[Cantidad Ordenada]]</f>
        <v>29</v>
      </c>
      <c r="J345">
        <f>(Cocina[[#This Row],[Precio Unitario]]-Cocina[[#This Row],[Costo Unitario]])*Cocina[[#This Row],[Cantidad Ordenada]]</f>
        <v>12</v>
      </c>
      <c r="K345" s="4">
        <f>Cocina[[#This Row],[Ganancia neta]]/_xlfn.XLOOKUP(Cocina[[#This Row],[Número de Orden]],Sala[Número de Orden],Sala[Monto total],"fracaso",0,1)</f>
        <v>0.11320754716981132</v>
      </c>
      <c r="L345" t="s">
        <v>607</v>
      </c>
    </row>
    <row r="346" spans="1:12" x14ac:dyDescent="0.25">
      <c r="A346">
        <v>130</v>
      </c>
      <c r="B346">
        <v>10</v>
      </c>
      <c r="C346" t="s">
        <v>26</v>
      </c>
      <c r="D346" t="s">
        <v>628</v>
      </c>
      <c r="E346">
        <v>21</v>
      </c>
      <c r="F346">
        <v>35</v>
      </c>
      <c r="G346">
        <v>1</v>
      </c>
      <c r="H346">
        <v>25</v>
      </c>
      <c r="I346">
        <f>Cocina[[#This Row],[Precio Unitario]]*Cocina[[#This Row],[Cantidad Ordenada]]</f>
        <v>35</v>
      </c>
      <c r="J346">
        <f>(Cocina[[#This Row],[Precio Unitario]]-Cocina[[#This Row],[Costo Unitario]])*Cocina[[#This Row],[Cantidad Ordenada]]</f>
        <v>14</v>
      </c>
      <c r="K346" s="4">
        <f>Cocina[[#This Row],[Ganancia neta]]/_xlfn.XLOOKUP(Cocina[[#This Row],[Número de Orden]],Sala[Número de Orden],Sala[Monto total],"fracaso",0,1)</f>
        <v>0.4</v>
      </c>
      <c r="L346" t="s">
        <v>608</v>
      </c>
    </row>
    <row r="347" spans="1:12" x14ac:dyDescent="0.25">
      <c r="A347">
        <v>131</v>
      </c>
      <c r="B347">
        <v>7</v>
      </c>
      <c r="C347" t="s">
        <v>48</v>
      </c>
      <c r="D347" t="s">
        <v>622</v>
      </c>
      <c r="E347">
        <v>25</v>
      </c>
      <c r="F347">
        <v>40</v>
      </c>
      <c r="G347">
        <v>1</v>
      </c>
      <c r="H347">
        <v>43</v>
      </c>
      <c r="I347">
        <f>Cocina[[#This Row],[Precio Unitario]]*Cocina[[#This Row],[Cantidad Ordenada]]</f>
        <v>40</v>
      </c>
      <c r="J347">
        <f>(Cocina[[#This Row],[Precio Unitario]]-Cocina[[#This Row],[Costo Unitario]])*Cocina[[#This Row],[Cantidad Ordenada]]</f>
        <v>15</v>
      </c>
      <c r="K347" s="4">
        <f>Cocina[[#This Row],[Ganancia neta]]/_xlfn.XLOOKUP(Cocina[[#This Row],[Número de Orden]],Sala[Número de Orden],Sala[Monto total],"fracaso",0,1)</f>
        <v>9.5541401273885357E-2</v>
      </c>
      <c r="L347" t="s">
        <v>608</v>
      </c>
    </row>
    <row r="348" spans="1:12" x14ac:dyDescent="0.25">
      <c r="A348">
        <v>131</v>
      </c>
      <c r="B348">
        <v>7</v>
      </c>
      <c r="C348" t="s">
        <v>79</v>
      </c>
      <c r="D348" t="s">
        <v>635</v>
      </c>
      <c r="E348">
        <v>10</v>
      </c>
      <c r="F348">
        <v>18</v>
      </c>
      <c r="G348">
        <v>3</v>
      </c>
      <c r="H348">
        <v>20</v>
      </c>
      <c r="I348">
        <f>Cocina[[#This Row],[Precio Unitario]]*Cocina[[#This Row],[Cantidad Ordenada]]</f>
        <v>54</v>
      </c>
      <c r="J348">
        <f>(Cocina[[#This Row],[Precio Unitario]]-Cocina[[#This Row],[Costo Unitario]])*Cocina[[#This Row],[Cantidad Ordenada]]</f>
        <v>24</v>
      </c>
      <c r="K348" s="4">
        <f>Cocina[[#This Row],[Ganancia neta]]/_xlfn.XLOOKUP(Cocina[[#This Row],[Número de Orden]],Sala[Número de Orden],Sala[Monto total],"fracaso",0,1)</f>
        <v>0.15286624203821655</v>
      </c>
      <c r="L348" t="s">
        <v>607</v>
      </c>
    </row>
    <row r="349" spans="1:12" x14ac:dyDescent="0.25">
      <c r="A349">
        <v>131</v>
      </c>
      <c r="B349">
        <v>7</v>
      </c>
      <c r="C349" t="s">
        <v>70</v>
      </c>
      <c r="D349" t="s">
        <v>634</v>
      </c>
      <c r="E349">
        <v>13</v>
      </c>
      <c r="F349">
        <v>21</v>
      </c>
      <c r="G349">
        <v>3</v>
      </c>
      <c r="H349">
        <v>57</v>
      </c>
      <c r="I349">
        <f>Cocina[[#This Row],[Precio Unitario]]*Cocina[[#This Row],[Cantidad Ordenada]]</f>
        <v>63</v>
      </c>
      <c r="J349">
        <f>(Cocina[[#This Row],[Precio Unitario]]-Cocina[[#This Row],[Costo Unitario]])*Cocina[[#This Row],[Cantidad Ordenada]]</f>
        <v>24</v>
      </c>
      <c r="K349" s="4">
        <f>Cocina[[#This Row],[Ganancia neta]]/_xlfn.XLOOKUP(Cocina[[#This Row],[Número de Orden]],Sala[Número de Orden],Sala[Monto total],"fracaso",0,1)</f>
        <v>0.15286624203821655</v>
      </c>
      <c r="L349" t="s">
        <v>608</v>
      </c>
    </row>
    <row r="350" spans="1:12" x14ac:dyDescent="0.25">
      <c r="A350">
        <v>132</v>
      </c>
      <c r="B350">
        <v>9</v>
      </c>
      <c r="C350" t="s">
        <v>200</v>
      </c>
      <c r="D350" t="s">
        <v>633</v>
      </c>
      <c r="E350">
        <v>14</v>
      </c>
      <c r="F350">
        <v>23</v>
      </c>
      <c r="G350">
        <v>1</v>
      </c>
      <c r="H350">
        <v>6</v>
      </c>
      <c r="I350">
        <f>Cocina[[#This Row],[Precio Unitario]]*Cocina[[#This Row],[Cantidad Ordenada]]</f>
        <v>23</v>
      </c>
      <c r="J350">
        <f>(Cocina[[#This Row],[Precio Unitario]]-Cocina[[#This Row],[Costo Unitario]])*Cocina[[#This Row],[Cantidad Ordenada]]</f>
        <v>9</v>
      </c>
      <c r="K350" s="4">
        <f>Cocina[[#This Row],[Ganancia neta]]/_xlfn.XLOOKUP(Cocina[[#This Row],[Número de Orden]],Sala[Número de Orden],Sala[Monto total],"fracaso",0,1)</f>
        <v>4.3689320388349516E-2</v>
      </c>
      <c r="L350" t="s">
        <v>608</v>
      </c>
    </row>
    <row r="351" spans="1:12" x14ac:dyDescent="0.25">
      <c r="A351">
        <v>132</v>
      </c>
      <c r="B351">
        <v>9</v>
      </c>
      <c r="C351" t="s">
        <v>73</v>
      </c>
      <c r="D351" t="s">
        <v>623</v>
      </c>
      <c r="E351">
        <v>22</v>
      </c>
      <c r="F351">
        <v>36</v>
      </c>
      <c r="G351">
        <v>1</v>
      </c>
      <c r="H351">
        <v>18</v>
      </c>
      <c r="I351">
        <f>Cocina[[#This Row],[Precio Unitario]]*Cocina[[#This Row],[Cantidad Ordenada]]</f>
        <v>36</v>
      </c>
      <c r="J351">
        <f>(Cocina[[#This Row],[Precio Unitario]]-Cocina[[#This Row],[Costo Unitario]])*Cocina[[#This Row],[Cantidad Ordenada]]</f>
        <v>14</v>
      </c>
      <c r="K351" s="4">
        <f>Cocina[[#This Row],[Ganancia neta]]/_xlfn.XLOOKUP(Cocina[[#This Row],[Número de Orden]],Sala[Número de Orden],Sala[Monto total],"fracaso",0,1)</f>
        <v>6.7961165048543687E-2</v>
      </c>
      <c r="L351" t="s">
        <v>607</v>
      </c>
    </row>
    <row r="352" spans="1:12" x14ac:dyDescent="0.25">
      <c r="A352">
        <v>132</v>
      </c>
      <c r="B352">
        <v>9</v>
      </c>
      <c r="C352" t="s">
        <v>70</v>
      </c>
      <c r="D352" t="s">
        <v>634</v>
      </c>
      <c r="E352">
        <v>13</v>
      </c>
      <c r="F352">
        <v>21</v>
      </c>
      <c r="G352">
        <v>2</v>
      </c>
      <c r="H352">
        <v>53</v>
      </c>
      <c r="I352">
        <f>Cocina[[#This Row],[Precio Unitario]]*Cocina[[#This Row],[Cantidad Ordenada]]</f>
        <v>42</v>
      </c>
      <c r="J352">
        <f>(Cocina[[#This Row],[Precio Unitario]]-Cocina[[#This Row],[Costo Unitario]])*Cocina[[#This Row],[Cantidad Ordenada]]</f>
        <v>16</v>
      </c>
      <c r="K352" s="4">
        <f>Cocina[[#This Row],[Ganancia neta]]/_xlfn.XLOOKUP(Cocina[[#This Row],[Número de Orden]],Sala[Número de Orden],Sala[Monto total],"fracaso",0,1)</f>
        <v>7.7669902912621352E-2</v>
      </c>
      <c r="L352" t="s">
        <v>607</v>
      </c>
    </row>
    <row r="353" spans="1:12" x14ac:dyDescent="0.25">
      <c r="A353">
        <v>132</v>
      </c>
      <c r="B353">
        <v>9</v>
      </c>
      <c r="C353" t="s">
        <v>26</v>
      </c>
      <c r="D353" t="s">
        <v>628</v>
      </c>
      <c r="E353">
        <v>21</v>
      </c>
      <c r="F353">
        <v>35</v>
      </c>
      <c r="G353">
        <v>3</v>
      </c>
      <c r="H353">
        <v>25</v>
      </c>
      <c r="I353">
        <f>Cocina[[#This Row],[Precio Unitario]]*Cocina[[#This Row],[Cantidad Ordenada]]</f>
        <v>105</v>
      </c>
      <c r="J353">
        <f>(Cocina[[#This Row],[Precio Unitario]]-Cocina[[#This Row],[Costo Unitario]])*Cocina[[#This Row],[Cantidad Ordenada]]</f>
        <v>42</v>
      </c>
      <c r="K353" s="4">
        <f>Cocina[[#This Row],[Ganancia neta]]/_xlfn.XLOOKUP(Cocina[[#This Row],[Número de Orden]],Sala[Número de Orden],Sala[Monto total],"fracaso",0,1)</f>
        <v>0.20388349514563106</v>
      </c>
      <c r="L353" t="s">
        <v>608</v>
      </c>
    </row>
    <row r="354" spans="1:12" x14ac:dyDescent="0.25">
      <c r="A354">
        <v>133</v>
      </c>
      <c r="B354">
        <v>20</v>
      </c>
      <c r="C354" t="s">
        <v>247</v>
      </c>
      <c r="D354" t="s">
        <v>629</v>
      </c>
      <c r="E354">
        <v>19</v>
      </c>
      <c r="F354">
        <v>32</v>
      </c>
      <c r="G354">
        <v>1</v>
      </c>
      <c r="H354">
        <v>5</v>
      </c>
      <c r="I354">
        <f>Cocina[[#This Row],[Precio Unitario]]*Cocina[[#This Row],[Cantidad Ordenada]]</f>
        <v>32</v>
      </c>
      <c r="J354">
        <f>(Cocina[[#This Row],[Precio Unitario]]-Cocina[[#This Row],[Costo Unitario]])*Cocina[[#This Row],[Cantidad Ordenada]]</f>
        <v>13</v>
      </c>
      <c r="K354" s="4">
        <f>Cocina[[#This Row],[Ganancia neta]]/_xlfn.XLOOKUP(Cocina[[#This Row],[Número de Orden]],Sala[Número de Orden],Sala[Monto total],"fracaso",0,1)</f>
        <v>7.1428571428571425E-2</v>
      </c>
      <c r="L354" t="s">
        <v>607</v>
      </c>
    </row>
    <row r="355" spans="1:12" x14ac:dyDescent="0.25">
      <c r="A355">
        <v>133</v>
      </c>
      <c r="B355">
        <v>20</v>
      </c>
      <c r="C355" t="s">
        <v>55</v>
      </c>
      <c r="D355" t="s">
        <v>631</v>
      </c>
      <c r="E355">
        <v>20</v>
      </c>
      <c r="F355">
        <v>34</v>
      </c>
      <c r="G355">
        <v>1</v>
      </c>
      <c r="H355">
        <v>45</v>
      </c>
      <c r="I355">
        <f>Cocina[[#This Row],[Precio Unitario]]*Cocina[[#This Row],[Cantidad Ordenada]]</f>
        <v>34</v>
      </c>
      <c r="J355">
        <f>(Cocina[[#This Row],[Precio Unitario]]-Cocina[[#This Row],[Costo Unitario]])*Cocina[[#This Row],[Cantidad Ordenada]]</f>
        <v>14</v>
      </c>
      <c r="K355" s="4">
        <f>Cocina[[#This Row],[Ganancia neta]]/_xlfn.XLOOKUP(Cocina[[#This Row],[Número de Orden]],Sala[Número de Orden],Sala[Monto total],"fracaso",0,1)</f>
        <v>7.6923076923076927E-2</v>
      </c>
      <c r="L355" t="s">
        <v>608</v>
      </c>
    </row>
    <row r="356" spans="1:12" x14ac:dyDescent="0.25">
      <c r="A356">
        <v>133</v>
      </c>
      <c r="B356">
        <v>20</v>
      </c>
      <c r="C356" t="s">
        <v>116</v>
      </c>
      <c r="D356" t="s">
        <v>620</v>
      </c>
      <c r="E356">
        <v>19</v>
      </c>
      <c r="F356">
        <v>31</v>
      </c>
      <c r="G356">
        <v>2</v>
      </c>
      <c r="H356">
        <v>46</v>
      </c>
      <c r="I356">
        <f>Cocina[[#This Row],[Precio Unitario]]*Cocina[[#This Row],[Cantidad Ordenada]]</f>
        <v>62</v>
      </c>
      <c r="J356">
        <f>(Cocina[[#This Row],[Precio Unitario]]-Cocina[[#This Row],[Costo Unitario]])*Cocina[[#This Row],[Cantidad Ordenada]]</f>
        <v>24</v>
      </c>
      <c r="K356" s="4">
        <f>Cocina[[#This Row],[Ganancia neta]]/_xlfn.XLOOKUP(Cocina[[#This Row],[Número de Orden]],Sala[Número de Orden],Sala[Monto total],"fracaso",0,1)</f>
        <v>0.13186813186813187</v>
      </c>
      <c r="L356" t="s">
        <v>607</v>
      </c>
    </row>
    <row r="357" spans="1:12" x14ac:dyDescent="0.25">
      <c r="A357">
        <v>133</v>
      </c>
      <c r="B357">
        <v>20</v>
      </c>
      <c r="C357" t="s">
        <v>79</v>
      </c>
      <c r="D357" t="s">
        <v>635</v>
      </c>
      <c r="E357">
        <v>10</v>
      </c>
      <c r="F357">
        <v>18</v>
      </c>
      <c r="G357">
        <v>3</v>
      </c>
      <c r="H357">
        <v>11</v>
      </c>
      <c r="I357">
        <f>Cocina[[#This Row],[Precio Unitario]]*Cocina[[#This Row],[Cantidad Ordenada]]</f>
        <v>54</v>
      </c>
      <c r="J357">
        <f>(Cocina[[#This Row],[Precio Unitario]]-Cocina[[#This Row],[Costo Unitario]])*Cocina[[#This Row],[Cantidad Ordenada]]</f>
        <v>24</v>
      </c>
      <c r="K357" s="4">
        <f>Cocina[[#This Row],[Ganancia neta]]/_xlfn.XLOOKUP(Cocina[[#This Row],[Número de Orden]],Sala[Número de Orden],Sala[Monto total],"fracaso",0,1)</f>
        <v>0.13186813186813187</v>
      </c>
      <c r="L357" t="s">
        <v>607</v>
      </c>
    </row>
    <row r="358" spans="1:12" x14ac:dyDescent="0.25">
      <c r="A358">
        <v>134</v>
      </c>
      <c r="B358">
        <v>3</v>
      </c>
      <c r="C358" t="s">
        <v>158</v>
      </c>
      <c r="D358" t="s">
        <v>617</v>
      </c>
      <c r="E358">
        <v>14</v>
      </c>
      <c r="F358">
        <v>24</v>
      </c>
      <c r="G358">
        <v>1</v>
      </c>
      <c r="H358">
        <v>19</v>
      </c>
      <c r="I358">
        <f>Cocina[[#This Row],[Precio Unitario]]*Cocina[[#This Row],[Cantidad Ordenada]]</f>
        <v>24</v>
      </c>
      <c r="J358">
        <f>(Cocina[[#This Row],[Precio Unitario]]-Cocina[[#This Row],[Costo Unitario]])*Cocina[[#This Row],[Cantidad Ordenada]]</f>
        <v>10</v>
      </c>
      <c r="K358" s="4">
        <f>Cocina[[#This Row],[Ganancia neta]]/_xlfn.XLOOKUP(Cocina[[#This Row],[Número de Orden]],Sala[Número de Orden],Sala[Monto total],"fracaso",0,1)</f>
        <v>8.3333333333333329E-2</v>
      </c>
      <c r="L358" t="s">
        <v>607</v>
      </c>
    </row>
    <row r="359" spans="1:12" x14ac:dyDescent="0.25">
      <c r="A359">
        <v>134</v>
      </c>
      <c r="B359">
        <v>3</v>
      </c>
      <c r="C359" t="s">
        <v>247</v>
      </c>
      <c r="D359" t="s">
        <v>629</v>
      </c>
      <c r="E359">
        <v>19</v>
      </c>
      <c r="F359">
        <v>32</v>
      </c>
      <c r="G359">
        <v>3</v>
      </c>
      <c r="H359">
        <v>29</v>
      </c>
      <c r="I359">
        <f>Cocina[[#This Row],[Precio Unitario]]*Cocina[[#This Row],[Cantidad Ordenada]]</f>
        <v>96</v>
      </c>
      <c r="J359">
        <f>(Cocina[[#This Row],[Precio Unitario]]-Cocina[[#This Row],[Costo Unitario]])*Cocina[[#This Row],[Cantidad Ordenada]]</f>
        <v>39</v>
      </c>
      <c r="K359" s="4">
        <f>Cocina[[#This Row],[Ganancia neta]]/_xlfn.XLOOKUP(Cocina[[#This Row],[Número de Orden]],Sala[Número de Orden],Sala[Monto total],"fracaso",0,1)</f>
        <v>0.32500000000000001</v>
      </c>
      <c r="L359" t="s">
        <v>607</v>
      </c>
    </row>
    <row r="360" spans="1:12" x14ac:dyDescent="0.25">
      <c r="A360">
        <v>135</v>
      </c>
      <c r="B360">
        <v>11</v>
      </c>
      <c r="C360" t="s">
        <v>116</v>
      </c>
      <c r="D360" t="s">
        <v>620</v>
      </c>
      <c r="E360">
        <v>19</v>
      </c>
      <c r="F360">
        <v>31</v>
      </c>
      <c r="G360">
        <v>3</v>
      </c>
      <c r="H360">
        <v>17</v>
      </c>
      <c r="I360">
        <f>Cocina[[#This Row],[Precio Unitario]]*Cocina[[#This Row],[Cantidad Ordenada]]</f>
        <v>93</v>
      </c>
      <c r="J360">
        <f>(Cocina[[#This Row],[Precio Unitario]]-Cocina[[#This Row],[Costo Unitario]])*Cocina[[#This Row],[Cantidad Ordenada]]</f>
        <v>36</v>
      </c>
      <c r="K360" s="4">
        <f>Cocina[[#This Row],[Ganancia neta]]/_xlfn.XLOOKUP(Cocina[[#This Row],[Número de Orden]],Sala[Número de Orden],Sala[Monto total],"fracaso",0,1)</f>
        <v>0.13846153846153847</v>
      </c>
      <c r="L360" t="s">
        <v>607</v>
      </c>
    </row>
    <row r="361" spans="1:12" x14ac:dyDescent="0.25">
      <c r="A361">
        <v>135</v>
      </c>
      <c r="B361">
        <v>11</v>
      </c>
      <c r="C361" t="s">
        <v>48</v>
      </c>
      <c r="D361" t="s">
        <v>622</v>
      </c>
      <c r="E361">
        <v>25</v>
      </c>
      <c r="F361">
        <v>40</v>
      </c>
      <c r="G361">
        <v>2</v>
      </c>
      <c r="H361">
        <v>42</v>
      </c>
      <c r="I361">
        <f>Cocina[[#This Row],[Precio Unitario]]*Cocina[[#This Row],[Cantidad Ordenada]]</f>
        <v>80</v>
      </c>
      <c r="J361">
        <f>(Cocina[[#This Row],[Precio Unitario]]-Cocina[[#This Row],[Costo Unitario]])*Cocina[[#This Row],[Cantidad Ordenada]]</f>
        <v>30</v>
      </c>
      <c r="K361" s="4">
        <f>Cocina[[#This Row],[Ganancia neta]]/_xlfn.XLOOKUP(Cocina[[#This Row],[Número de Orden]],Sala[Número de Orden],Sala[Monto total],"fracaso",0,1)</f>
        <v>0.11538461538461539</v>
      </c>
      <c r="L361" t="s">
        <v>607</v>
      </c>
    </row>
    <row r="362" spans="1:12" x14ac:dyDescent="0.25">
      <c r="A362">
        <v>135</v>
      </c>
      <c r="B362">
        <v>11</v>
      </c>
      <c r="C362" t="s">
        <v>38</v>
      </c>
      <c r="D362" t="s">
        <v>624</v>
      </c>
      <c r="E362">
        <v>17</v>
      </c>
      <c r="F362">
        <v>29</v>
      </c>
      <c r="G362">
        <v>3</v>
      </c>
      <c r="H362">
        <v>29</v>
      </c>
      <c r="I362">
        <f>Cocina[[#This Row],[Precio Unitario]]*Cocina[[#This Row],[Cantidad Ordenada]]</f>
        <v>87</v>
      </c>
      <c r="J362">
        <f>(Cocina[[#This Row],[Precio Unitario]]-Cocina[[#This Row],[Costo Unitario]])*Cocina[[#This Row],[Cantidad Ordenada]]</f>
        <v>36</v>
      </c>
      <c r="K362" s="4">
        <f>Cocina[[#This Row],[Ganancia neta]]/_xlfn.XLOOKUP(Cocina[[#This Row],[Número de Orden]],Sala[Número de Orden],Sala[Monto total],"fracaso",0,1)</f>
        <v>0.13846153846153847</v>
      </c>
      <c r="L362" t="s">
        <v>608</v>
      </c>
    </row>
    <row r="363" spans="1:12" x14ac:dyDescent="0.25">
      <c r="A363">
        <v>136</v>
      </c>
      <c r="B363">
        <v>6</v>
      </c>
      <c r="C363" t="s">
        <v>48</v>
      </c>
      <c r="D363" t="s">
        <v>622</v>
      </c>
      <c r="E363">
        <v>25</v>
      </c>
      <c r="F363">
        <v>40</v>
      </c>
      <c r="G363">
        <v>2</v>
      </c>
      <c r="H363">
        <v>13</v>
      </c>
      <c r="I363">
        <f>Cocina[[#This Row],[Precio Unitario]]*Cocina[[#This Row],[Cantidad Ordenada]]</f>
        <v>80</v>
      </c>
      <c r="J363">
        <f>(Cocina[[#This Row],[Precio Unitario]]-Cocina[[#This Row],[Costo Unitario]])*Cocina[[#This Row],[Cantidad Ordenada]]</f>
        <v>30</v>
      </c>
      <c r="K363" s="4">
        <f>Cocina[[#This Row],[Ganancia neta]]/_xlfn.XLOOKUP(Cocina[[#This Row],[Número de Orden]],Sala[Número de Orden],Sala[Monto total],"fracaso",0,1)</f>
        <v>0.375</v>
      </c>
      <c r="L363" t="s">
        <v>608</v>
      </c>
    </row>
    <row r="364" spans="1:12" x14ac:dyDescent="0.25">
      <c r="A364">
        <v>137</v>
      </c>
      <c r="B364">
        <v>13</v>
      </c>
      <c r="C364" t="s">
        <v>70</v>
      </c>
      <c r="D364" t="s">
        <v>634</v>
      </c>
      <c r="E364">
        <v>13</v>
      </c>
      <c r="F364">
        <v>21</v>
      </c>
      <c r="G364">
        <v>3</v>
      </c>
      <c r="H364">
        <v>41</v>
      </c>
      <c r="I364">
        <f>Cocina[[#This Row],[Precio Unitario]]*Cocina[[#This Row],[Cantidad Ordenada]]</f>
        <v>63</v>
      </c>
      <c r="J364">
        <f>(Cocina[[#This Row],[Precio Unitario]]-Cocina[[#This Row],[Costo Unitario]])*Cocina[[#This Row],[Cantidad Ordenada]]</f>
        <v>24</v>
      </c>
      <c r="K364" s="4">
        <f>Cocina[[#This Row],[Ganancia neta]]/_xlfn.XLOOKUP(Cocina[[#This Row],[Número de Orden]],Sala[Número de Orden],Sala[Monto total],"fracaso",0,1)</f>
        <v>0.38095238095238093</v>
      </c>
      <c r="L364" t="s">
        <v>608</v>
      </c>
    </row>
    <row r="365" spans="1:12" x14ac:dyDescent="0.25">
      <c r="A365">
        <v>138</v>
      </c>
      <c r="B365">
        <v>6</v>
      </c>
      <c r="C365" t="s">
        <v>116</v>
      </c>
      <c r="D365" t="s">
        <v>620</v>
      </c>
      <c r="E365">
        <v>19</v>
      </c>
      <c r="F365">
        <v>31</v>
      </c>
      <c r="G365">
        <v>2</v>
      </c>
      <c r="H365">
        <v>40</v>
      </c>
      <c r="I365">
        <f>Cocina[[#This Row],[Precio Unitario]]*Cocina[[#This Row],[Cantidad Ordenada]]</f>
        <v>62</v>
      </c>
      <c r="J365">
        <f>(Cocina[[#This Row],[Precio Unitario]]-Cocina[[#This Row],[Costo Unitario]])*Cocina[[#This Row],[Cantidad Ordenada]]</f>
        <v>24</v>
      </c>
      <c r="K365" s="4">
        <f>Cocina[[#This Row],[Ganancia neta]]/_xlfn.XLOOKUP(Cocina[[#This Row],[Número de Orden]],Sala[Número de Orden],Sala[Monto total],"fracaso",0,1)</f>
        <v>0.10084033613445378</v>
      </c>
      <c r="L365" t="s">
        <v>607</v>
      </c>
    </row>
    <row r="366" spans="1:12" x14ac:dyDescent="0.25">
      <c r="A366">
        <v>138</v>
      </c>
      <c r="B366">
        <v>6</v>
      </c>
      <c r="C366" t="s">
        <v>112</v>
      </c>
      <c r="D366" t="s">
        <v>627</v>
      </c>
      <c r="E366">
        <v>11</v>
      </c>
      <c r="F366">
        <v>19</v>
      </c>
      <c r="G366">
        <v>2</v>
      </c>
      <c r="H366">
        <v>6</v>
      </c>
      <c r="I366">
        <f>Cocina[[#This Row],[Precio Unitario]]*Cocina[[#This Row],[Cantidad Ordenada]]</f>
        <v>38</v>
      </c>
      <c r="J366">
        <f>(Cocina[[#This Row],[Precio Unitario]]-Cocina[[#This Row],[Costo Unitario]])*Cocina[[#This Row],[Cantidad Ordenada]]</f>
        <v>16</v>
      </c>
      <c r="K366" s="4">
        <f>Cocina[[#This Row],[Ganancia neta]]/_xlfn.XLOOKUP(Cocina[[#This Row],[Número de Orden]],Sala[Número de Orden],Sala[Monto total],"fracaso",0,1)</f>
        <v>6.7226890756302518E-2</v>
      </c>
      <c r="L366" t="s">
        <v>607</v>
      </c>
    </row>
    <row r="367" spans="1:12" x14ac:dyDescent="0.25">
      <c r="A367">
        <v>138</v>
      </c>
      <c r="B367">
        <v>6</v>
      </c>
      <c r="C367" t="s">
        <v>155</v>
      </c>
      <c r="D367" t="s">
        <v>636</v>
      </c>
      <c r="E367">
        <v>15</v>
      </c>
      <c r="F367">
        <v>26</v>
      </c>
      <c r="G367">
        <v>3</v>
      </c>
      <c r="H367">
        <v>7</v>
      </c>
      <c r="I367">
        <f>Cocina[[#This Row],[Precio Unitario]]*Cocina[[#This Row],[Cantidad Ordenada]]</f>
        <v>78</v>
      </c>
      <c r="J367">
        <f>(Cocina[[#This Row],[Precio Unitario]]-Cocina[[#This Row],[Costo Unitario]])*Cocina[[#This Row],[Cantidad Ordenada]]</f>
        <v>33</v>
      </c>
      <c r="K367" s="4">
        <f>Cocina[[#This Row],[Ganancia neta]]/_xlfn.XLOOKUP(Cocina[[#This Row],[Número de Orden]],Sala[Número de Orden],Sala[Monto total],"fracaso",0,1)</f>
        <v>0.13865546218487396</v>
      </c>
      <c r="L367" t="s">
        <v>608</v>
      </c>
    </row>
    <row r="368" spans="1:12" x14ac:dyDescent="0.25">
      <c r="A368">
        <v>138</v>
      </c>
      <c r="B368">
        <v>6</v>
      </c>
      <c r="C368" t="s">
        <v>68</v>
      </c>
      <c r="D368" t="s">
        <v>619</v>
      </c>
      <c r="E368">
        <v>18</v>
      </c>
      <c r="F368">
        <v>30</v>
      </c>
      <c r="G368">
        <v>2</v>
      </c>
      <c r="H368">
        <v>44</v>
      </c>
      <c r="I368">
        <f>Cocina[[#This Row],[Precio Unitario]]*Cocina[[#This Row],[Cantidad Ordenada]]</f>
        <v>60</v>
      </c>
      <c r="J368">
        <f>(Cocina[[#This Row],[Precio Unitario]]-Cocina[[#This Row],[Costo Unitario]])*Cocina[[#This Row],[Cantidad Ordenada]]</f>
        <v>24</v>
      </c>
      <c r="K368" s="4">
        <f>Cocina[[#This Row],[Ganancia neta]]/_xlfn.XLOOKUP(Cocina[[#This Row],[Número de Orden]],Sala[Número de Orden],Sala[Monto total],"fracaso",0,1)</f>
        <v>0.10084033613445378</v>
      </c>
      <c r="L368" t="s">
        <v>608</v>
      </c>
    </row>
    <row r="369" spans="1:12" x14ac:dyDescent="0.25">
      <c r="A369">
        <v>139</v>
      </c>
      <c r="B369">
        <v>16</v>
      </c>
      <c r="C369" t="s">
        <v>26</v>
      </c>
      <c r="D369" t="s">
        <v>628</v>
      </c>
      <c r="E369">
        <v>21</v>
      </c>
      <c r="F369">
        <v>35</v>
      </c>
      <c r="G369">
        <v>1</v>
      </c>
      <c r="H369">
        <v>26</v>
      </c>
      <c r="I369">
        <f>Cocina[[#This Row],[Precio Unitario]]*Cocina[[#This Row],[Cantidad Ordenada]]</f>
        <v>35</v>
      </c>
      <c r="J369">
        <f>(Cocina[[#This Row],[Precio Unitario]]-Cocina[[#This Row],[Costo Unitario]])*Cocina[[#This Row],[Cantidad Ordenada]]</f>
        <v>14</v>
      </c>
      <c r="K369" s="4">
        <f>Cocina[[#This Row],[Ganancia neta]]/_xlfn.XLOOKUP(Cocina[[#This Row],[Número de Orden]],Sala[Número de Orden],Sala[Monto total],"fracaso",0,1)</f>
        <v>0.4</v>
      </c>
      <c r="L369" t="s">
        <v>607</v>
      </c>
    </row>
    <row r="370" spans="1:12" x14ac:dyDescent="0.25">
      <c r="A370">
        <v>140</v>
      </c>
      <c r="B370">
        <v>11</v>
      </c>
      <c r="C370" t="s">
        <v>122</v>
      </c>
      <c r="D370" t="s">
        <v>637</v>
      </c>
      <c r="E370">
        <v>15</v>
      </c>
      <c r="F370">
        <v>25</v>
      </c>
      <c r="G370">
        <v>2</v>
      </c>
      <c r="H370">
        <v>35</v>
      </c>
      <c r="I370">
        <f>Cocina[[#This Row],[Precio Unitario]]*Cocina[[#This Row],[Cantidad Ordenada]]</f>
        <v>50</v>
      </c>
      <c r="J370">
        <f>(Cocina[[#This Row],[Precio Unitario]]-Cocina[[#This Row],[Costo Unitario]])*Cocina[[#This Row],[Cantidad Ordenada]]</f>
        <v>20</v>
      </c>
      <c r="K370" s="4">
        <f>Cocina[[#This Row],[Ganancia neta]]/_xlfn.XLOOKUP(Cocina[[#This Row],[Número de Orden]],Sala[Número de Orden],Sala[Monto total],"fracaso",0,1)</f>
        <v>0.10471204188481675</v>
      </c>
      <c r="L370" t="s">
        <v>607</v>
      </c>
    </row>
    <row r="371" spans="1:12" x14ac:dyDescent="0.25">
      <c r="A371">
        <v>140</v>
      </c>
      <c r="B371">
        <v>11</v>
      </c>
      <c r="C371" t="s">
        <v>26</v>
      </c>
      <c r="D371" t="s">
        <v>628</v>
      </c>
      <c r="E371">
        <v>21</v>
      </c>
      <c r="F371">
        <v>35</v>
      </c>
      <c r="G371">
        <v>3</v>
      </c>
      <c r="H371">
        <v>35</v>
      </c>
      <c r="I371">
        <f>Cocina[[#This Row],[Precio Unitario]]*Cocina[[#This Row],[Cantidad Ordenada]]</f>
        <v>105</v>
      </c>
      <c r="J371">
        <f>(Cocina[[#This Row],[Precio Unitario]]-Cocina[[#This Row],[Costo Unitario]])*Cocina[[#This Row],[Cantidad Ordenada]]</f>
        <v>42</v>
      </c>
      <c r="K371" s="4">
        <f>Cocina[[#This Row],[Ganancia neta]]/_xlfn.XLOOKUP(Cocina[[#This Row],[Número de Orden]],Sala[Número de Orden],Sala[Monto total],"fracaso",0,1)</f>
        <v>0.21989528795811519</v>
      </c>
      <c r="L371" t="s">
        <v>608</v>
      </c>
    </row>
    <row r="372" spans="1:12" x14ac:dyDescent="0.25">
      <c r="A372">
        <v>140</v>
      </c>
      <c r="B372">
        <v>11</v>
      </c>
      <c r="C372" t="s">
        <v>79</v>
      </c>
      <c r="D372" t="s">
        <v>635</v>
      </c>
      <c r="E372">
        <v>10</v>
      </c>
      <c r="F372">
        <v>18</v>
      </c>
      <c r="G372">
        <v>2</v>
      </c>
      <c r="H372">
        <v>48</v>
      </c>
      <c r="I372">
        <f>Cocina[[#This Row],[Precio Unitario]]*Cocina[[#This Row],[Cantidad Ordenada]]</f>
        <v>36</v>
      </c>
      <c r="J372">
        <f>(Cocina[[#This Row],[Precio Unitario]]-Cocina[[#This Row],[Costo Unitario]])*Cocina[[#This Row],[Cantidad Ordenada]]</f>
        <v>16</v>
      </c>
      <c r="K372" s="4">
        <f>Cocina[[#This Row],[Ganancia neta]]/_xlfn.XLOOKUP(Cocina[[#This Row],[Número de Orden]],Sala[Número de Orden],Sala[Monto total],"fracaso",0,1)</f>
        <v>8.3769633507853408E-2</v>
      </c>
      <c r="L372" t="s">
        <v>608</v>
      </c>
    </row>
    <row r="373" spans="1:12" x14ac:dyDescent="0.25">
      <c r="A373">
        <v>141</v>
      </c>
      <c r="B373">
        <v>4</v>
      </c>
      <c r="C373" t="s">
        <v>70</v>
      </c>
      <c r="D373" t="s">
        <v>634</v>
      </c>
      <c r="E373">
        <v>13</v>
      </c>
      <c r="F373">
        <v>21</v>
      </c>
      <c r="G373">
        <v>1</v>
      </c>
      <c r="H373">
        <v>28</v>
      </c>
      <c r="I373">
        <f>Cocina[[#This Row],[Precio Unitario]]*Cocina[[#This Row],[Cantidad Ordenada]]</f>
        <v>21</v>
      </c>
      <c r="J373">
        <f>(Cocina[[#This Row],[Precio Unitario]]-Cocina[[#This Row],[Costo Unitario]])*Cocina[[#This Row],[Cantidad Ordenada]]</f>
        <v>8</v>
      </c>
      <c r="K373" s="4">
        <f>Cocina[[#This Row],[Ganancia neta]]/_xlfn.XLOOKUP(Cocina[[#This Row],[Número de Orden]],Sala[Número de Orden],Sala[Monto total],"fracaso",0,1)</f>
        <v>0.38095238095238093</v>
      </c>
      <c r="L373" t="s">
        <v>608</v>
      </c>
    </row>
    <row r="374" spans="1:12" x14ac:dyDescent="0.25">
      <c r="A374">
        <v>142</v>
      </c>
      <c r="B374">
        <v>14</v>
      </c>
      <c r="C374" t="s">
        <v>158</v>
      </c>
      <c r="D374" t="s">
        <v>617</v>
      </c>
      <c r="E374">
        <v>14</v>
      </c>
      <c r="F374">
        <v>24</v>
      </c>
      <c r="G374">
        <v>3</v>
      </c>
      <c r="H374">
        <v>37</v>
      </c>
      <c r="I374">
        <f>Cocina[[#This Row],[Precio Unitario]]*Cocina[[#This Row],[Cantidad Ordenada]]</f>
        <v>72</v>
      </c>
      <c r="J374">
        <f>(Cocina[[#This Row],[Precio Unitario]]-Cocina[[#This Row],[Costo Unitario]])*Cocina[[#This Row],[Cantidad Ordenada]]</f>
        <v>30</v>
      </c>
      <c r="K374" s="4">
        <f>Cocina[[#This Row],[Ganancia neta]]/_xlfn.XLOOKUP(Cocina[[#This Row],[Número de Orden]],Sala[Número de Orden],Sala[Monto total],"fracaso",0,1)</f>
        <v>0.16574585635359115</v>
      </c>
      <c r="L374" t="s">
        <v>607</v>
      </c>
    </row>
    <row r="375" spans="1:12" x14ac:dyDescent="0.25">
      <c r="A375">
        <v>142</v>
      </c>
      <c r="B375">
        <v>14</v>
      </c>
      <c r="C375" t="s">
        <v>200</v>
      </c>
      <c r="D375" t="s">
        <v>633</v>
      </c>
      <c r="E375">
        <v>14</v>
      </c>
      <c r="F375">
        <v>23</v>
      </c>
      <c r="G375">
        <v>3</v>
      </c>
      <c r="H375">
        <v>11</v>
      </c>
      <c r="I375">
        <f>Cocina[[#This Row],[Precio Unitario]]*Cocina[[#This Row],[Cantidad Ordenada]]</f>
        <v>69</v>
      </c>
      <c r="J375">
        <f>(Cocina[[#This Row],[Precio Unitario]]-Cocina[[#This Row],[Costo Unitario]])*Cocina[[#This Row],[Cantidad Ordenada]]</f>
        <v>27</v>
      </c>
      <c r="K375" s="4">
        <f>Cocina[[#This Row],[Ganancia neta]]/_xlfn.XLOOKUP(Cocina[[#This Row],[Número de Orden]],Sala[Número de Orden],Sala[Monto total],"fracaso",0,1)</f>
        <v>0.14917127071823205</v>
      </c>
      <c r="L375" t="s">
        <v>608</v>
      </c>
    </row>
    <row r="376" spans="1:12" x14ac:dyDescent="0.25">
      <c r="A376">
        <v>142</v>
      </c>
      <c r="B376">
        <v>14</v>
      </c>
      <c r="C376" t="s">
        <v>48</v>
      </c>
      <c r="D376" t="s">
        <v>622</v>
      </c>
      <c r="E376">
        <v>25</v>
      </c>
      <c r="F376">
        <v>40</v>
      </c>
      <c r="G376">
        <v>1</v>
      </c>
      <c r="H376">
        <v>22</v>
      </c>
      <c r="I376">
        <f>Cocina[[#This Row],[Precio Unitario]]*Cocina[[#This Row],[Cantidad Ordenada]]</f>
        <v>40</v>
      </c>
      <c r="J376">
        <f>(Cocina[[#This Row],[Precio Unitario]]-Cocina[[#This Row],[Costo Unitario]])*Cocina[[#This Row],[Cantidad Ordenada]]</f>
        <v>15</v>
      </c>
      <c r="K376" s="4">
        <f>Cocina[[#This Row],[Ganancia neta]]/_xlfn.XLOOKUP(Cocina[[#This Row],[Número de Orden]],Sala[Número de Orden],Sala[Monto total],"fracaso",0,1)</f>
        <v>8.2872928176795577E-2</v>
      </c>
      <c r="L376" t="s">
        <v>607</v>
      </c>
    </row>
    <row r="377" spans="1:12" x14ac:dyDescent="0.25">
      <c r="A377">
        <v>143</v>
      </c>
      <c r="B377">
        <v>9</v>
      </c>
      <c r="C377" t="s">
        <v>122</v>
      </c>
      <c r="D377" t="s">
        <v>637</v>
      </c>
      <c r="E377">
        <v>15</v>
      </c>
      <c r="F377">
        <v>25</v>
      </c>
      <c r="G377">
        <v>2</v>
      </c>
      <c r="H377">
        <v>16</v>
      </c>
      <c r="I377">
        <f>Cocina[[#This Row],[Precio Unitario]]*Cocina[[#This Row],[Cantidad Ordenada]]</f>
        <v>50</v>
      </c>
      <c r="J377">
        <f>(Cocina[[#This Row],[Precio Unitario]]-Cocina[[#This Row],[Costo Unitario]])*Cocina[[#This Row],[Cantidad Ordenada]]</f>
        <v>20</v>
      </c>
      <c r="K377" s="4">
        <f>Cocina[[#This Row],[Ganancia neta]]/_xlfn.XLOOKUP(Cocina[[#This Row],[Número de Orden]],Sala[Número de Orden],Sala[Monto total],"fracaso",0,1)</f>
        <v>0.4</v>
      </c>
      <c r="L377" t="s">
        <v>608</v>
      </c>
    </row>
    <row r="378" spans="1:12" x14ac:dyDescent="0.25">
      <c r="A378">
        <v>144</v>
      </c>
      <c r="B378">
        <v>18</v>
      </c>
      <c r="C378" t="s">
        <v>73</v>
      </c>
      <c r="D378" t="s">
        <v>623</v>
      </c>
      <c r="E378">
        <v>22</v>
      </c>
      <c r="F378">
        <v>36</v>
      </c>
      <c r="G378">
        <v>1</v>
      </c>
      <c r="H378">
        <v>27</v>
      </c>
      <c r="I378">
        <f>Cocina[[#This Row],[Precio Unitario]]*Cocina[[#This Row],[Cantidad Ordenada]]</f>
        <v>36</v>
      </c>
      <c r="J378">
        <f>(Cocina[[#This Row],[Precio Unitario]]-Cocina[[#This Row],[Costo Unitario]])*Cocina[[#This Row],[Cantidad Ordenada]]</f>
        <v>14</v>
      </c>
      <c r="K378" s="4">
        <f>Cocina[[#This Row],[Ganancia neta]]/_xlfn.XLOOKUP(Cocina[[#This Row],[Número de Orden]],Sala[Número de Orden],Sala[Monto total],"fracaso",0,1)</f>
        <v>7.567567567567568E-2</v>
      </c>
      <c r="L378" t="s">
        <v>608</v>
      </c>
    </row>
    <row r="379" spans="1:12" x14ac:dyDescent="0.25">
      <c r="A379">
        <v>144</v>
      </c>
      <c r="B379">
        <v>18</v>
      </c>
      <c r="C379" t="s">
        <v>112</v>
      </c>
      <c r="D379" t="s">
        <v>627</v>
      </c>
      <c r="E379">
        <v>11</v>
      </c>
      <c r="F379">
        <v>19</v>
      </c>
      <c r="G379">
        <v>3</v>
      </c>
      <c r="H379">
        <v>51</v>
      </c>
      <c r="I379">
        <f>Cocina[[#This Row],[Precio Unitario]]*Cocina[[#This Row],[Cantidad Ordenada]]</f>
        <v>57</v>
      </c>
      <c r="J379">
        <f>(Cocina[[#This Row],[Precio Unitario]]-Cocina[[#This Row],[Costo Unitario]])*Cocina[[#This Row],[Cantidad Ordenada]]</f>
        <v>24</v>
      </c>
      <c r="K379" s="4">
        <f>Cocina[[#This Row],[Ganancia neta]]/_xlfn.XLOOKUP(Cocina[[#This Row],[Número de Orden]],Sala[Número de Orden],Sala[Monto total],"fracaso",0,1)</f>
        <v>0.12972972972972974</v>
      </c>
      <c r="L379" t="s">
        <v>607</v>
      </c>
    </row>
    <row r="380" spans="1:12" x14ac:dyDescent="0.25">
      <c r="A380">
        <v>144</v>
      </c>
      <c r="B380">
        <v>18</v>
      </c>
      <c r="C380" t="s">
        <v>38</v>
      </c>
      <c r="D380" t="s">
        <v>624</v>
      </c>
      <c r="E380">
        <v>17</v>
      </c>
      <c r="F380">
        <v>29</v>
      </c>
      <c r="G380">
        <v>2</v>
      </c>
      <c r="H380">
        <v>38</v>
      </c>
      <c r="I380">
        <f>Cocina[[#This Row],[Precio Unitario]]*Cocina[[#This Row],[Cantidad Ordenada]]</f>
        <v>58</v>
      </c>
      <c r="J380">
        <f>(Cocina[[#This Row],[Precio Unitario]]-Cocina[[#This Row],[Costo Unitario]])*Cocina[[#This Row],[Cantidad Ordenada]]</f>
        <v>24</v>
      </c>
      <c r="K380" s="4">
        <f>Cocina[[#This Row],[Ganancia neta]]/_xlfn.XLOOKUP(Cocina[[#This Row],[Número de Orden]],Sala[Número de Orden],Sala[Monto total],"fracaso",0,1)</f>
        <v>0.12972972972972974</v>
      </c>
      <c r="L380" t="s">
        <v>607</v>
      </c>
    </row>
    <row r="381" spans="1:12" x14ac:dyDescent="0.25">
      <c r="A381">
        <v>144</v>
      </c>
      <c r="B381">
        <v>18</v>
      </c>
      <c r="C381" t="s">
        <v>55</v>
      </c>
      <c r="D381" t="s">
        <v>631</v>
      </c>
      <c r="E381">
        <v>20</v>
      </c>
      <c r="F381">
        <v>34</v>
      </c>
      <c r="G381">
        <v>1</v>
      </c>
      <c r="H381">
        <v>34</v>
      </c>
      <c r="I381">
        <f>Cocina[[#This Row],[Precio Unitario]]*Cocina[[#This Row],[Cantidad Ordenada]]</f>
        <v>34</v>
      </c>
      <c r="J381">
        <f>(Cocina[[#This Row],[Precio Unitario]]-Cocina[[#This Row],[Costo Unitario]])*Cocina[[#This Row],[Cantidad Ordenada]]</f>
        <v>14</v>
      </c>
      <c r="K381" s="4">
        <f>Cocina[[#This Row],[Ganancia neta]]/_xlfn.XLOOKUP(Cocina[[#This Row],[Número de Orden]],Sala[Número de Orden],Sala[Monto total],"fracaso",0,1)</f>
        <v>7.567567567567568E-2</v>
      </c>
      <c r="L381" t="s">
        <v>608</v>
      </c>
    </row>
    <row r="382" spans="1:12" x14ac:dyDescent="0.25">
      <c r="A382">
        <v>145</v>
      </c>
      <c r="B382">
        <v>2</v>
      </c>
      <c r="C382" t="s">
        <v>203</v>
      </c>
      <c r="D382" t="s">
        <v>630</v>
      </c>
      <c r="E382">
        <v>13</v>
      </c>
      <c r="F382">
        <v>22</v>
      </c>
      <c r="G382">
        <v>3</v>
      </c>
      <c r="H382">
        <v>59</v>
      </c>
      <c r="I382">
        <f>Cocina[[#This Row],[Precio Unitario]]*Cocina[[#This Row],[Cantidad Ordenada]]</f>
        <v>66</v>
      </c>
      <c r="J382">
        <f>(Cocina[[#This Row],[Precio Unitario]]-Cocina[[#This Row],[Costo Unitario]])*Cocina[[#This Row],[Cantidad Ordenada]]</f>
        <v>27</v>
      </c>
      <c r="K382" s="4">
        <f>Cocina[[#This Row],[Ganancia neta]]/_xlfn.XLOOKUP(Cocina[[#This Row],[Número de Orden]],Sala[Número de Orden],Sala[Monto total],"fracaso",0,1)</f>
        <v>0.21428571428571427</v>
      </c>
      <c r="L382" t="s">
        <v>607</v>
      </c>
    </row>
    <row r="383" spans="1:12" x14ac:dyDescent="0.25">
      <c r="A383">
        <v>145</v>
      </c>
      <c r="B383">
        <v>2</v>
      </c>
      <c r="C383" t="s">
        <v>68</v>
      </c>
      <c r="D383" t="s">
        <v>619</v>
      </c>
      <c r="E383">
        <v>18</v>
      </c>
      <c r="F383">
        <v>30</v>
      </c>
      <c r="G383">
        <v>2</v>
      </c>
      <c r="H383">
        <v>47</v>
      </c>
      <c r="I383">
        <f>Cocina[[#This Row],[Precio Unitario]]*Cocina[[#This Row],[Cantidad Ordenada]]</f>
        <v>60</v>
      </c>
      <c r="J383">
        <f>(Cocina[[#This Row],[Precio Unitario]]-Cocina[[#This Row],[Costo Unitario]])*Cocina[[#This Row],[Cantidad Ordenada]]</f>
        <v>24</v>
      </c>
      <c r="K383" s="4">
        <f>Cocina[[#This Row],[Ganancia neta]]/_xlfn.XLOOKUP(Cocina[[#This Row],[Número de Orden]],Sala[Número de Orden],Sala[Monto total],"fracaso",0,1)</f>
        <v>0.19047619047619047</v>
      </c>
      <c r="L383" t="s">
        <v>608</v>
      </c>
    </row>
    <row r="384" spans="1:12" x14ac:dyDescent="0.25">
      <c r="A384">
        <v>146</v>
      </c>
      <c r="B384">
        <v>8</v>
      </c>
      <c r="C384" t="s">
        <v>116</v>
      </c>
      <c r="D384" t="s">
        <v>620</v>
      </c>
      <c r="E384">
        <v>19</v>
      </c>
      <c r="F384">
        <v>31</v>
      </c>
      <c r="G384">
        <v>2</v>
      </c>
      <c r="H384">
        <v>47</v>
      </c>
      <c r="I384">
        <f>Cocina[[#This Row],[Precio Unitario]]*Cocina[[#This Row],[Cantidad Ordenada]]</f>
        <v>62</v>
      </c>
      <c r="J384">
        <f>(Cocina[[#This Row],[Precio Unitario]]-Cocina[[#This Row],[Costo Unitario]])*Cocina[[#This Row],[Cantidad Ordenada]]</f>
        <v>24</v>
      </c>
      <c r="K384" s="4">
        <f>Cocina[[#This Row],[Ganancia neta]]/_xlfn.XLOOKUP(Cocina[[#This Row],[Número de Orden]],Sala[Número de Orden],Sala[Monto total],"fracaso",0,1)</f>
        <v>0.38709677419354838</v>
      </c>
      <c r="L384" t="s">
        <v>608</v>
      </c>
    </row>
    <row r="385" spans="1:12" x14ac:dyDescent="0.25">
      <c r="A385">
        <v>147</v>
      </c>
      <c r="B385">
        <v>5</v>
      </c>
      <c r="C385" t="s">
        <v>48</v>
      </c>
      <c r="D385" t="s">
        <v>622</v>
      </c>
      <c r="E385">
        <v>25</v>
      </c>
      <c r="F385">
        <v>40</v>
      </c>
      <c r="G385">
        <v>1</v>
      </c>
      <c r="H385">
        <v>13</v>
      </c>
      <c r="I385">
        <f>Cocina[[#This Row],[Precio Unitario]]*Cocina[[#This Row],[Cantidad Ordenada]]</f>
        <v>40</v>
      </c>
      <c r="J385">
        <f>(Cocina[[#This Row],[Precio Unitario]]-Cocina[[#This Row],[Costo Unitario]])*Cocina[[#This Row],[Cantidad Ordenada]]</f>
        <v>15</v>
      </c>
      <c r="K385" s="4">
        <f>Cocina[[#This Row],[Ganancia neta]]/_xlfn.XLOOKUP(Cocina[[#This Row],[Número de Orden]],Sala[Número de Orden],Sala[Monto total],"fracaso",0,1)</f>
        <v>0.17857142857142858</v>
      </c>
      <c r="L385" t="s">
        <v>608</v>
      </c>
    </row>
    <row r="386" spans="1:12" x14ac:dyDescent="0.25">
      <c r="A386">
        <v>147</v>
      </c>
      <c r="B386">
        <v>5</v>
      </c>
      <c r="C386" t="s">
        <v>203</v>
      </c>
      <c r="D386" t="s">
        <v>630</v>
      </c>
      <c r="E386">
        <v>13</v>
      </c>
      <c r="F386">
        <v>22</v>
      </c>
      <c r="G386">
        <v>2</v>
      </c>
      <c r="H386">
        <v>20</v>
      </c>
      <c r="I386">
        <f>Cocina[[#This Row],[Precio Unitario]]*Cocina[[#This Row],[Cantidad Ordenada]]</f>
        <v>44</v>
      </c>
      <c r="J386">
        <f>(Cocina[[#This Row],[Precio Unitario]]-Cocina[[#This Row],[Costo Unitario]])*Cocina[[#This Row],[Cantidad Ordenada]]</f>
        <v>18</v>
      </c>
      <c r="K386" s="4">
        <f>Cocina[[#This Row],[Ganancia neta]]/_xlfn.XLOOKUP(Cocina[[#This Row],[Número de Orden]],Sala[Número de Orden],Sala[Monto total],"fracaso",0,1)</f>
        <v>0.21428571428571427</v>
      </c>
      <c r="L386" t="s">
        <v>607</v>
      </c>
    </row>
    <row r="387" spans="1:12" x14ac:dyDescent="0.25">
      <c r="A387">
        <v>148</v>
      </c>
      <c r="B387">
        <v>10</v>
      </c>
      <c r="C387" t="s">
        <v>38</v>
      </c>
      <c r="D387" t="s">
        <v>624</v>
      </c>
      <c r="E387">
        <v>17</v>
      </c>
      <c r="F387">
        <v>29</v>
      </c>
      <c r="G387">
        <v>2</v>
      </c>
      <c r="H387">
        <v>31</v>
      </c>
      <c r="I387">
        <f>Cocina[[#This Row],[Precio Unitario]]*Cocina[[#This Row],[Cantidad Ordenada]]</f>
        <v>58</v>
      </c>
      <c r="J387">
        <f>(Cocina[[#This Row],[Precio Unitario]]-Cocina[[#This Row],[Costo Unitario]])*Cocina[[#This Row],[Cantidad Ordenada]]</f>
        <v>24</v>
      </c>
      <c r="K387" s="4">
        <f>Cocina[[#This Row],[Ganancia neta]]/_xlfn.XLOOKUP(Cocina[[#This Row],[Número de Orden]],Sala[Número de Orden],Sala[Monto total],"fracaso",0,1)</f>
        <v>0.11320754716981132</v>
      </c>
      <c r="L387" t="s">
        <v>607</v>
      </c>
    </row>
    <row r="388" spans="1:12" x14ac:dyDescent="0.25">
      <c r="A388">
        <v>148</v>
      </c>
      <c r="B388">
        <v>10</v>
      </c>
      <c r="C388" t="s">
        <v>55</v>
      </c>
      <c r="D388" t="s">
        <v>631</v>
      </c>
      <c r="E388">
        <v>20</v>
      </c>
      <c r="F388">
        <v>34</v>
      </c>
      <c r="G388">
        <v>2</v>
      </c>
      <c r="H388">
        <v>57</v>
      </c>
      <c r="I388">
        <f>Cocina[[#This Row],[Precio Unitario]]*Cocina[[#This Row],[Cantidad Ordenada]]</f>
        <v>68</v>
      </c>
      <c r="J388">
        <f>(Cocina[[#This Row],[Precio Unitario]]-Cocina[[#This Row],[Costo Unitario]])*Cocina[[#This Row],[Cantidad Ordenada]]</f>
        <v>28</v>
      </c>
      <c r="K388" s="4">
        <f>Cocina[[#This Row],[Ganancia neta]]/_xlfn.XLOOKUP(Cocina[[#This Row],[Número de Orden]],Sala[Número de Orden],Sala[Monto total],"fracaso",0,1)</f>
        <v>0.13207547169811321</v>
      </c>
      <c r="L388" t="s">
        <v>607</v>
      </c>
    </row>
    <row r="389" spans="1:12" x14ac:dyDescent="0.25">
      <c r="A389">
        <v>148</v>
      </c>
      <c r="B389">
        <v>10</v>
      </c>
      <c r="C389" t="s">
        <v>146</v>
      </c>
      <c r="D389" t="s">
        <v>632</v>
      </c>
      <c r="E389">
        <v>12</v>
      </c>
      <c r="F389">
        <v>20</v>
      </c>
      <c r="G389">
        <v>3</v>
      </c>
      <c r="H389">
        <v>46</v>
      </c>
      <c r="I389">
        <f>Cocina[[#This Row],[Precio Unitario]]*Cocina[[#This Row],[Cantidad Ordenada]]</f>
        <v>60</v>
      </c>
      <c r="J389">
        <f>(Cocina[[#This Row],[Precio Unitario]]-Cocina[[#This Row],[Costo Unitario]])*Cocina[[#This Row],[Cantidad Ordenada]]</f>
        <v>24</v>
      </c>
      <c r="K389" s="4">
        <f>Cocina[[#This Row],[Ganancia neta]]/_xlfn.XLOOKUP(Cocina[[#This Row],[Número de Orden]],Sala[Número de Orden],Sala[Monto total],"fracaso",0,1)</f>
        <v>0.11320754716981132</v>
      </c>
      <c r="L389" t="s">
        <v>607</v>
      </c>
    </row>
    <row r="390" spans="1:12" x14ac:dyDescent="0.25">
      <c r="A390">
        <v>148</v>
      </c>
      <c r="B390">
        <v>10</v>
      </c>
      <c r="C390" t="s">
        <v>155</v>
      </c>
      <c r="D390" t="s">
        <v>636</v>
      </c>
      <c r="E390">
        <v>15</v>
      </c>
      <c r="F390">
        <v>26</v>
      </c>
      <c r="G390">
        <v>1</v>
      </c>
      <c r="H390">
        <v>25</v>
      </c>
      <c r="I390">
        <f>Cocina[[#This Row],[Precio Unitario]]*Cocina[[#This Row],[Cantidad Ordenada]]</f>
        <v>26</v>
      </c>
      <c r="J390">
        <f>(Cocina[[#This Row],[Precio Unitario]]-Cocina[[#This Row],[Costo Unitario]])*Cocina[[#This Row],[Cantidad Ordenada]]</f>
        <v>11</v>
      </c>
      <c r="K390" s="4">
        <f>Cocina[[#This Row],[Ganancia neta]]/_xlfn.XLOOKUP(Cocina[[#This Row],[Número de Orden]],Sala[Número de Orden],Sala[Monto total],"fracaso",0,1)</f>
        <v>5.1886792452830191E-2</v>
      </c>
      <c r="L390" t="s">
        <v>607</v>
      </c>
    </row>
    <row r="391" spans="1:12" x14ac:dyDescent="0.25">
      <c r="A391">
        <v>149</v>
      </c>
      <c r="B391">
        <v>18</v>
      </c>
      <c r="C391" t="s">
        <v>55</v>
      </c>
      <c r="D391" t="s">
        <v>631</v>
      </c>
      <c r="E391">
        <v>20</v>
      </c>
      <c r="F391">
        <v>34</v>
      </c>
      <c r="G391">
        <v>3</v>
      </c>
      <c r="H391">
        <v>28</v>
      </c>
      <c r="I391">
        <f>Cocina[[#This Row],[Precio Unitario]]*Cocina[[#This Row],[Cantidad Ordenada]]</f>
        <v>102</v>
      </c>
      <c r="J391">
        <f>(Cocina[[#This Row],[Precio Unitario]]-Cocina[[#This Row],[Costo Unitario]])*Cocina[[#This Row],[Cantidad Ordenada]]</f>
        <v>42</v>
      </c>
      <c r="K391" s="4">
        <f>Cocina[[#This Row],[Ganancia neta]]/_xlfn.XLOOKUP(Cocina[[#This Row],[Número de Orden]],Sala[Número de Orden],Sala[Monto total],"fracaso",0,1)</f>
        <v>0.18584070796460178</v>
      </c>
      <c r="L391" t="s">
        <v>608</v>
      </c>
    </row>
    <row r="392" spans="1:12" x14ac:dyDescent="0.25">
      <c r="A392">
        <v>149</v>
      </c>
      <c r="B392">
        <v>18</v>
      </c>
      <c r="C392" t="s">
        <v>68</v>
      </c>
      <c r="D392" t="s">
        <v>619</v>
      </c>
      <c r="E392">
        <v>18</v>
      </c>
      <c r="F392">
        <v>30</v>
      </c>
      <c r="G392">
        <v>1</v>
      </c>
      <c r="H392">
        <v>38</v>
      </c>
      <c r="I392">
        <f>Cocina[[#This Row],[Precio Unitario]]*Cocina[[#This Row],[Cantidad Ordenada]]</f>
        <v>30</v>
      </c>
      <c r="J392">
        <f>(Cocina[[#This Row],[Precio Unitario]]-Cocina[[#This Row],[Costo Unitario]])*Cocina[[#This Row],[Cantidad Ordenada]]</f>
        <v>12</v>
      </c>
      <c r="K392" s="4">
        <f>Cocina[[#This Row],[Ganancia neta]]/_xlfn.XLOOKUP(Cocina[[#This Row],[Número de Orden]],Sala[Número de Orden],Sala[Monto total],"fracaso",0,1)</f>
        <v>5.3097345132743362E-2</v>
      </c>
      <c r="L392" t="s">
        <v>608</v>
      </c>
    </row>
    <row r="393" spans="1:12" x14ac:dyDescent="0.25">
      <c r="A393">
        <v>149</v>
      </c>
      <c r="B393">
        <v>18</v>
      </c>
      <c r="C393" t="s">
        <v>79</v>
      </c>
      <c r="D393" t="s">
        <v>635</v>
      </c>
      <c r="E393">
        <v>10</v>
      </c>
      <c r="F393">
        <v>18</v>
      </c>
      <c r="G393">
        <v>2</v>
      </c>
      <c r="H393">
        <v>25</v>
      </c>
      <c r="I393">
        <f>Cocina[[#This Row],[Precio Unitario]]*Cocina[[#This Row],[Cantidad Ordenada]]</f>
        <v>36</v>
      </c>
      <c r="J393">
        <f>(Cocina[[#This Row],[Precio Unitario]]-Cocina[[#This Row],[Costo Unitario]])*Cocina[[#This Row],[Cantidad Ordenada]]</f>
        <v>16</v>
      </c>
      <c r="K393" s="4">
        <f>Cocina[[#This Row],[Ganancia neta]]/_xlfn.XLOOKUP(Cocina[[#This Row],[Número de Orden]],Sala[Número de Orden],Sala[Monto total],"fracaso",0,1)</f>
        <v>7.0796460176991149E-2</v>
      </c>
      <c r="L393" t="s">
        <v>607</v>
      </c>
    </row>
    <row r="394" spans="1:12" x14ac:dyDescent="0.25">
      <c r="A394">
        <v>149</v>
      </c>
      <c r="B394">
        <v>18</v>
      </c>
      <c r="C394" t="s">
        <v>38</v>
      </c>
      <c r="D394" t="s">
        <v>624</v>
      </c>
      <c r="E394">
        <v>17</v>
      </c>
      <c r="F394">
        <v>29</v>
      </c>
      <c r="G394">
        <v>2</v>
      </c>
      <c r="H394">
        <v>48</v>
      </c>
      <c r="I394">
        <f>Cocina[[#This Row],[Precio Unitario]]*Cocina[[#This Row],[Cantidad Ordenada]]</f>
        <v>58</v>
      </c>
      <c r="J394">
        <f>(Cocina[[#This Row],[Precio Unitario]]-Cocina[[#This Row],[Costo Unitario]])*Cocina[[#This Row],[Cantidad Ordenada]]</f>
        <v>24</v>
      </c>
      <c r="K394" s="4">
        <f>Cocina[[#This Row],[Ganancia neta]]/_xlfn.XLOOKUP(Cocina[[#This Row],[Número de Orden]],Sala[Número de Orden],Sala[Monto total],"fracaso",0,1)</f>
        <v>0.10619469026548672</v>
      </c>
      <c r="L394" t="s">
        <v>608</v>
      </c>
    </row>
    <row r="395" spans="1:12" x14ac:dyDescent="0.25">
      <c r="A395">
        <v>150</v>
      </c>
      <c r="B395">
        <v>18</v>
      </c>
      <c r="C395" t="s">
        <v>203</v>
      </c>
      <c r="D395" t="s">
        <v>630</v>
      </c>
      <c r="E395">
        <v>13</v>
      </c>
      <c r="F395">
        <v>22</v>
      </c>
      <c r="G395">
        <v>2</v>
      </c>
      <c r="H395">
        <v>19</v>
      </c>
      <c r="I395">
        <f>Cocina[[#This Row],[Precio Unitario]]*Cocina[[#This Row],[Cantidad Ordenada]]</f>
        <v>44</v>
      </c>
      <c r="J395">
        <f>(Cocina[[#This Row],[Precio Unitario]]-Cocina[[#This Row],[Costo Unitario]])*Cocina[[#This Row],[Cantidad Ordenada]]</f>
        <v>18</v>
      </c>
      <c r="K395" s="4">
        <f>Cocina[[#This Row],[Ganancia neta]]/_xlfn.XLOOKUP(Cocina[[#This Row],[Número de Orden]],Sala[Número de Orden],Sala[Monto total],"fracaso",0,1)</f>
        <v>0.12</v>
      </c>
      <c r="L395" t="s">
        <v>607</v>
      </c>
    </row>
    <row r="396" spans="1:12" x14ac:dyDescent="0.25">
      <c r="A396">
        <v>150</v>
      </c>
      <c r="B396">
        <v>18</v>
      </c>
      <c r="C396" t="s">
        <v>261</v>
      </c>
      <c r="D396" t="s">
        <v>625</v>
      </c>
      <c r="E396">
        <v>20</v>
      </c>
      <c r="F396">
        <v>33</v>
      </c>
      <c r="G396">
        <v>2</v>
      </c>
      <c r="H396">
        <v>57</v>
      </c>
      <c r="I396">
        <f>Cocina[[#This Row],[Precio Unitario]]*Cocina[[#This Row],[Cantidad Ordenada]]</f>
        <v>66</v>
      </c>
      <c r="J396">
        <f>(Cocina[[#This Row],[Precio Unitario]]-Cocina[[#This Row],[Costo Unitario]])*Cocina[[#This Row],[Cantidad Ordenada]]</f>
        <v>26</v>
      </c>
      <c r="K396" s="4">
        <f>Cocina[[#This Row],[Ganancia neta]]/_xlfn.XLOOKUP(Cocina[[#This Row],[Número de Orden]],Sala[Número de Orden],Sala[Monto total],"fracaso",0,1)</f>
        <v>0.17333333333333334</v>
      </c>
      <c r="L396" t="s">
        <v>608</v>
      </c>
    </row>
    <row r="397" spans="1:12" x14ac:dyDescent="0.25">
      <c r="A397">
        <v>150</v>
      </c>
      <c r="B397">
        <v>18</v>
      </c>
      <c r="C397" t="s">
        <v>146</v>
      </c>
      <c r="D397" t="s">
        <v>632</v>
      </c>
      <c r="E397">
        <v>12</v>
      </c>
      <c r="F397">
        <v>20</v>
      </c>
      <c r="G397">
        <v>2</v>
      </c>
      <c r="H397">
        <v>30</v>
      </c>
      <c r="I397">
        <f>Cocina[[#This Row],[Precio Unitario]]*Cocina[[#This Row],[Cantidad Ordenada]]</f>
        <v>40</v>
      </c>
      <c r="J397">
        <f>(Cocina[[#This Row],[Precio Unitario]]-Cocina[[#This Row],[Costo Unitario]])*Cocina[[#This Row],[Cantidad Ordenada]]</f>
        <v>16</v>
      </c>
      <c r="K397" s="4">
        <f>Cocina[[#This Row],[Ganancia neta]]/_xlfn.XLOOKUP(Cocina[[#This Row],[Número de Orden]],Sala[Número de Orden],Sala[Monto total],"fracaso",0,1)</f>
        <v>0.10666666666666667</v>
      </c>
      <c r="L397" t="s">
        <v>608</v>
      </c>
    </row>
    <row r="398" spans="1:12" x14ac:dyDescent="0.25">
      <c r="A398">
        <v>151</v>
      </c>
      <c r="B398">
        <v>6</v>
      </c>
      <c r="C398" t="s">
        <v>200</v>
      </c>
      <c r="D398" t="s">
        <v>633</v>
      </c>
      <c r="E398">
        <v>14</v>
      </c>
      <c r="F398">
        <v>23</v>
      </c>
      <c r="G398">
        <v>3</v>
      </c>
      <c r="H398">
        <v>13</v>
      </c>
      <c r="I398">
        <f>Cocina[[#This Row],[Precio Unitario]]*Cocina[[#This Row],[Cantidad Ordenada]]</f>
        <v>69</v>
      </c>
      <c r="J398">
        <f>(Cocina[[#This Row],[Precio Unitario]]-Cocina[[#This Row],[Costo Unitario]])*Cocina[[#This Row],[Cantidad Ordenada]]</f>
        <v>27</v>
      </c>
      <c r="K398" s="4">
        <f>Cocina[[#This Row],[Ganancia neta]]/_xlfn.XLOOKUP(Cocina[[#This Row],[Número de Orden]],Sala[Número de Orden],Sala[Monto total],"fracaso",0,1)</f>
        <v>0.20454545454545456</v>
      </c>
      <c r="L398" t="s">
        <v>607</v>
      </c>
    </row>
    <row r="399" spans="1:12" x14ac:dyDescent="0.25">
      <c r="A399">
        <v>151</v>
      </c>
      <c r="B399">
        <v>6</v>
      </c>
      <c r="C399" t="s">
        <v>70</v>
      </c>
      <c r="D399" t="s">
        <v>634</v>
      </c>
      <c r="E399">
        <v>13</v>
      </c>
      <c r="F399">
        <v>21</v>
      </c>
      <c r="G399">
        <v>3</v>
      </c>
      <c r="H399">
        <v>6</v>
      </c>
      <c r="I399">
        <f>Cocina[[#This Row],[Precio Unitario]]*Cocina[[#This Row],[Cantidad Ordenada]]</f>
        <v>63</v>
      </c>
      <c r="J399">
        <f>(Cocina[[#This Row],[Precio Unitario]]-Cocina[[#This Row],[Costo Unitario]])*Cocina[[#This Row],[Cantidad Ordenada]]</f>
        <v>24</v>
      </c>
      <c r="K399" s="4">
        <f>Cocina[[#This Row],[Ganancia neta]]/_xlfn.XLOOKUP(Cocina[[#This Row],[Número de Orden]],Sala[Número de Orden],Sala[Monto total],"fracaso",0,1)</f>
        <v>0.18181818181818182</v>
      </c>
      <c r="L399" t="s">
        <v>607</v>
      </c>
    </row>
    <row r="400" spans="1:12" x14ac:dyDescent="0.25">
      <c r="A400">
        <v>152</v>
      </c>
      <c r="B400">
        <v>5</v>
      </c>
      <c r="C400" t="s">
        <v>42</v>
      </c>
      <c r="D400" t="s">
        <v>626</v>
      </c>
      <c r="E400">
        <v>16</v>
      </c>
      <c r="F400">
        <v>28</v>
      </c>
      <c r="G400">
        <v>2</v>
      </c>
      <c r="H400">
        <v>12</v>
      </c>
      <c r="I400">
        <f>Cocina[[#This Row],[Precio Unitario]]*Cocina[[#This Row],[Cantidad Ordenada]]</f>
        <v>56</v>
      </c>
      <c r="J400">
        <f>(Cocina[[#This Row],[Precio Unitario]]-Cocina[[#This Row],[Costo Unitario]])*Cocina[[#This Row],[Cantidad Ordenada]]</f>
        <v>24</v>
      </c>
      <c r="K400" s="4">
        <f>Cocina[[#This Row],[Ganancia neta]]/_xlfn.XLOOKUP(Cocina[[#This Row],[Número de Orden]],Sala[Número de Orden],Sala[Monto total],"fracaso",0,1)</f>
        <v>0.42857142857142855</v>
      </c>
      <c r="L400" t="s">
        <v>607</v>
      </c>
    </row>
    <row r="401" spans="1:12" x14ac:dyDescent="0.25">
      <c r="A401">
        <v>153</v>
      </c>
      <c r="B401">
        <v>10</v>
      </c>
      <c r="C401" t="s">
        <v>261</v>
      </c>
      <c r="D401" t="s">
        <v>625</v>
      </c>
      <c r="E401">
        <v>20</v>
      </c>
      <c r="F401">
        <v>33</v>
      </c>
      <c r="G401">
        <v>3</v>
      </c>
      <c r="H401">
        <v>10</v>
      </c>
      <c r="I401">
        <f>Cocina[[#This Row],[Precio Unitario]]*Cocina[[#This Row],[Cantidad Ordenada]]</f>
        <v>99</v>
      </c>
      <c r="J401">
        <f>(Cocina[[#This Row],[Precio Unitario]]-Cocina[[#This Row],[Costo Unitario]])*Cocina[[#This Row],[Cantidad Ordenada]]</f>
        <v>39</v>
      </c>
      <c r="K401" s="4">
        <f>Cocina[[#This Row],[Ganancia neta]]/_xlfn.XLOOKUP(Cocina[[#This Row],[Número de Orden]],Sala[Número de Orden],Sala[Monto total],"fracaso",0,1)</f>
        <v>0.19211822660098521</v>
      </c>
      <c r="L401" t="s">
        <v>608</v>
      </c>
    </row>
    <row r="402" spans="1:12" x14ac:dyDescent="0.25">
      <c r="A402">
        <v>153</v>
      </c>
      <c r="B402">
        <v>10</v>
      </c>
      <c r="C402" t="s">
        <v>158</v>
      </c>
      <c r="D402" t="s">
        <v>617</v>
      </c>
      <c r="E402">
        <v>14</v>
      </c>
      <c r="F402">
        <v>24</v>
      </c>
      <c r="G402">
        <v>1</v>
      </c>
      <c r="H402">
        <v>53</v>
      </c>
      <c r="I402">
        <f>Cocina[[#This Row],[Precio Unitario]]*Cocina[[#This Row],[Cantidad Ordenada]]</f>
        <v>24</v>
      </c>
      <c r="J402">
        <f>(Cocina[[#This Row],[Precio Unitario]]-Cocina[[#This Row],[Costo Unitario]])*Cocina[[#This Row],[Cantidad Ordenada]]</f>
        <v>10</v>
      </c>
      <c r="K402" s="4">
        <f>Cocina[[#This Row],[Ganancia neta]]/_xlfn.XLOOKUP(Cocina[[#This Row],[Número de Orden]],Sala[Número de Orden],Sala[Monto total],"fracaso",0,1)</f>
        <v>4.9261083743842367E-2</v>
      </c>
      <c r="L402" t="s">
        <v>608</v>
      </c>
    </row>
    <row r="403" spans="1:12" x14ac:dyDescent="0.25">
      <c r="A403">
        <v>153</v>
      </c>
      <c r="B403">
        <v>10</v>
      </c>
      <c r="C403" t="s">
        <v>48</v>
      </c>
      <c r="D403" t="s">
        <v>622</v>
      </c>
      <c r="E403">
        <v>25</v>
      </c>
      <c r="F403">
        <v>40</v>
      </c>
      <c r="G403">
        <v>2</v>
      </c>
      <c r="H403">
        <v>26</v>
      </c>
      <c r="I403">
        <f>Cocina[[#This Row],[Precio Unitario]]*Cocina[[#This Row],[Cantidad Ordenada]]</f>
        <v>80</v>
      </c>
      <c r="J403">
        <f>(Cocina[[#This Row],[Precio Unitario]]-Cocina[[#This Row],[Costo Unitario]])*Cocina[[#This Row],[Cantidad Ordenada]]</f>
        <v>30</v>
      </c>
      <c r="K403" s="4">
        <f>Cocina[[#This Row],[Ganancia neta]]/_xlfn.XLOOKUP(Cocina[[#This Row],[Número de Orden]],Sala[Número de Orden],Sala[Monto total],"fracaso",0,1)</f>
        <v>0.14778325123152711</v>
      </c>
      <c r="L403" t="s">
        <v>607</v>
      </c>
    </row>
    <row r="404" spans="1:12" x14ac:dyDescent="0.25">
      <c r="A404">
        <v>154</v>
      </c>
      <c r="B404">
        <v>11</v>
      </c>
      <c r="C404" t="s">
        <v>73</v>
      </c>
      <c r="D404" t="s">
        <v>623</v>
      </c>
      <c r="E404">
        <v>22</v>
      </c>
      <c r="F404">
        <v>36</v>
      </c>
      <c r="G404">
        <v>3</v>
      </c>
      <c r="H404">
        <v>52</v>
      </c>
      <c r="I404">
        <f>Cocina[[#This Row],[Precio Unitario]]*Cocina[[#This Row],[Cantidad Ordenada]]</f>
        <v>108</v>
      </c>
      <c r="J404">
        <f>(Cocina[[#This Row],[Precio Unitario]]-Cocina[[#This Row],[Costo Unitario]])*Cocina[[#This Row],[Cantidad Ordenada]]</f>
        <v>42</v>
      </c>
      <c r="K404" s="4">
        <f>Cocina[[#This Row],[Ganancia neta]]/_xlfn.XLOOKUP(Cocina[[#This Row],[Número de Orden]],Sala[Número de Orden],Sala[Monto total],"fracaso",0,1)</f>
        <v>0.29166666666666669</v>
      </c>
      <c r="L404" t="s">
        <v>607</v>
      </c>
    </row>
    <row r="405" spans="1:12" x14ac:dyDescent="0.25">
      <c r="A405">
        <v>154</v>
      </c>
      <c r="B405">
        <v>11</v>
      </c>
      <c r="C405" t="s">
        <v>79</v>
      </c>
      <c r="D405" t="s">
        <v>635</v>
      </c>
      <c r="E405">
        <v>10</v>
      </c>
      <c r="F405">
        <v>18</v>
      </c>
      <c r="G405">
        <v>2</v>
      </c>
      <c r="H405">
        <v>30</v>
      </c>
      <c r="I405">
        <f>Cocina[[#This Row],[Precio Unitario]]*Cocina[[#This Row],[Cantidad Ordenada]]</f>
        <v>36</v>
      </c>
      <c r="J405">
        <f>(Cocina[[#This Row],[Precio Unitario]]-Cocina[[#This Row],[Costo Unitario]])*Cocina[[#This Row],[Cantidad Ordenada]]</f>
        <v>16</v>
      </c>
      <c r="K405" s="4">
        <f>Cocina[[#This Row],[Ganancia neta]]/_xlfn.XLOOKUP(Cocina[[#This Row],[Número de Orden]],Sala[Número de Orden],Sala[Monto total],"fracaso",0,1)</f>
        <v>0.1111111111111111</v>
      </c>
      <c r="L405" t="s">
        <v>607</v>
      </c>
    </row>
    <row r="406" spans="1:12" x14ac:dyDescent="0.25">
      <c r="A406">
        <v>155</v>
      </c>
      <c r="B406">
        <v>7</v>
      </c>
      <c r="C406" t="s">
        <v>106</v>
      </c>
      <c r="D406" t="s">
        <v>621</v>
      </c>
      <c r="E406">
        <v>16</v>
      </c>
      <c r="F406">
        <v>27</v>
      </c>
      <c r="G406">
        <v>2</v>
      </c>
      <c r="H406">
        <v>24</v>
      </c>
      <c r="I406">
        <f>Cocina[[#This Row],[Precio Unitario]]*Cocina[[#This Row],[Cantidad Ordenada]]</f>
        <v>54</v>
      </c>
      <c r="J406">
        <f>(Cocina[[#This Row],[Precio Unitario]]-Cocina[[#This Row],[Costo Unitario]])*Cocina[[#This Row],[Cantidad Ordenada]]</f>
        <v>22</v>
      </c>
      <c r="K406" s="4">
        <f>Cocina[[#This Row],[Ganancia neta]]/_xlfn.XLOOKUP(Cocina[[#This Row],[Número de Orden]],Sala[Número de Orden],Sala[Monto total],"fracaso",0,1)</f>
        <v>0.16176470588235295</v>
      </c>
      <c r="L406" t="s">
        <v>608</v>
      </c>
    </row>
    <row r="407" spans="1:12" x14ac:dyDescent="0.25">
      <c r="A407">
        <v>155</v>
      </c>
      <c r="B407">
        <v>7</v>
      </c>
      <c r="C407" t="s">
        <v>116</v>
      </c>
      <c r="D407" t="s">
        <v>620</v>
      </c>
      <c r="E407">
        <v>19</v>
      </c>
      <c r="F407">
        <v>31</v>
      </c>
      <c r="G407">
        <v>2</v>
      </c>
      <c r="H407">
        <v>43</v>
      </c>
      <c r="I407">
        <f>Cocina[[#This Row],[Precio Unitario]]*Cocina[[#This Row],[Cantidad Ordenada]]</f>
        <v>62</v>
      </c>
      <c r="J407">
        <f>(Cocina[[#This Row],[Precio Unitario]]-Cocina[[#This Row],[Costo Unitario]])*Cocina[[#This Row],[Cantidad Ordenada]]</f>
        <v>24</v>
      </c>
      <c r="K407" s="4">
        <f>Cocina[[#This Row],[Ganancia neta]]/_xlfn.XLOOKUP(Cocina[[#This Row],[Número de Orden]],Sala[Número de Orden],Sala[Monto total],"fracaso",0,1)</f>
        <v>0.17647058823529413</v>
      </c>
      <c r="L407" t="s">
        <v>607</v>
      </c>
    </row>
    <row r="408" spans="1:12" x14ac:dyDescent="0.25">
      <c r="A408">
        <v>155</v>
      </c>
      <c r="B408">
        <v>7</v>
      </c>
      <c r="C408" t="s">
        <v>146</v>
      </c>
      <c r="D408" t="s">
        <v>632</v>
      </c>
      <c r="E408">
        <v>12</v>
      </c>
      <c r="F408">
        <v>20</v>
      </c>
      <c r="G408">
        <v>1</v>
      </c>
      <c r="H408">
        <v>33</v>
      </c>
      <c r="I408">
        <f>Cocina[[#This Row],[Precio Unitario]]*Cocina[[#This Row],[Cantidad Ordenada]]</f>
        <v>20</v>
      </c>
      <c r="J408">
        <f>(Cocina[[#This Row],[Precio Unitario]]-Cocina[[#This Row],[Costo Unitario]])*Cocina[[#This Row],[Cantidad Ordenada]]</f>
        <v>8</v>
      </c>
      <c r="K408" s="4">
        <f>Cocina[[#This Row],[Ganancia neta]]/_xlfn.XLOOKUP(Cocina[[#This Row],[Número de Orden]],Sala[Número de Orden],Sala[Monto total],"fracaso",0,1)</f>
        <v>5.8823529411764705E-2</v>
      </c>
      <c r="L408" t="s">
        <v>608</v>
      </c>
    </row>
    <row r="409" spans="1:12" x14ac:dyDescent="0.25">
      <c r="A409">
        <v>156</v>
      </c>
      <c r="B409">
        <v>6</v>
      </c>
      <c r="C409" t="s">
        <v>42</v>
      </c>
      <c r="D409" t="s">
        <v>626</v>
      </c>
      <c r="E409">
        <v>16</v>
      </c>
      <c r="F409">
        <v>28</v>
      </c>
      <c r="G409">
        <v>2</v>
      </c>
      <c r="H409">
        <v>6</v>
      </c>
      <c r="I409">
        <f>Cocina[[#This Row],[Precio Unitario]]*Cocina[[#This Row],[Cantidad Ordenada]]</f>
        <v>56</v>
      </c>
      <c r="J409">
        <f>(Cocina[[#This Row],[Precio Unitario]]-Cocina[[#This Row],[Costo Unitario]])*Cocina[[#This Row],[Cantidad Ordenada]]</f>
        <v>24</v>
      </c>
      <c r="K409" s="4">
        <f>Cocina[[#This Row],[Ganancia neta]]/_xlfn.XLOOKUP(Cocina[[#This Row],[Número de Orden]],Sala[Número de Orden],Sala[Monto total],"fracaso",0,1)</f>
        <v>0.42857142857142855</v>
      </c>
      <c r="L409" t="s">
        <v>607</v>
      </c>
    </row>
    <row r="410" spans="1:12" x14ac:dyDescent="0.25">
      <c r="A410">
        <v>157</v>
      </c>
      <c r="B410">
        <v>13</v>
      </c>
      <c r="C410" t="s">
        <v>122</v>
      </c>
      <c r="D410" t="s">
        <v>637</v>
      </c>
      <c r="E410">
        <v>15</v>
      </c>
      <c r="F410">
        <v>25</v>
      </c>
      <c r="G410">
        <v>3</v>
      </c>
      <c r="H410">
        <v>48</v>
      </c>
      <c r="I410">
        <f>Cocina[[#This Row],[Precio Unitario]]*Cocina[[#This Row],[Cantidad Ordenada]]</f>
        <v>75</v>
      </c>
      <c r="J410">
        <f>(Cocina[[#This Row],[Precio Unitario]]-Cocina[[#This Row],[Costo Unitario]])*Cocina[[#This Row],[Cantidad Ordenada]]</f>
        <v>30</v>
      </c>
      <c r="K410" s="4">
        <f>Cocina[[#This Row],[Ganancia neta]]/_xlfn.XLOOKUP(Cocina[[#This Row],[Número de Orden]],Sala[Número de Orden],Sala[Monto total],"fracaso",0,1)</f>
        <v>0.11070110701107011</v>
      </c>
      <c r="L410" t="s">
        <v>608</v>
      </c>
    </row>
    <row r="411" spans="1:12" x14ac:dyDescent="0.25">
      <c r="A411">
        <v>157</v>
      </c>
      <c r="B411">
        <v>13</v>
      </c>
      <c r="C411" t="s">
        <v>42</v>
      </c>
      <c r="D411" t="s">
        <v>626</v>
      </c>
      <c r="E411">
        <v>16</v>
      </c>
      <c r="F411">
        <v>28</v>
      </c>
      <c r="G411">
        <v>1</v>
      </c>
      <c r="H411">
        <v>54</v>
      </c>
      <c r="I411">
        <f>Cocina[[#This Row],[Precio Unitario]]*Cocina[[#This Row],[Cantidad Ordenada]]</f>
        <v>28</v>
      </c>
      <c r="J411">
        <f>(Cocina[[#This Row],[Precio Unitario]]-Cocina[[#This Row],[Costo Unitario]])*Cocina[[#This Row],[Cantidad Ordenada]]</f>
        <v>12</v>
      </c>
      <c r="K411" s="4">
        <f>Cocina[[#This Row],[Ganancia neta]]/_xlfn.XLOOKUP(Cocina[[#This Row],[Número de Orden]],Sala[Número de Orden],Sala[Monto total],"fracaso",0,1)</f>
        <v>4.4280442804428041E-2</v>
      </c>
      <c r="L411" t="s">
        <v>608</v>
      </c>
    </row>
    <row r="412" spans="1:12" x14ac:dyDescent="0.25">
      <c r="A412">
        <v>157</v>
      </c>
      <c r="B412">
        <v>13</v>
      </c>
      <c r="C412" t="s">
        <v>68</v>
      </c>
      <c r="D412" t="s">
        <v>619</v>
      </c>
      <c r="E412">
        <v>18</v>
      </c>
      <c r="F412">
        <v>30</v>
      </c>
      <c r="G412">
        <v>2</v>
      </c>
      <c r="H412">
        <v>27</v>
      </c>
      <c r="I412">
        <f>Cocina[[#This Row],[Precio Unitario]]*Cocina[[#This Row],[Cantidad Ordenada]]</f>
        <v>60</v>
      </c>
      <c r="J412">
        <f>(Cocina[[#This Row],[Precio Unitario]]-Cocina[[#This Row],[Costo Unitario]])*Cocina[[#This Row],[Cantidad Ordenada]]</f>
        <v>24</v>
      </c>
      <c r="K412" s="4">
        <f>Cocina[[#This Row],[Ganancia neta]]/_xlfn.XLOOKUP(Cocina[[#This Row],[Número de Orden]],Sala[Número de Orden],Sala[Monto total],"fracaso",0,1)</f>
        <v>8.8560885608856083E-2</v>
      </c>
      <c r="L412" t="s">
        <v>607</v>
      </c>
    </row>
    <row r="413" spans="1:12" x14ac:dyDescent="0.25">
      <c r="A413">
        <v>157</v>
      </c>
      <c r="B413">
        <v>13</v>
      </c>
      <c r="C413" t="s">
        <v>73</v>
      </c>
      <c r="D413" t="s">
        <v>623</v>
      </c>
      <c r="E413">
        <v>22</v>
      </c>
      <c r="F413">
        <v>36</v>
      </c>
      <c r="G413">
        <v>3</v>
      </c>
      <c r="H413">
        <v>21</v>
      </c>
      <c r="I413">
        <f>Cocina[[#This Row],[Precio Unitario]]*Cocina[[#This Row],[Cantidad Ordenada]]</f>
        <v>108</v>
      </c>
      <c r="J413">
        <f>(Cocina[[#This Row],[Precio Unitario]]-Cocina[[#This Row],[Costo Unitario]])*Cocina[[#This Row],[Cantidad Ordenada]]</f>
        <v>42</v>
      </c>
      <c r="K413" s="4">
        <f>Cocina[[#This Row],[Ganancia neta]]/_xlfn.XLOOKUP(Cocina[[#This Row],[Número de Orden]],Sala[Número de Orden],Sala[Monto total],"fracaso",0,1)</f>
        <v>0.15498154981549817</v>
      </c>
      <c r="L413" t="s">
        <v>607</v>
      </c>
    </row>
    <row r="414" spans="1:12" x14ac:dyDescent="0.25">
      <c r="A414">
        <v>158</v>
      </c>
      <c r="B414">
        <v>5</v>
      </c>
      <c r="C414" t="s">
        <v>112</v>
      </c>
      <c r="D414" t="s">
        <v>627</v>
      </c>
      <c r="E414">
        <v>11</v>
      </c>
      <c r="F414">
        <v>19</v>
      </c>
      <c r="G414">
        <v>1</v>
      </c>
      <c r="H414">
        <v>57</v>
      </c>
      <c r="I414">
        <f>Cocina[[#This Row],[Precio Unitario]]*Cocina[[#This Row],[Cantidad Ordenada]]</f>
        <v>19</v>
      </c>
      <c r="J414">
        <f>(Cocina[[#This Row],[Precio Unitario]]-Cocina[[#This Row],[Costo Unitario]])*Cocina[[#This Row],[Cantidad Ordenada]]</f>
        <v>8</v>
      </c>
      <c r="K414" s="4">
        <f>Cocina[[#This Row],[Ganancia neta]]/_xlfn.XLOOKUP(Cocina[[#This Row],[Número de Orden]],Sala[Número de Orden],Sala[Monto total],"fracaso",0,1)</f>
        <v>2.5806451612903226E-2</v>
      </c>
      <c r="L414" t="s">
        <v>607</v>
      </c>
    </row>
    <row r="415" spans="1:12" x14ac:dyDescent="0.25">
      <c r="A415">
        <v>158</v>
      </c>
      <c r="B415">
        <v>5</v>
      </c>
      <c r="C415" t="s">
        <v>155</v>
      </c>
      <c r="D415" t="s">
        <v>636</v>
      </c>
      <c r="E415">
        <v>15</v>
      </c>
      <c r="F415">
        <v>26</v>
      </c>
      <c r="G415">
        <v>3</v>
      </c>
      <c r="H415">
        <v>55</v>
      </c>
      <c r="I415">
        <f>Cocina[[#This Row],[Precio Unitario]]*Cocina[[#This Row],[Cantidad Ordenada]]</f>
        <v>78</v>
      </c>
      <c r="J415">
        <f>(Cocina[[#This Row],[Precio Unitario]]-Cocina[[#This Row],[Costo Unitario]])*Cocina[[#This Row],[Cantidad Ordenada]]</f>
        <v>33</v>
      </c>
      <c r="K415" s="4">
        <f>Cocina[[#This Row],[Ganancia neta]]/_xlfn.XLOOKUP(Cocina[[#This Row],[Número de Orden]],Sala[Número de Orden],Sala[Monto total],"fracaso",0,1)</f>
        <v>0.1064516129032258</v>
      </c>
      <c r="L415" t="s">
        <v>607</v>
      </c>
    </row>
    <row r="416" spans="1:12" x14ac:dyDescent="0.25">
      <c r="A416">
        <v>158</v>
      </c>
      <c r="B416">
        <v>5</v>
      </c>
      <c r="C416" t="s">
        <v>73</v>
      </c>
      <c r="D416" t="s">
        <v>623</v>
      </c>
      <c r="E416">
        <v>22</v>
      </c>
      <c r="F416">
        <v>36</v>
      </c>
      <c r="G416">
        <v>3</v>
      </c>
      <c r="H416">
        <v>7</v>
      </c>
      <c r="I416">
        <f>Cocina[[#This Row],[Precio Unitario]]*Cocina[[#This Row],[Cantidad Ordenada]]</f>
        <v>108</v>
      </c>
      <c r="J416">
        <f>(Cocina[[#This Row],[Precio Unitario]]-Cocina[[#This Row],[Costo Unitario]])*Cocina[[#This Row],[Cantidad Ordenada]]</f>
        <v>42</v>
      </c>
      <c r="K416" s="4">
        <f>Cocina[[#This Row],[Ganancia neta]]/_xlfn.XLOOKUP(Cocina[[#This Row],[Número de Orden]],Sala[Número de Orden],Sala[Monto total],"fracaso",0,1)</f>
        <v>0.13548387096774195</v>
      </c>
      <c r="L416" t="s">
        <v>607</v>
      </c>
    </row>
    <row r="417" spans="1:12" x14ac:dyDescent="0.25">
      <c r="A417">
        <v>158</v>
      </c>
      <c r="B417">
        <v>5</v>
      </c>
      <c r="C417" t="s">
        <v>26</v>
      </c>
      <c r="D417" t="s">
        <v>628</v>
      </c>
      <c r="E417">
        <v>21</v>
      </c>
      <c r="F417">
        <v>35</v>
      </c>
      <c r="G417">
        <v>3</v>
      </c>
      <c r="H417">
        <v>16</v>
      </c>
      <c r="I417">
        <f>Cocina[[#This Row],[Precio Unitario]]*Cocina[[#This Row],[Cantidad Ordenada]]</f>
        <v>105</v>
      </c>
      <c r="J417">
        <f>(Cocina[[#This Row],[Precio Unitario]]-Cocina[[#This Row],[Costo Unitario]])*Cocina[[#This Row],[Cantidad Ordenada]]</f>
        <v>42</v>
      </c>
      <c r="K417" s="4">
        <f>Cocina[[#This Row],[Ganancia neta]]/_xlfn.XLOOKUP(Cocina[[#This Row],[Número de Orden]],Sala[Número de Orden],Sala[Monto total],"fracaso",0,1)</f>
        <v>0.13548387096774195</v>
      </c>
      <c r="L417" t="s">
        <v>608</v>
      </c>
    </row>
    <row r="418" spans="1:12" x14ac:dyDescent="0.25">
      <c r="A418">
        <v>159</v>
      </c>
      <c r="B418">
        <v>16</v>
      </c>
      <c r="C418" t="s">
        <v>38</v>
      </c>
      <c r="D418" t="s">
        <v>624</v>
      </c>
      <c r="E418">
        <v>17</v>
      </c>
      <c r="F418">
        <v>29</v>
      </c>
      <c r="G418">
        <v>3</v>
      </c>
      <c r="H418">
        <v>23</v>
      </c>
      <c r="I418">
        <f>Cocina[[#This Row],[Precio Unitario]]*Cocina[[#This Row],[Cantidad Ordenada]]</f>
        <v>87</v>
      </c>
      <c r="J418">
        <f>(Cocina[[#This Row],[Precio Unitario]]-Cocina[[#This Row],[Costo Unitario]])*Cocina[[#This Row],[Cantidad Ordenada]]</f>
        <v>36</v>
      </c>
      <c r="K418" s="4">
        <f>Cocina[[#This Row],[Ganancia neta]]/_xlfn.XLOOKUP(Cocina[[#This Row],[Número de Orden]],Sala[Número de Orden],Sala[Monto total],"fracaso",0,1)</f>
        <v>0.14229249011857709</v>
      </c>
      <c r="L418" t="s">
        <v>608</v>
      </c>
    </row>
    <row r="419" spans="1:12" x14ac:dyDescent="0.25">
      <c r="A419">
        <v>159</v>
      </c>
      <c r="B419">
        <v>16</v>
      </c>
      <c r="C419" t="s">
        <v>116</v>
      </c>
      <c r="D419" t="s">
        <v>620</v>
      </c>
      <c r="E419">
        <v>19</v>
      </c>
      <c r="F419">
        <v>31</v>
      </c>
      <c r="G419">
        <v>1</v>
      </c>
      <c r="H419">
        <v>5</v>
      </c>
      <c r="I419">
        <f>Cocina[[#This Row],[Precio Unitario]]*Cocina[[#This Row],[Cantidad Ordenada]]</f>
        <v>31</v>
      </c>
      <c r="J419">
        <f>(Cocina[[#This Row],[Precio Unitario]]-Cocina[[#This Row],[Costo Unitario]])*Cocina[[#This Row],[Cantidad Ordenada]]</f>
        <v>12</v>
      </c>
      <c r="K419" s="4">
        <f>Cocina[[#This Row],[Ganancia neta]]/_xlfn.XLOOKUP(Cocina[[#This Row],[Número de Orden]],Sala[Número de Orden],Sala[Monto total],"fracaso",0,1)</f>
        <v>4.7430830039525688E-2</v>
      </c>
      <c r="L419" t="s">
        <v>607</v>
      </c>
    </row>
    <row r="420" spans="1:12" x14ac:dyDescent="0.25">
      <c r="A420">
        <v>159</v>
      </c>
      <c r="B420">
        <v>16</v>
      </c>
      <c r="C420" t="s">
        <v>79</v>
      </c>
      <c r="D420" t="s">
        <v>635</v>
      </c>
      <c r="E420">
        <v>10</v>
      </c>
      <c r="F420">
        <v>18</v>
      </c>
      <c r="G420">
        <v>2</v>
      </c>
      <c r="H420">
        <v>6</v>
      </c>
      <c r="I420">
        <f>Cocina[[#This Row],[Precio Unitario]]*Cocina[[#This Row],[Cantidad Ordenada]]</f>
        <v>36</v>
      </c>
      <c r="J420">
        <f>(Cocina[[#This Row],[Precio Unitario]]-Cocina[[#This Row],[Costo Unitario]])*Cocina[[#This Row],[Cantidad Ordenada]]</f>
        <v>16</v>
      </c>
      <c r="K420" s="4">
        <f>Cocina[[#This Row],[Ganancia neta]]/_xlfn.XLOOKUP(Cocina[[#This Row],[Número de Orden]],Sala[Número de Orden],Sala[Monto total],"fracaso",0,1)</f>
        <v>6.3241106719367585E-2</v>
      </c>
      <c r="L420" t="s">
        <v>607</v>
      </c>
    </row>
    <row r="421" spans="1:12" x14ac:dyDescent="0.25">
      <c r="A421">
        <v>159</v>
      </c>
      <c r="B421">
        <v>16</v>
      </c>
      <c r="C421" t="s">
        <v>261</v>
      </c>
      <c r="D421" t="s">
        <v>625</v>
      </c>
      <c r="E421">
        <v>20</v>
      </c>
      <c r="F421">
        <v>33</v>
      </c>
      <c r="G421">
        <v>3</v>
      </c>
      <c r="H421">
        <v>40</v>
      </c>
      <c r="I421">
        <f>Cocina[[#This Row],[Precio Unitario]]*Cocina[[#This Row],[Cantidad Ordenada]]</f>
        <v>99</v>
      </c>
      <c r="J421">
        <f>(Cocina[[#This Row],[Precio Unitario]]-Cocina[[#This Row],[Costo Unitario]])*Cocina[[#This Row],[Cantidad Ordenada]]</f>
        <v>39</v>
      </c>
      <c r="K421" s="4">
        <f>Cocina[[#This Row],[Ganancia neta]]/_xlfn.XLOOKUP(Cocina[[#This Row],[Número de Orden]],Sala[Número de Orden],Sala[Monto total],"fracaso",0,1)</f>
        <v>0.1541501976284585</v>
      </c>
      <c r="L421" t="s">
        <v>607</v>
      </c>
    </row>
    <row r="422" spans="1:12" x14ac:dyDescent="0.25">
      <c r="A422">
        <v>160</v>
      </c>
      <c r="B422">
        <v>19</v>
      </c>
      <c r="C422" t="s">
        <v>73</v>
      </c>
      <c r="D422" t="s">
        <v>623</v>
      </c>
      <c r="E422">
        <v>22</v>
      </c>
      <c r="F422">
        <v>36</v>
      </c>
      <c r="G422">
        <v>3</v>
      </c>
      <c r="H422">
        <v>20</v>
      </c>
      <c r="I422">
        <f>Cocina[[#This Row],[Precio Unitario]]*Cocina[[#This Row],[Cantidad Ordenada]]</f>
        <v>108</v>
      </c>
      <c r="J422">
        <f>(Cocina[[#This Row],[Precio Unitario]]-Cocina[[#This Row],[Costo Unitario]])*Cocina[[#This Row],[Cantidad Ordenada]]</f>
        <v>42</v>
      </c>
      <c r="K422" s="4">
        <f>Cocina[[#This Row],[Ganancia neta]]/_xlfn.XLOOKUP(Cocina[[#This Row],[Número de Orden]],Sala[Número de Orden],Sala[Monto total],"fracaso",0,1)</f>
        <v>0.26923076923076922</v>
      </c>
      <c r="L422" t="s">
        <v>607</v>
      </c>
    </row>
    <row r="423" spans="1:12" x14ac:dyDescent="0.25">
      <c r="A423">
        <v>160</v>
      </c>
      <c r="B423">
        <v>19</v>
      </c>
      <c r="C423" t="s">
        <v>158</v>
      </c>
      <c r="D423" t="s">
        <v>617</v>
      </c>
      <c r="E423">
        <v>14</v>
      </c>
      <c r="F423">
        <v>24</v>
      </c>
      <c r="G423">
        <v>2</v>
      </c>
      <c r="H423">
        <v>47</v>
      </c>
      <c r="I423">
        <f>Cocina[[#This Row],[Precio Unitario]]*Cocina[[#This Row],[Cantidad Ordenada]]</f>
        <v>48</v>
      </c>
      <c r="J423">
        <f>(Cocina[[#This Row],[Precio Unitario]]-Cocina[[#This Row],[Costo Unitario]])*Cocina[[#This Row],[Cantidad Ordenada]]</f>
        <v>20</v>
      </c>
      <c r="K423" s="4">
        <f>Cocina[[#This Row],[Ganancia neta]]/_xlfn.XLOOKUP(Cocina[[#This Row],[Número de Orden]],Sala[Número de Orden],Sala[Monto total],"fracaso",0,1)</f>
        <v>0.12820512820512819</v>
      </c>
      <c r="L423" t="s">
        <v>607</v>
      </c>
    </row>
    <row r="424" spans="1:12" x14ac:dyDescent="0.25">
      <c r="A424">
        <v>161</v>
      </c>
      <c r="B424">
        <v>13</v>
      </c>
      <c r="C424" t="s">
        <v>42</v>
      </c>
      <c r="D424" t="s">
        <v>626</v>
      </c>
      <c r="E424">
        <v>16</v>
      </c>
      <c r="F424">
        <v>28</v>
      </c>
      <c r="G424">
        <v>3</v>
      </c>
      <c r="H424">
        <v>57</v>
      </c>
      <c r="I424">
        <f>Cocina[[#This Row],[Precio Unitario]]*Cocina[[#This Row],[Cantidad Ordenada]]</f>
        <v>84</v>
      </c>
      <c r="J424">
        <f>(Cocina[[#This Row],[Precio Unitario]]-Cocina[[#This Row],[Costo Unitario]])*Cocina[[#This Row],[Cantidad Ordenada]]</f>
        <v>36</v>
      </c>
      <c r="K424" s="4">
        <f>Cocina[[#This Row],[Ganancia neta]]/_xlfn.XLOOKUP(Cocina[[#This Row],[Número de Orden]],Sala[Número de Orden],Sala[Monto total],"fracaso",0,1)</f>
        <v>0.42857142857142855</v>
      </c>
      <c r="L424" t="s">
        <v>607</v>
      </c>
    </row>
    <row r="425" spans="1:12" x14ac:dyDescent="0.25">
      <c r="A425">
        <v>162</v>
      </c>
      <c r="B425">
        <v>14</v>
      </c>
      <c r="C425" t="s">
        <v>158</v>
      </c>
      <c r="D425" t="s">
        <v>617</v>
      </c>
      <c r="E425">
        <v>14</v>
      </c>
      <c r="F425">
        <v>24</v>
      </c>
      <c r="G425">
        <v>3</v>
      </c>
      <c r="H425">
        <v>25</v>
      </c>
      <c r="I425">
        <f>Cocina[[#This Row],[Precio Unitario]]*Cocina[[#This Row],[Cantidad Ordenada]]</f>
        <v>72</v>
      </c>
      <c r="J425">
        <f>(Cocina[[#This Row],[Precio Unitario]]-Cocina[[#This Row],[Costo Unitario]])*Cocina[[#This Row],[Cantidad Ordenada]]</f>
        <v>30</v>
      </c>
      <c r="K425" s="4">
        <f>Cocina[[#This Row],[Ganancia neta]]/_xlfn.XLOOKUP(Cocina[[#This Row],[Número de Orden]],Sala[Número de Orden],Sala[Monto total],"fracaso",0,1)</f>
        <v>0.41666666666666669</v>
      </c>
      <c r="L425" t="s">
        <v>607</v>
      </c>
    </row>
    <row r="426" spans="1:12" x14ac:dyDescent="0.25">
      <c r="A426">
        <v>163</v>
      </c>
      <c r="B426">
        <v>6</v>
      </c>
      <c r="C426" t="s">
        <v>116</v>
      </c>
      <c r="D426" t="s">
        <v>620</v>
      </c>
      <c r="E426">
        <v>19</v>
      </c>
      <c r="F426">
        <v>31</v>
      </c>
      <c r="G426">
        <v>3</v>
      </c>
      <c r="H426">
        <v>8</v>
      </c>
      <c r="I426">
        <f>Cocina[[#This Row],[Precio Unitario]]*Cocina[[#This Row],[Cantidad Ordenada]]</f>
        <v>93</v>
      </c>
      <c r="J426">
        <f>(Cocina[[#This Row],[Precio Unitario]]-Cocina[[#This Row],[Costo Unitario]])*Cocina[[#This Row],[Cantidad Ordenada]]</f>
        <v>36</v>
      </c>
      <c r="K426" s="4">
        <f>Cocina[[#This Row],[Ganancia neta]]/_xlfn.XLOOKUP(Cocina[[#This Row],[Número de Orden]],Sala[Número de Orden],Sala[Monto total],"fracaso",0,1)</f>
        <v>0.13284132841328414</v>
      </c>
      <c r="L426" t="s">
        <v>608</v>
      </c>
    </row>
    <row r="427" spans="1:12" x14ac:dyDescent="0.25">
      <c r="A427">
        <v>163</v>
      </c>
      <c r="B427">
        <v>6</v>
      </c>
      <c r="C427" t="s">
        <v>68</v>
      </c>
      <c r="D427" t="s">
        <v>619</v>
      </c>
      <c r="E427">
        <v>18</v>
      </c>
      <c r="F427">
        <v>30</v>
      </c>
      <c r="G427">
        <v>3</v>
      </c>
      <c r="H427">
        <v>16</v>
      </c>
      <c r="I427">
        <f>Cocina[[#This Row],[Precio Unitario]]*Cocina[[#This Row],[Cantidad Ordenada]]</f>
        <v>90</v>
      </c>
      <c r="J427">
        <f>(Cocina[[#This Row],[Precio Unitario]]-Cocina[[#This Row],[Costo Unitario]])*Cocina[[#This Row],[Cantidad Ordenada]]</f>
        <v>36</v>
      </c>
      <c r="K427" s="4">
        <f>Cocina[[#This Row],[Ganancia neta]]/_xlfn.XLOOKUP(Cocina[[#This Row],[Número de Orden]],Sala[Número de Orden],Sala[Monto total],"fracaso",0,1)</f>
        <v>0.13284132841328414</v>
      </c>
      <c r="L427" t="s">
        <v>608</v>
      </c>
    </row>
    <row r="428" spans="1:12" x14ac:dyDescent="0.25">
      <c r="A428">
        <v>163</v>
      </c>
      <c r="B428">
        <v>6</v>
      </c>
      <c r="C428" t="s">
        <v>261</v>
      </c>
      <c r="D428" t="s">
        <v>625</v>
      </c>
      <c r="E428">
        <v>20</v>
      </c>
      <c r="F428">
        <v>33</v>
      </c>
      <c r="G428">
        <v>2</v>
      </c>
      <c r="H428">
        <v>40</v>
      </c>
      <c r="I428">
        <f>Cocina[[#This Row],[Precio Unitario]]*Cocina[[#This Row],[Cantidad Ordenada]]</f>
        <v>66</v>
      </c>
      <c r="J428">
        <f>(Cocina[[#This Row],[Precio Unitario]]-Cocina[[#This Row],[Costo Unitario]])*Cocina[[#This Row],[Cantidad Ordenada]]</f>
        <v>26</v>
      </c>
      <c r="K428" s="4">
        <f>Cocina[[#This Row],[Ganancia neta]]/_xlfn.XLOOKUP(Cocina[[#This Row],[Número de Orden]],Sala[Número de Orden],Sala[Monto total],"fracaso",0,1)</f>
        <v>9.5940959409594101E-2</v>
      </c>
      <c r="L428" t="s">
        <v>608</v>
      </c>
    </row>
    <row r="429" spans="1:12" x14ac:dyDescent="0.25">
      <c r="A429">
        <v>163</v>
      </c>
      <c r="B429">
        <v>6</v>
      </c>
      <c r="C429" t="s">
        <v>203</v>
      </c>
      <c r="D429" t="s">
        <v>630</v>
      </c>
      <c r="E429">
        <v>13</v>
      </c>
      <c r="F429">
        <v>22</v>
      </c>
      <c r="G429">
        <v>1</v>
      </c>
      <c r="H429">
        <v>7</v>
      </c>
      <c r="I429">
        <f>Cocina[[#This Row],[Precio Unitario]]*Cocina[[#This Row],[Cantidad Ordenada]]</f>
        <v>22</v>
      </c>
      <c r="J429">
        <f>(Cocina[[#This Row],[Precio Unitario]]-Cocina[[#This Row],[Costo Unitario]])*Cocina[[#This Row],[Cantidad Ordenada]]</f>
        <v>9</v>
      </c>
      <c r="K429" s="4">
        <f>Cocina[[#This Row],[Ganancia neta]]/_xlfn.XLOOKUP(Cocina[[#This Row],[Número de Orden]],Sala[Número de Orden],Sala[Monto total],"fracaso",0,1)</f>
        <v>3.3210332103321034E-2</v>
      </c>
      <c r="L429" t="s">
        <v>607</v>
      </c>
    </row>
    <row r="430" spans="1:12" x14ac:dyDescent="0.25">
      <c r="A430">
        <v>164</v>
      </c>
      <c r="B430">
        <v>8</v>
      </c>
      <c r="C430" t="s">
        <v>203</v>
      </c>
      <c r="D430" t="s">
        <v>630</v>
      </c>
      <c r="E430">
        <v>13</v>
      </c>
      <c r="F430">
        <v>22</v>
      </c>
      <c r="G430">
        <v>1</v>
      </c>
      <c r="H430">
        <v>43</v>
      </c>
      <c r="I430">
        <f>Cocina[[#This Row],[Precio Unitario]]*Cocina[[#This Row],[Cantidad Ordenada]]</f>
        <v>22</v>
      </c>
      <c r="J430">
        <f>(Cocina[[#This Row],[Precio Unitario]]-Cocina[[#This Row],[Costo Unitario]])*Cocina[[#This Row],[Cantidad Ordenada]]</f>
        <v>9</v>
      </c>
      <c r="K430" s="4">
        <f>Cocina[[#This Row],[Ganancia neta]]/_xlfn.XLOOKUP(Cocina[[#This Row],[Número de Orden]],Sala[Número de Orden],Sala[Monto total],"fracaso",0,1)</f>
        <v>5.2941176470588235E-2</v>
      </c>
      <c r="L430" t="s">
        <v>608</v>
      </c>
    </row>
    <row r="431" spans="1:12" x14ac:dyDescent="0.25">
      <c r="A431">
        <v>164</v>
      </c>
      <c r="B431">
        <v>8</v>
      </c>
      <c r="C431" t="s">
        <v>73</v>
      </c>
      <c r="D431" t="s">
        <v>623</v>
      </c>
      <c r="E431">
        <v>22</v>
      </c>
      <c r="F431">
        <v>36</v>
      </c>
      <c r="G431">
        <v>1</v>
      </c>
      <c r="H431">
        <v>7</v>
      </c>
      <c r="I431">
        <f>Cocina[[#This Row],[Precio Unitario]]*Cocina[[#This Row],[Cantidad Ordenada]]</f>
        <v>36</v>
      </c>
      <c r="J431">
        <f>(Cocina[[#This Row],[Precio Unitario]]-Cocina[[#This Row],[Costo Unitario]])*Cocina[[#This Row],[Cantidad Ordenada]]</f>
        <v>14</v>
      </c>
      <c r="K431" s="4">
        <f>Cocina[[#This Row],[Ganancia neta]]/_xlfn.XLOOKUP(Cocina[[#This Row],[Número de Orden]],Sala[Número de Orden],Sala[Monto total],"fracaso",0,1)</f>
        <v>8.2352941176470587E-2</v>
      </c>
      <c r="L431" t="s">
        <v>607</v>
      </c>
    </row>
    <row r="432" spans="1:12" x14ac:dyDescent="0.25">
      <c r="A432">
        <v>164</v>
      </c>
      <c r="B432">
        <v>8</v>
      </c>
      <c r="C432" t="s">
        <v>247</v>
      </c>
      <c r="D432" t="s">
        <v>629</v>
      </c>
      <c r="E432">
        <v>19</v>
      </c>
      <c r="F432">
        <v>32</v>
      </c>
      <c r="G432">
        <v>2</v>
      </c>
      <c r="H432">
        <v>20</v>
      </c>
      <c r="I432">
        <f>Cocina[[#This Row],[Precio Unitario]]*Cocina[[#This Row],[Cantidad Ordenada]]</f>
        <v>64</v>
      </c>
      <c r="J432">
        <f>(Cocina[[#This Row],[Precio Unitario]]-Cocina[[#This Row],[Costo Unitario]])*Cocina[[#This Row],[Cantidad Ordenada]]</f>
        <v>26</v>
      </c>
      <c r="K432" s="4">
        <f>Cocina[[#This Row],[Ganancia neta]]/_xlfn.XLOOKUP(Cocina[[#This Row],[Número de Orden]],Sala[Número de Orden],Sala[Monto total],"fracaso",0,1)</f>
        <v>0.15294117647058825</v>
      </c>
      <c r="L432" t="s">
        <v>607</v>
      </c>
    </row>
    <row r="433" spans="1:12" x14ac:dyDescent="0.25">
      <c r="A433">
        <v>164</v>
      </c>
      <c r="B433">
        <v>8</v>
      </c>
      <c r="C433" t="s">
        <v>158</v>
      </c>
      <c r="D433" t="s">
        <v>617</v>
      </c>
      <c r="E433">
        <v>14</v>
      </c>
      <c r="F433">
        <v>24</v>
      </c>
      <c r="G433">
        <v>2</v>
      </c>
      <c r="H433">
        <v>35</v>
      </c>
      <c r="I433">
        <f>Cocina[[#This Row],[Precio Unitario]]*Cocina[[#This Row],[Cantidad Ordenada]]</f>
        <v>48</v>
      </c>
      <c r="J433">
        <f>(Cocina[[#This Row],[Precio Unitario]]-Cocina[[#This Row],[Costo Unitario]])*Cocina[[#This Row],[Cantidad Ordenada]]</f>
        <v>20</v>
      </c>
      <c r="K433" s="4">
        <f>Cocina[[#This Row],[Ganancia neta]]/_xlfn.XLOOKUP(Cocina[[#This Row],[Número de Orden]],Sala[Número de Orden],Sala[Monto total],"fracaso",0,1)</f>
        <v>0.11764705882352941</v>
      </c>
      <c r="L433" t="s">
        <v>607</v>
      </c>
    </row>
    <row r="434" spans="1:12" x14ac:dyDescent="0.25">
      <c r="A434">
        <v>165</v>
      </c>
      <c r="B434">
        <v>10</v>
      </c>
      <c r="C434" t="s">
        <v>158</v>
      </c>
      <c r="D434" t="s">
        <v>617</v>
      </c>
      <c r="E434">
        <v>14</v>
      </c>
      <c r="F434">
        <v>24</v>
      </c>
      <c r="G434">
        <v>2</v>
      </c>
      <c r="H434">
        <v>15</v>
      </c>
      <c r="I434">
        <f>Cocina[[#This Row],[Precio Unitario]]*Cocina[[#This Row],[Cantidad Ordenada]]</f>
        <v>48</v>
      </c>
      <c r="J434">
        <f>(Cocina[[#This Row],[Precio Unitario]]-Cocina[[#This Row],[Costo Unitario]])*Cocina[[#This Row],[Cantidad Ordenada]]</f>
        <v>20</v>
      </c>
      <c r="K434" s="4">
        <f>Cocina[[#This Row],[Ganancia neta]]/_xlfn.XLOOKUP(Cocina[[#This Row],[Número de Orden]],Sala[Número de Orden],Sala[Monto total],"fracaso",0,1)</f>
        <v>0.22222222222222221</v>
      </c>
      <c r="L434" t="s">
        <v>608</v>
      </c>
    </row>
    <row r="435" spans="1:12" x14ac:dyDescent="0.25">
      <c r="A435">
        <v>165</v>
      </c>
      <c r="B435">
        <v>10</v>
      </c>
      <c r="C435" t="s">
        <v>70</v>
      </c>
      <c r="D435" t="s">
        <v>634</v>
      </c>
      <c r="E435">
        <v>13</v>
      </c>
      <c r="F435">
        <v>21</v>
      </c>
      <c r="G435">
        <v>2</v>
      </c>
      <c r="H435">
        <v>41</v>
      </c>
      <c r="I435">
        <f>Cocina[[#This Row],[Precio Unitario]]*Cocina[[#This Row],[Cantidad Ordenada]]</f>
        <v>42</v>
      </c>
      <c r="J435">
        <f>(Cocina[[#This Row],[Precio Unitario]]-Cocina[[#This Row],[Costo Unitario]])*Cocina[[#This Row],[Cantidad Ordenada]]</f>
        <v>16</v>
      </c>
      <c r="K435" s="4">
        <f>Cocina[[#This Row],[Ganancia neta]]/_xlfn.XLOOKUP(Cocina[[#This Row],[Número de Orden]],Sala[Número de Orden],Sala[Monto total],"fracaso",0,1)</f>
        <v>0.17777777777777778</v>
      </c>
      <c r="L435" t="s">
        <v>607</v>
      </c>
    </row>
    <row r="436" spans="1:12" x14ac:dyDescent="0.25">
      <c r="A436">
        <v>166</v>
      </c>
      <c r="B436">
        <v>12</v>
      </c>
      <c r="C436" t="s">
        <v>200</v>
      </c>
      <c r="D436" t="s">
        <v>633</v>
      </c>
      <c r="E436">
        <v>14</v>
      </c>
      <c r="F436">
        <v>23</v>
      </c>
      <c r="G436">
        <v>2</v>
      </c>
      <c r="H436">
        <v>22</v>
      </c>
      <c r="I436">
        <f>Cocina[[#This Row],[Precio Unitario]]*Cocina[[#This Row],[Cantidad Ordenada]]</f>
        <v>46</v>
      </c>
      <c r="J436">
        <f>(Cocina[[#This Row],[Precio Unitario]]-Cocina[[#This Row],[Costo Unitario]])*Cocina[[#This Row],[Cantidad Ordenada]]</f>
        <v>18</v>
      </c>
      <c r="K436" s="4">
        <f>Cocina[[#This Row],[Ganancia neta]]/_xlfn.XLOOKUP(Cocina[[#This Row],[Número de Orden]],Sala[Número de Orden],Sala[Monto total],"fracaso",0,1)</f>
        <v>0.39130434782608697</v>
      </c>
      <c r="L436" t="s">
        <v>608</v>
      </c>
    </row>
    <row r="437" spans="1:12" x14ac:dyDescent="0.25">
      <c r="A437">
        <v>167</v>
      </c>
      <c r="B437">
        <v>5</v>
      </c>
      <c r="C437" t="s">
        <v>112</v>
      </c>
      <c r="D437" t="s">
        <v>627</v>
      </c>
      <c r="E437">
        <v>11</v>
      </c>
      <c r="F437">
        <v>19</v>
      </c>
      <c r="G437">
        <v>1</v>
      </c>
      <c r="H437">
        <v>29</v>
      </c>
      <c r="I437">
        <f>Cocina[[#This Row],[Precio Unitario]]*Cocina[[#This Row],[Cantidad Ordenada]]</f>
        <v>19</v>
      </c>
      <c r="J437">
        <f>(Cocina[[#This Row],[Precio Unitario]]-Cocina[[#This Row],[Costo Unitario]])*Cocina[[#This Row],[Cantidad Ordenada]]</f>
        <v>8</v>
      </c>
      <c r="K437" s="4">
        <f>Cocina[[#This Row],[Ganancia neta]]/_xlfn.XLOOKUP(Cocina[[#This Row],[Número de Orden]],Sala[Número de Orden],Sala[Monto total],"fracaso",0,1)</f>
        <v>5.2631578947368418E-2</v>
      </c>
      <c r="L437" t="s">
        <v>607</v>
      </c>
    </row>
    <row r="438" spans="1:12" x14ac:dyDescent="0.25">
      <c r="A438">
        <v>167</v>
      </c>
      <c r="B438">
        <v>5</v>
      </c>
      <c r="C438" t="s">
        <v>55</v>
      </c>
      <c r="D438" t="s">
        <v>631</v>
      </c>
      <c r="E438">
        <v>20</v>
      </c>
      <c r="F438">
        <v>34</v>
      </c>
      <c r="G438">
        <v>3</v>
      </c>
      <c r="H438">
        <v>11</v>
      </c>
      <c r="I438">
        <f>Cocina[[#This Row],[Precio Unitario]]*Cocina[[#This Row],[Cantidad Ordenada]]</f>
        <v>102</v>
      </c>
      <c r="J438">
        <f>(Cocina[[#This Row],[Precio Unitario]]-Cocina[[#This Row],[Costo Unitario]])*Cocina[[#This Row],[Cantidad Ordenada]]</f>
        <v>42</v>
      </c>
      <c r="K438" s="4">
        <f>Cocina[[#This Row],[Ganancia neta]]/_xlfn.XLOOKUP(Cocina[[#This Row],[Número de Orden]],Sala[Número de Orden],Sala[Monto total],"fracaso",0,1)</f>
        <v>0.27631578947368424</v>
      </c>
      <c r="L438" t="s">
        <v>607</v>
      </c>
    </row>
    <row r="439" spans="1:12" x14ac:dyDescent="0.25">
      <c r="A439">
        <v>167</v>
      </c>
      <c r="B439">
        <v>5</v>
      </c>
      <c r="C439" t="s">
        <v>116</v>
      </c>
      <c r="D439" t="s">
        <v>620</v>
      </c>
      <c r="E439">
        <v>19</v>
      </c>
      <c r="F439">
        <v>31</v>
      </c>
      <c r="G439">
        <v>1</v>
      </c>
      <c r="H439">
        <v>36</v>
      </c>
      <c r="I439">
        <f>Cocina[[#This Row],[Precio Unitario]]*Cocina[[#This Row],[Cantidad Ordenada]]</f>
        <v>31</v>
      </c>
      <c r="J439">
        <f>(Cocina[[#This Row],[Precio Unitario]]-Cocina[[#This Row],[Costo Unitario]])*Cocina[[#This Row],[Cantidad Ordenada]]</f>
        <v>12</v>
      </c>
      <c r="K439" s="4">
        <f>Cocina[[#This Row],[Ganancia neta]]/_xlfn.XLOOKUP(Cocina[[#This Row],[Número de Orden]],Sala[Número de Orden],Sala[Monto total],"fracaso",0,1)</f>
        <v>7.8947368421052627E-2</v>
      </c>
      <c r="L439" t="s">
        <v>608</v>
      </c>
    </row>
    <row r="440" spans="1:12" x14ac:dyDescent="0.25">
      <c r="A440">
        <v>168</v>
      </c>
      <c r="B440">
        <v>17</v>
      </c>
      <c r="C440" t="s">
        <v>203</v>
      </c>
      <c r="D440" t="s">
        <v>630</v>
      </c>
      <c r="E440">
        <v>13</v>
      </c>
      <c r="F440">
        <v>22</v>
      </c>
      <c r="G440">
        <v>2</v>
      </c>
      <c r="H440">
        <v>7</v>
      </c>
      <c r="I440">
        <f>Cocina[[#This Row],[Precio Unitario]]*Cocina[[#This Row],[Cantidad Ordenada]]</f>
        <v>44</v>
      </c>
      <c r="J440">
        <f>(Cocina[[#This Row],[Precio Unitario]]-Cocina[[#This Row],[Costo Unitario]])*Cocina[[#This Row],[Cantidad Ordenada]]</f>
        <v>18</v>
      </c>
      <c r="K440" s="4">
        <f>Cocina[[#This Row],[Ganancia neta]]/_xlfn.XLOOKUP(Cocina[[#This Row],[Número de Orden]],Sala[Número de Orden],Sala[Monto total],"fracaso",0,1)</f>
        <v>0.40909090909090912</v>
      </c>
      <c r="L440" t="s">
        <v>608</v>
      </c>
    </row>
    <row r="441" spans="1:12" x14ac:dyDescent="0.25">
      <c r="A441">
        <v>169</v>
      </c>
      <c r="B441">
        <v>19</v>
      </c>
      <c r="C441" t="s">
        <v>70</v>
      </c>
      <c r="D441" t="s">
        <v>634</v>
      </c>
      <c r="E441">
        <v>13</v>
      </c>
      <c r="F441">
        <v>21</v>
      </c>
      <c r="G441">
        <v>2</v>
      </c>
      <c r="H441">
        <v>44</v>
      </c>
      <c r="I441">
        <f>Cocina[[#This Row],[Precio Unitario]]*Cocina[[#This Row],[Cantidad Ordenada]]</f>
        <v>42</v>
      </c>
      <c r="J441">
        <f>(Cocina[[#This Row],[Precio Unitario]]-Cocina[[#This Row],[Costo Unitario]])*Cocina[[#This Row],[Cantidad Ordenada]]</f>
        <v>16</v>
      </c>
      <c r="K441" s="4">
        <f>Cocina[[#This Row],[Ganancia neta]]/_xlfn.XLOOKUP(Cocina[[#This Row],[Número de Orden]],Sala[Número de Orden],Sala[Monto total],"fracaso",0,1)</f>
        <v>0.1038961038961039</v>
      </c>
      <c r="L441" t="s">
        <v>608</v>
      </c>
    </row>
    <row r="442" spans="1:12" x14ac:dyDescent="0.25">
      <c r="A442">
        <v>169</v>
      </c>
      <c r="B442">
        <v>19</v>
      </c>
      <c r="C442" t="s">
        <v>55</v>
      </c>
      <c r="D442" t="s">
        <v>631</v>
      </c>
      <c r="E442">
        <v>20</v>
      </c>
      <c r="F442">
        <v>34</v>
      </c>
      <c r="G442">
        <v>2</v>
      </c>
      <c r="H442">
        <v>59</v>
      </c>
      <c r="I442">
        <f>Cocina[[#This Row],[Precio Unitario]]*Cocina[[#This Row],[Cantidad Ordenada]]</f>
        <v>68</v>
      </c>
      <c r="J442">
        <f>(Cocina[[#This Row],[Precio Unitario]]-Cocina[[#This Row],[Costo Unitario]])*Cocina[[#This Row],[Cantidad Ordenada]]</f>
        <v>28</v>
      </c>
      <c r="K442" s="4">
        <f>Cocina[[#This Row],[Ganancia neta]]/_xlfn.XLOOKUP(Cocina[[#This Row],[Número de Orden]],Sala[Número de Orden],Sala[Monto total],"fracaso",0,1)</f>
        <v>0.18181818181818182</v>
      </c>
      <c r="L442" t="s">
        <v>608</v>
      </c>
    </row>
    <row r="443" spans="1:12" x14ac:dyDescent="0.25">
      <c r="A443">
        <v>169</v>
      </c>
      <c r="B443">
        <v>19</v>
      </c>
      <c r="C443" t="s">
        <v>203</v>
      </c>
      <c r="D443" t="s">
        <v>630</v>
      </c>
      <c r="E443">
        <v>13</v>
      </c>
      <c r="F443">
        <v>22</v>
      </c>
      <c r="G443">
        <v>2</v>
      </c>
      <c r="H443">
        <v>7</v>
      </c>
      <c r="I443">
        <f>Cocina[[#This Row],[Precio Unitario]]*Cocina[[#This Row],[Cantidad Ordenada]]</f>
        <v>44</v>
      </c>
      <c r="J443">
        <f>(Cocina[[#This Row],[Precio Unitario]]-Cocina[[#This Row],[Costo Unitario]])*Cocina[[#This Row],[Cantidad Ordenada]]</f>
        <v>18</v>
      </c>
      <c r="K443" s="4">
        <f>Cocina[[#This Row],[Ganancia neta]]/_xlfn.XLOOKUP(Cocina[[#This Row],[Número de Orden]],Sala[Número de Orden],Sala[Monto total],"fracaso",0,1)</f>
        <v>0.11688311688311688</v>
      </c>
      <c r="L443" t="s">
        <v>607</v>
      </c>
    </row>
    <row r="444" spans="1:12" x14ac:dyDescent="0.25">
      <c r="A444">
        <v>170</v>
      </c>
      <c r="B444">
        <v>12</v>
      </c>
      <c r="C444" t="s">
        <v>146</v>
      </c>
      <c r="D444" t="s">
        <v>632</v>
      </c>
      <c r="E444">
        <v>12</v>
      </c>
      <c r="F444">
        <v>20</v>
      </c>
      <c r="G444">
        <v>3</v>
      </c>
      <c r="H444">
        <v>16</v>
      </c>
      <c r="I444">
        <f>Cocina[[#This Row],[Precio Unitario]]*Cocina[[#This Row],[Cantidad Ordenada]]</f>
        <v>60</v>
      </c>
      <c r="J444">
        <f>(Cocina[[#This Row],[Precio Unitario]]-Cocina[[#This Row],[Costo Unitario]])*Cocina[[#This Row],[Cantidad Ordenada]]</f>
        <v>24</v>
      </c>
      <c r="K444" s="4">
        <f>Cocina[[#This Row],[Ganancia neta]]/_xlfn.XLOOKUP(Cocina[[#This Row],[Número de Orden]],Sala[Número de Orden],Sala[Monto total],"fracaso",0,1)</f>
        <v>9.8765432098765427E-2</v>
      </c>
      <c r="L444" t="s">
        <v>607</v>
      </c>
    </row>
    <row r="445" spans="1:12" x14ac:dyDescent="0.25">
      <c r="A445">
        <v>170</v>
      </c>
      <c r="B445">
        <v>12</v>
      </c>
      <c r="C445" t="s">
        <v>38</v>
      </c>
      <c r="D445" t="s">
        <v>624</v>
      </c>
      <c r="E445">
        <v>17</v>
      </c>
      <c r="F445">
        <v>29</v>
      </c>
      <c r="G445">
        <v>3</v>
      </c>
      <c r="H445">
        <v>16</v>
      </c>
      <c r="I445">
        <f>Cocina[[#This Row],[Precio Unitario]]*Cocina[[#This Row],[Cantidad Ordenada]]</f>
        <v>87</v>
      </c>
      <c r="J445">
        <f>(Cocina[[#This Row],[Precio Unitario]]-Cocina[[#This Row],[Costo Unitario]])*Cocina[[#This Row],[Cantidad Ordenada]]</f>
        <v>36</v>
      </c>
      <c r="K445" s="4">
        <f>Cocina[[#This Row],[Ganancia neta]]/_xlfn.XLOOKUP(Cocina[[#This Row],[Número de Orden]],Sala[Número de Orden],Sala[Monto total],"fracaso",0,1)</f>
        <v>0.14814814814814814</v>
      </c>
      <c r="L445" t="s">
        <v>607</v>
      </c>
    </row>
    <row r="446" spans="1:12" x14ac:dyDescent="0.25">
      <c r="A446">
        <v>170</v>
      </c>
      <c r="B446">
        <v>12</v>
      </c>
      <c r="C446" t="s">
        <v>73</v>
      </c>
      <c r="D446" t="s">
        <v>623</v>
      </c>
      <c r="E446">
        <v>22</v>
      </c>
      <c r="F446">
        <v>36</v>
      </c>
      <c r="G446">
        <v>1</v>
      </c>
      <c r="H446">
        <v>33</v>
      </c>
      <c r="I446">
        <f>Cocina[[#This Row],[Precio Unitario]]*Cocina[[#This Row],[Cantidad Ordenada]]</f>
        <v>36</v>
      </c>
      <c r="J446">
        <f>(Cocina[[#This Row],[Precio Unitario]]-Cocina[[#This Row],[Costo Unitario]])*Cocina[[#This Row],[Cantidad Ordenada]]</f>
        <v>14</v>
      </c>
      <c r="K446" s="4">
        <f>Cocina[[#This Row],[Ganancia neta]]/_xlfn.XLOOKUP(Cocina[[#This Row],[Número de Orden]],Sala[Número de Orden],Sala[Monto total],"fracaso",0,1)</f>
        <v>5.7613168724279837E-2</v>
      </c>
      <c r="L446" t="s">
        <v>608</v>
      </c>
    </row>
    <row r="447" spans="1:12" x14ac:dyDescent="0.25">
      <c r="A447">
        <v>170</v>
      </c>
      <c r="B447">
        <v>12</v>
      </c>
      <c r="C447" t="s">
        <v>68</v>
      </c>
      <c r="D447" t="s">
        <v>619</v>
      </c>
      <c r="E447">
        <v>18</v>
      </c>
      <c r="F447">
        <v>30</v>
      </c>
      <c r="G447">
        <v>2</v>
      </c>
      <c r="H447">
        <v>8</v>
      </c>
      <c r="I447">
        <f>Cocina[[#This Row],[Precio Unitario]]*Cocina[[#This Row],[Cantidad Ordenada]]</f>
        <v>60</v>
      </c>
      <c r="J447">
        <f>(Cocina[[#This Row],[Precio Unitario]]-Cocina[[#This Row],[Costo Unitario]])*Cocina[[#This Row],[Cantidad Ordenada]]</f>
        <v>24</v>
      </c>
      <c r="K447" s="4">
        <f>Cocina[[#This Row],[Ganancia neta]]/_xlfn.XLOOKUP(Cocina[[#This Row],[Número de Orden]],Sala[Número de Orden],Sala[Monto total],"fracaso",0,1)</f>
        <v>9.8765432098765427E-2</v>
      </c>
      <c r="L447" t="s">
        <v>608</v>
      </c>
    </row>
    <row r="448" spans="1:12" x14ac:dyDescent="0.25">
      <c r="A448">
        <v>171</v>
      </c>
      <c r="B448">
        <v>16</v>
      </c>
      <c r="C448" t="s">
        <v>155</v>
      </c>
      <c r="D448" t="s">
        <v>636</v>
      </c>
      <c r="E448">
        <v>15</v>
      </c>
      <c r="F448">
        <v>26</v>
      </c>
      <c r="G448">
        <v>2</v>
      </c>
      <c r="H448">
        <v>29</v>
      </c>
      <c r="I448">
        <f>Cocina[[#This Row],[Precio Unitario]]*Cocina[[#This Row],[Cantidad Ordenada]]</f>
        <v>52</v>
      </c>
      <c r="J448">
        <f>(Cocina[[#This Row],[Precio Unitario]]-Cocina[[#This Row],[Costo Unitario]])*Cocina[[#This Row],[Cantidad Ordenada]]</f>
        <v>22</v>
      </c>
      <c r="K448" s="4">
        <f>Cocina[[#This Row],[Ganancia neta]]/_xlfn.XLOOKUP(Cocina[[#This Row],[Número de Orden]],Sala[Número de Orden],Sala[Monto total],"fracaso",0,1)</f>
        <v>0.15827338129496402</v>
      </c>
      <c r="L448" t="s">
        <v>607</v>
      </c>
    </row>
    <row r="449" spans="1:12" x14ac:dyDescent="0.25">
      <c r="A449">
        <v>171</v>
      </c>
      <c r="B449">
        <v>16</v>
      </c>
      <c r="C449" t="s">
        <v>38</v>
      </c>
      <c r="D449" t="s">
        <v>624</v>
      </c>
      <c r="E449">
        <v>17</v>
      </c>
      <c r="F449">
        <v>29</v>
      </c>
      <c r="G449">
        <v>3</v>
      </c>
      <c r="H449">
        <v>22</v>
      </c>
      <c r="I449">
        <f>Cocina[[#This Row],[Precio Unitario]]*Cocina[[#This Row],[Cantidad Ordenada]]</f>
        <v>87</v>
      </c>
      <c r="J449">
        <f>(Cocina[[#This Row],[Precio Unitario]]-Cocina[[#This Row],[Costo Unitario]])*Cocina[[#This Row],[Cantidad Ordenada]]</f>
        <v>36</v>
      </c>
      <c r="K449" s="4">
        <f>Cocina[[#This Row],[Ganancia neta]]/_xlfn.XLOOKUP(Cocina[[#This Row],[Número de Orden]],Sala[Número de Orden],Sala[Monto total],"fracaso",0,1)</f>
        <v>0.25899280575539568</v>
      </c>
      <c r="L449" t="s">
        <v>608</v>
      </c>
    </row>
    <row r="450" spans="1:12" x14ac:dyDescent="0.25">
      <c r="A450">
        <v>172</v>
      </c>
      <c r="B450">
        <v>12</v>
      </c>
      <c r="C450" t="s">
        <v>55</v>
      </c>
      <c r="D450" t="s">
        <v>631</v>
      </c>
      <c r="E450">
        <v>20</v>
      </c>
      <c r="F450">
        <v>34</v>
      </c>
      <c r="G450">
        <v>2</v>
      </c>
      <c r="H450">
        <v>27</v>
      </c>
      <c r="I450">
        <f>Cocina[[#This Row],[Precio Unitario]]*Cocina[[#This Row],[Cantidad Ordenada]]</f>
        <v>68</v>
      </c>
      <c r="J450">
        <f>(Cocina[[#This Row],[Precio Unitario]]-Cocina[[#This Row],[Costo Unitario]])*Cocina[[#This Row],[Cantidad Ordenada]]</f>
        <v>28</v>
      </c>
      <c r="K450" s="4">
        <f>Cocina[[#This Row],[Ganancia neta]]/_xlfn.XLOOKUP(Cocina[[#This Row],[Número de Orden]],Sala[Número de Orden],Sala[Monto total],"fracaso",0,1)</f>
        <v>0.41176470588235292</v>
      </c>
      <c r="L450" t="s">
        <v>608</v>
      </c>
    </row>
    <row r="451" spans="1:12" x14ac:dyDescent="0.25">
      <c r="A451">
        <v>173</v>
      </c>
      <c r="B451">
        <v>11</v>
      </c>
      <c r="C451" t="s">
        <v>106</v>
      </c>
      <c r="D451" t="s">
        <v>621</v>
      </c>
      <c r="E451">
        <v>16</v>
      </c>
      <c r="F451">
        <v>27</v>
      </c>
      <c r="G451">
        <v>3</v>
      </c>
      <c r="H451">
        <v>15</v>
      </c>
      <c r="I451">
        <f>Cocina[[#This Row],[Precio Unitario]]*Cocina[[#This Row],[Cantidad Ordenada]]</f>
        <v>81</v>
      </c>
      <c r="J451">
        <f>(Cocina[[#This Row],[Precio Unitario]]-Cocina[[#This Row],[Costo Unitario]])*Cocina[[#This Row],[Cantidad Ordenada]]</f>
        <v>33</v>
      </c>
      <c r="K451" s="4">
        <f>Cocina[[#This Row],[Ganancia neta]]/_xlfn.XLOOKUP(Cocina[[#This Row],[Número de Orden]],Sala[Número de Orden],Sala[Monto total],"fracaso",0,1)</f>
        <v>0.1864406779661017</v>
      </c>
      <c r="L451" t="s">
        <v>608</v>
      </c>
    </row>
    <row r="452" spans="1:12" x14ac:dyDescent="0.25">
      <c r="A452">
        <v>173</v>
      </c>
      <c r="B452">
        <v>11</v>
      </c>
      <c r="C452" t="s">
        <v>247</v>
      </c>
      <c r="D452" t="s">
        <v>629</v>
      </c>
      <c r="E452">
        <v>19</v>
      </c>
      <c r="F452">
        <v>32</v>
      </c>
      <c r="G452">
        <v>3</v>
      </c>
      <c r="H452">
        <v>52</v>
      </c>
      <c r="I452">
        <f>Cocina[[#This Row],[Precio Unitario]]*Cocina[[#This Row],[Cantidad Ordenada]]</f>
        <v>96</v>
      </c>
      <c r="J452">
        <f>(Cocina[[#This Row],[Precio Unitario]]-Cocina[[#This Row],[Costo Unitario]])*Cocina[[#This Row],[Cantidad Ordenada]]</f>
        <v>39</v>
      </c>
      <c r="K452" s="4">
        <f>Cocina[[#This Row],[Ganancia neta]]/_xlfn.XLOOKUP(Cocina[[#This Row],[Número de Orden]],Sala[Número de Orden],Sala[Monto total],"fracaso",0,1)</f>
        <v>0.22033898305084745</v>
      </c>
      <c r="L452" t="s">
        <v>608</v>
      </c>
    </row>
    <row r="453" spans="1:12" x14ac:dyDescent="0.25">
      <c r="A453">
        <v>174</v>
      </c>
      <c r="B453">
        <v>10</v>
      </c>
      <c r="C453" t="s">
        <v>68</v>
      </c>
      <c r="D453" t="s">
        <v>619</v>
      </c>
      <c r="E453">
        <v>18</v>
      </c>
      <c r="F453">
        <v>30</v>
      </c>
      <c r="G453">
        <v>2</v>
      </c>
      <c r="H453">
        <v>12</v>
      </c>
      <c r="I453">
        <f>Cocina[[#This Row],[Precio Unitario]]*Cocina[[#This Row],[Cantidad Ordenada]]</f>
        <v>60</v>
      </c>
      <c r="J453">
        <f>(Cocina[[#This Row],[Precio Unitario]]-Cocina[[#This Row],[Costo Unitario]])*Cocina[[#This Row],[Cantidad Ordenada]]</f>
        <v>24</v>
      </c>
      <c r="K453" s="4">
        <f>Cocina[[#This Row],[Ganancia neta]]/_xlfn.XLOOKUP(Cocina[[#This Row],[Número de Orden]],Sala[Número de Orden],Sala[Monto total],"fracaso",0,1)</f>
        <v>0.4</v>
      </c>
      <c r="L453" t="s">
        <v>608</v>
      </c>
    </row>
    <row r="454" spans="1:12" x14ac:dyDescent="0.25">
      <c r="A454">
        <v>175</v>
      </c>
      <c r="B454">
        <v>14</v>
      </c>
      <c r="C454" t="s">
        <v>247</v>
      </c>
      <c r="D454" t="s">
        <v>629</v>
      </c>
      <c r="E454">
        <v>19</v>
      </c>
      <c r="F454">
        <v>32</v>
      </c>
      <c r="G454">
        <v>3</v>
      </c>
      <c r="H454">
        <v>9</v>
      </c>
      <c r="I454">
        <f>Cocina[[#This Row],[Precio Unitario]]*Cocina[[#This Row],[Cantidad Ordenada]]</f>
        <v>96</v>
      </c>
      <c r="J454">
        <f>(Cocina[[#This Row],[Precio Unitario]]-Cocina[[#This Row],[Costo Unitario]])*Cocina[[#This Row],[Cantidad Ordenada]]</f>
        <v>39</v>
      </c>
      <c r="K454" s="4">
        <f>Cocina[[#This Row],[Ganancia neta]]/_xlfn.XLOOKUP(Cocina[[#This Row],[Número de Orden]],Sala[Número de Orden],Sala[Monto total],"fracaso",0,1)</f>
        <v>0.27083333333333331</v>
      </c>
      <c r="L454" t="s">
        <v>608</v>
      </c>
    </row>
    <row r="455" spans="1:12" x14ac:dyDescent="0.25">
      <c r="A455">
        <v>175</v>
      </c>
      <c r="B455">
        <v>14</v>
      </c>
      <c r="C455" t="s">
        <v>158</v>
      </c>
      <c r="D455" t="s">
        <v>617</v>
      </c>
      <c r="E455">
        <v>14</v>
      </c>
      <c r="F455">
        <v>24</v>
      </c>
      <c r="G455">
        <v>2</v>
      </c>
      <c r="H455">
        <v>38</v>
      </c>
      <c r="I455">
        <f>Cocina[[#This Row],[Precio Unitario]]*Cocina[[#This Row],[Cantidad Ordenada]]</f>
        <v>48</v>
      </c>
      <c r="J455">
        <f>(Cocina[[#This Row],[Precio Unitario]]-Cocina[[#This Row],[Costo Unitario]])*Cocina[[#This Row],[Cantidad Ordenada]]</f>
        <v>20</v>
      </c>
      <c r="K455" s="4">
        <f>Cocina[[#This Row],[Ganancia neta]]/_xlfn.XLOOKUP(Cocina[[#This Row],[Número de Orden]],Sala[Número de Orden],Sala[Monto total],"fracaso",0,1)</f>
        <v>0.1388888888888889</v>
      </c>
      <c r="L455" t="s">
        <v>607</v>
      </c>
    </row>
    <row r="456" spans="1:12" x14ac:dyDescent="0.25">
      <c r="A456">
        <v>176</v>
      </c>
      <c r="B456">
        <v>20</v>
      </c>
      <c r="C456" t="s">
        <v>70</v>
      </c>
      <c r="D456" t="s">
        <v>634</v>
      </c>
      <c r="E456">
        <v>13</v>
      </c>
      <c r="F456">
        <v>21</v>
      </c>
      <c r="G456">
        <v>3</v>
      </c>
      <c r="H456">
        <v>48</v>
      </c>
      <c r="I456">
        <f>Cocina[[#This Row],[Precio Unitario]]*Cocina[[#This Row],[Cantidad Ordenada]]</f>
        <v>63</v>
      </c>
      <c r="J456">
        <f>(Cocina[[#This Row],[Precio Unitario]]-Cocina[[#This Row],[Costo Unitario]])*Cocina[[#This Row],[Cantidad Ordenada]]</f>
        <v>24</v>
      </c>
      <c r="K456" s="4">
        <f>Cocina[[#This Row],[Ganancia neta]]/_xlfn.XLOOKUP(Cocina[[#This Row],[Número de Orden]],Sala[Número de Orden],Sala[Monto total],"fracaso",0,1)</f>
        <v>0.38095238095238093</v>
      </c>
      <c r="L456" t="s">
        <v>608</v>
      </c>
    </row>
    <row r="457" spans="1:12" x14ac:dyDescent="0.25">
      <c r="A457">
        <v>177</v>
      </c>
      <c r="B457">
        <v>4</v>
      </c>
      <c r="C457" t="s">
        <v>158</v>
      </c>
      <c r="D457" t="s">
        <v>617</v>
      </c>
      <c r="E457">
        <v>14</v>
      </c>
      <c r="F457">
        <v>24</v>
      </c>
      <c r="G457">
        <v>2</v>
      </c>
      <c r="H457">
        <v>10</v>
      </c>
      <c r="I457">
        <f>Cocina[[#This Row],[Precio Unitario]]*Cocina[[#This Row],[Cantidad Ordenada]]</f>
        <v>48</v>
      </c>
      <c r="J457">
        <f>(Cocina[[#This Row],[Precio Unitario]]-Cocina[[#This Row],[Costo Unitario]])*Cocina[[#This Row],[Cantidad Ordenada]]</f>
        <v>20</v>
      </c>
      <c r="K457" s="4">
        <f>Cocina[[#This Row],[Ganancia neta]]/_xlfn.XLOOKUP(Cocina[[#This Row],[Número de Orden]],Sala[Número de Orden],Sala[Monto total],"fracaso",0,1)</f>
        <v>0.11560693641618497</v>
      </c>
      <c r="L457" t="s">
        <v>608</v>
      </c>
    </row>
    <row r="458" spans="1:12" x14ac:dyDescent="0.25">
      <c r="A458">
        <v>177</v>
      </c>
      <c r="B458">
        <v>4</v>
      </c>
      <c r="C458" t="s">
        <v>155</v>
      </c>
      <c r="D458" t="s">
        <v>636</v>
      </c>
      <c r="E458">
        <v>15</v>
      </c>
      <c r="F458">
        <v>26</v>
      </c>
      <c r="G458">
        <v>1</v>
      </c>
      <c r="H458">
        <v>40</v>
      </c>
      <c r="I458">
        <f>Cocina[[#This Row],[Precio Unitario]]*Cocina[[#This Row],[Cantidad Ordenada]]</f>
        <v>26</v>
      </c>
      <c r="J458">
        <f>(Cocina[[#This Row],[Precio Unitario]]-Cocina[[#This Row],[Costo Unitario]])*Cocina[[#This Row],[Cantidad Ordenada]]</f>
        <v>11</v>
      </c>
      <c r="K458" s="4">
        <f>Cocina[[#This Row],[Ganancia neta]]/_xlfn.XLOOKUP(Cocina[[#This Row],[Número de Orden]],Sala[Número de Orden],Sala[Monto total],"fracaso",0,1)</f>
        <v>6.358381502890173E-2</v>
      </c>
      <c r="L458" t="s">
        <v>607</v>
      </c>
    </row>
    <row r="459" spans="1:12" x14ac:dyDescent="0.25">
      <c r="A459">
        <v>177</v>
      </c>
      <c r="B459">
        <v>4</v>
      </c>
      <c r="C459" t="s">
        <v>70</v>
      </c>
      <c r="D459" t="s">
        <v>634</v>
      </c>
      <c r="E459">
        <v>13</v>
      </c>
      <c r="F459">
        <v>21</v>
      </c>
      <c r="G459">
        <v>2</v>
      </c>
      <c r="H459">
        <v>45</v>
      </c>
      <c r="I459">
        <f>Cocina[[#This Row],[Precio Unitario]]*Cocina[[#This Row],[Cantidad Ordenada]]</f>
        <v>42</v>
      </c>
      <c r="J459">
        <f>(Cocina[[#This Row],[Precio Unitario]]-Cocina[[#This Row],[Costo Unitario]])*Cocina[[#This Row],[Cantidad Ordenada]]</f>
        <v>16</v>
      </c>
      <c r="K459" s="4">
        <f>Cocina[[#This Row],[Ganancia neta]]/_xlfn.XLOOKUP(Cocina[[#This Row],[Número de Orden]],Sala[Número de Orden],Sala[Monto total],"fracaso",0,1)</f>
        <v>9.2485549132947972E-2</v>
      </c>
      <c r="L459" t="s">
        <v>608</v>
      </c>
    </row>
    <row r="460" spans="1:12" x14ac:dyDescent="0.25">
      <c r="A460">
        <v>177</v>
      </c>
      <c r="B460">
        <v>4</v>
      </c>
      <c r="C460" t="s">
        <v>112</v>
      </c>
      <c r="D460" t="s">
        <v>627</v>
      </c>
      <c r="E460">
        <v>11</v>
      </c>
      <c r="F460">
        <v>19</v>
      </c>
      <c r="G460">
        <v>3</v>
      </c>
      <c r="H460">
        <v>47</v>
      </c>
      <c r="I460">
        <f>Cocina[[#This Row],[Precio Unitario]]*Cocina[[#This Row],[Cantidad Ordenada]]</f>
        <v>57</v>
      </c>
      <c r="J460">
        <f>(Cocina[[#This Row],[Precio Unitario]]-Cocina[[#This Row],[Costo Unitario]])*Cocina[[#This Row],[Cantidad Ordenada]]</f>
        <v>24</v>
      </c>
      <c r="K460" s="4">
        <f>Cocina[[#This Row],[Ganancia neta]]/_xlfn.XLOOKUP(Cocina[[#This Row],[Número de Orden]],Sala[Número de Orden],Sala[Monto total],"fracaso",0,1)</f>
        <v>0.13872832369942195</v>
      </c>
      <c r="L460" t="s">
        <v>607</v>
      </c>
    </row>
    <row r="461" spans="1:12" x14ac:dyDescent="0.25">
      <c r="A461">
        <v>178</v>
      </c>
      <c r="B461">
        <v>11</v>
      </c>
      <c r="C461" t="s">
        <v>68</v>
      </c>
      <c r="D461" t="s">
        <v>619</v>
      </c>
      <c r="E461">
        <v>18</v>
      </c>
      <c r="F461">
        <v>30</v>
      </c>
      <c r="G461">
        <v>1</v>
      </c>
      <c r="H461">
        <v>55</v>
      </c>
      <c r="I461">
        <f>Cocina[[#This Row],[Precio Unitario]]*Cocina[[#This Row],[Cantidad Ordenada]]</f>
        <v>30</v>
      </c>
      <c r="J461">
        <f>(Cocina[[#This Row],[Precio Unitario]]-Cocina[[#This Row],[Costo Unitario]])*Cocina[[#This Row],[Cantidad Ordenada]]</f>
        <v>12</v>
      </c>
      <c r="K461" s="4">
        <f>Cocina[[#This Row],[Ganancia neta]]/_xlfn.XLOOKUP(Cocina[[#This Row],[Número de Orden]],Sala[Número de Orden],Sala[Monto total],"fracaso",0,1)</f>
        <v>5.7692307692307696E-2</v>
      </c>
      <c r="L461" t="s">
        <v>608</v>
      </c>
    </row>
    <row r="462" spans="1:12" x14ac:dyDescent="0.25">
      <c r="A462">
        <v>178</v>
      </c>
      <c r="B462">
        <v>11</v>
      </c>
      <c r="C462" t="s">
        <v>26</v>
      </c>
      <c r="D462" t="s">
        <v>628</v>
      </c>
      <c r="E462">
        <v>21</v>
      </c>
      <c r="F462">
        <v>35</v>
      </c>
      <c r="G462">
        <v>1</v>
      </c>
      <c r="H462">
        <v>16</v>
      </c>
      <c r="I462">
        <f>Cocina[[#This Row],[Precio Unitario]]*Cocina[[#This Row],[Cantidad Ordenada]]</f>
        <v>35</v>
      </c>
      <c r="J462">
        <f>(Cocina[[#This Row],[Precio Unitario]]-Cocina[[#This Row],[Costo Unitario]])*Cocina[[#This Row],[Cantidad Ordenada]]</f>
        <v>14</v>
      </c>
      <c r="K462" s="4">
        <f>Cocina[[#This Row],[Ganancia neta]]/_xlfn.XLOOKUP(Cocina[[#This Row],[Número de Orden]],Sala[Número de Orden],Sala[Monto total],"fracaso",0,1)</f>
        <v>6.7307692307692304E-2</v>
      </c>
      <c r="L462" t="s">
        <v>608</v>
      </c>
    </row>
    <row r="463" spans="1:12" x14ac:dyDescent="0.25">
      <c r="A463">
        <v>178</v>
      </c>
      <c r="B463">
        <v>11</v>
      </c>
      <c r="C463" t="s">
        <v>203</v>
      </c>
      <c r="D463" t="s">
        <v>630</v>
      </c>
      <c r="E463">
        <v>13</v>
      </c>
      <c r="F463">
        <v>22</v>
      </c>
      <c r="G463">
        <v>2</v>
      </c>
      <c r="H463">
        <v>20</v>
      </c>
      <c r="I463">
        <f>Cocina[[#This Row],[Precio Unitario]]*Cocina[[#This Row],[Cantidad Ordenada]]</f>
        <v>44</v>
      </c>
      <c r="J463">
        <f>(Cocina[[#This Row],[Precio Unitario]]-Cocina[[#This Row],[Costo Unitario]])*Cocina[[#This Row],[Cantidad Ordenada]]</f>
        <v>18</v>
      </c>
      <c r="K463" s="4">
        <f>Cocina[[#This Row],[Ganancia neta]]/_xlfn.XLOOKUP(Cocina[[#This Row],[Número de Orden]],Sala[Número de Orden],Sala[Monto total],"fracaso",0,1)</f>
        <v>8.6538461538461536E-2</v>
      </c>
      <c r="L463" t="s">
        <v>607</v>
      </c>
    </row>
    <row r="464" spans="1:12" x14ac:dyDescent="0.25">
      <c r="A464">
        <v>178</v>
      </c>
      <c r="B464">
        <v>11</v>
      </c>
      <c r="C464" t="s">
        <v>261</v>
      </c>
      <c r="D464" t="s">
        <v>625</v>
      </c>
      <c r="E464">
        <v>20</v>
      </c>
      <c r="F464">
        <v>33</v>
      </c>
      <c r="G464">
        <v>3</v>
      </c>
      <c r="H464">
        <v>55</v>
      </c>
      <c r="I464">
        <f>Cocina[[#This Row],[Precio Unitario]]*Cocina[[#This Row],[Cantidad Ordenada]]</f>
        <v>99</v>
      </c>
      <c r="J464">
        <f>(Cocina[[#This Row],[Precio Unitario]]-Cocina[[#This Row],[Costo Unitario]])*Cocina[[#This Row],[Cantidad Ordenada]]</f>
        <v>39</v>
      </c>
      <c r="K464" s="4">
        <f>Cocina[[#This Row],[Ganancia neta]]/_xlfn.XLOOKUP(Cocina[[#This Row],[Número de Orden]],Sala[Número de Orden],Sala[Monto total],"fracaso",0,1)</f>
        <v>0.1875</v>
      </c>
      <c r="L464" t="s">
        <v>607</v>
      </c>
    </row>
    <row r="465" spans="1:12" x14ac:dyDescent="0.25">
      <c r="A465">
        <v>179</v>
      </c>
      <c r="B465">
        <v>12</v>
      </c>
      <c r="C465" t="s">
        <v>116</v>
      </c>
      <c r="D465" t="s">
        <v>620</v>
      </c>
      <c r="E465">
        <v>19</v>
      </c>
      <c r="F465">
        <v>31</v>
      </c>
      <c r="G465">
        <v>2</v>
      </c>
      <c r="H465">
        <v>26</v>
      </c>
      <c r="I465">
        <f>Cocina[[#This Row],[Precio Unitario]]*Cocina[[#This Row],[Cantidad Ordenada]]</f>
        <v>62</v>
      </c>
      <c r="J465">
        <f>(Cocina[[#This Row],[Precio Unitario]]-Cocina[[#This Row],[Costo Unitario]])*Cocina[[#This Row],[Cantidad Ordenada]]</f>
        <v>24</v>
      </c>
      <c r="K465" s="4">
        <f>Cocina[[#This Row],[Ganancia neta]]/_xlfn.XLOOKUP(Cocina[[#This Row],[Número de Orden]],Sala[Número de Orden],Sala[Monto total],"fracaso",0,1)</f>
        <v>0.38709677419354838</v>
      </c>
      <c r="L465" t="s">
        <v>607</v>
      </c>
    </row>
    <row r="466" spans="1:12" x14ac:dyDescent="0.25">
      <c r="A466">
        <v>180</v>
      </c>
      <c r="B466">
        <v>10</v>
      </c>
      <c r="C466" t="s">
        <v>38</v>
      </c>
      <c r="D466" t="s">
        <v>624</v>
      </c>
      <c r="E466">
        <v>17</v>
      </c>
      <c r="F466">
        <v>29</v>
      </c>
      <c r="G466">
        <v>1</v>
      </c>
      <c r="H466">
        <v>35</v>
      </c>
      <c r="I466">
        <f>Cocina[[#This Row],[Precio Unitario]]*Cocina[[#This Row],[Cantidad Ordenada]]</f>
        <v>29</v>
      </c>
      <c r="J466">
        <f>(Cocina[[#This Row],[Precio Unitario]]-Cocina[[#This Row],[Costo Unitario]])*Cocina[[#This Row],[Cantidad Ordenada]]</f>
        <v>12</v>
      </c>
      <c r="K466" s="4">
        <f>Cocina[[#This Row],[Ganancia neta]]/_xlfn.XLOOKUP(Cocina[[#This Row],[Número de Orden]],Sala[Número de Orden],Sala[Monto total],"fracaso",0,1)</f>
        <v>7.2289156626506021E-2</v>
      </c>
      <c r="L466" t="s">
        <v>608</v>
      </c>
    </row>
    <row r="467" spans="1:12" x14ac:dyDescent="0.25">
      <c r="A467">
        <v>180</v>
      </c>
      <c r="B467">
        <v>10</v>
      </c>
      <c r="C467" t="s">
        <v>68</v>
      </c>
      <c r="D467" t="s">
        <v>619</v>
      </c>
      <c r="E467">
        <v>18</v>
      </c>
      <c r="F467">
        <v>30</v>
      </c>
      <c r="G467">
        <v>3</v>
      </c>
      <c r="H467">
        <v>20</v>
      </c>
      <c r="I467">
        <f>Cocina[[#This Row],[Precio Unitario]]*Cocina[[#This Row],[Cantidad Ordenada]]</f>
        <v>90</v>
      </c>
      <c r="J467">
        <f>(Cocina[[#This Row],[Precio Unitario]]-Cocina[[#This Row],[Costo Unitario]])*Cocina[[#This Row],[Cantidad Ordenada]]</f>
        <v>36</v>
      </c>
      <c r="K467" s="4">
        <f>Cocina[[#This Row],[Ganancia neta]]/_xlfn.XLOOKUP(Cocina[[#This Row],[Número de Orden]],Sala[Número de Orden],Sala[Monto total],"fracaso",0,1)</f>
        <v>0.21686746987951808</v>
      </c>
      <c r="L467" t="s">
        <v>608</v>
      </c>
    </row>
    <row r="468" spans="1:12" x14ac:dyDescent="0.25">
      <c r="A468">
        <v>180</v>
      </c>
      <c r="B468">
        <v>10</v>
      </c>
      <c r="C468" t="s">
        <v>146</v>
      </c>
      <c r="D468" t="s">
        <v>632</v>
      </c>
      <c r="E468">
        <v>12</v>
      </c>
      <c r="F468">
        <v>20</v>
      </c>
      <c r="G468">
        <v>1</v>
      </c>
      <c r="H468">
        <v>50</v>
      </c>
      <c r="I468">
        <f>Cocina[[#This Row],[Precio Unitario]]*Cocina[[#This Row],[Cantidad Ordenada]]</f>
        <v>20</v>
      </c>
      <c r="J468">
        <f>(Cocina[[#This Row],[Precio Unitario]]-Cocina[[#This Row],[Costo Unitario]])*Cocina[[#This Row],[Cantidad Ordenada]]</f>
        <v>8</v>
      </c>
      <c r="K468" s="4">
        <f>Cocina[[#This Row],[Ganancia neta]]/_xlfn.XLOOKUP(Cocina[[#This Row],[Número de Orden]],Sala[Número de Orden],Sala[Monto total],"fracaso",0,1)</f>
        <v>4.8192771084337352E-2</v>
      </c>
      <c r="L468" t="s">
        <v>607</v>
      </c>
    </row>
    <row r="469" spans="1:12" x14ac:dyDescent="0.25">
      <c r="A469">
        <v>180</v>
      </c>
      <c r="B469">
        <v>10</v>
      </c>
      <c r="C469" t="s">
        <v>106</v>
      </c>
      <c r="D469" t="s">
        <v>621</v>
      </c>
      <c r="E469">
        <v>16</v>
      </c>
      <c r="F469">
        <v>27</v>
      </c>
      <c r="G469">
        <v>1</v>
      </c>
      <c r="H469">
        <v>56</v>
      </c>
      <c r="I469">
        <f>Cocina[[#This Row],[Precio Unitario]]*Cocina[[#This Row],[Cantidad Ordenada]]</f>
        <v>27</v>
      </c>
      <c r="J469">
        <f>(Cocina[[#This Row],[Precio Unitario]]-Cocina[[#This Row],[Costo Unitario]])*Cocina[[#This Row],[Cantidad Ordenada]]</f>
        <v>11</v>
      </c>
      <c r="K469" s="4">
        <f>Cocina[[#This Row],[Ganancia neta]]/_xlfn.XLOOKUP(Cocina[[#This Row],[Número de Orden]],Sala[Número de Orden],Sala[Monto total],"fracaso",0,1)</f>
        <v>6.6265060240963861E-2</v>
      </c>
      <c r="L469" t="s">
        <v>607</v>
      </c>
    </row>
    <row r="470" spans="1:12" x14ac:dyDescent="0.25">
      <c r="A470">
        <v>181</v>
      </c>
      <c r="B470">
        <v>15</v>
      </c>
      <c r="C470" t="s">
        <v>106</v>
      </c>
      <c r="D470" t="s">
        <v>621</v>
      </c>
      <c r="E470">
        <v>16</v>
      </c>
      <c r="F470">
        <v>27</v>
      </c>
      <c r="G470">
        <v>1</v>
      </c>
      <c r="H470">
        <v>55</v>
      </c>
      <c r="I470">
        <f>Cocina[[#This Row],[Precio Unitario]]*Cocina[[#This Row],[Cantidad Ordenada]]</f>
        <v>27</v>
      </c>
      <c r="J470">
        <f>(Cocina[[#This Row],[Precio Unitario]]-Cocina[[#This Row],[Costo Unitario]])*Cocina[[#This Row],[Cantidad Ordenada]]</f>
        <v>11</v>
      </c>
      <c r="K470" s="4">
        <f>Cocina[[#This Row],[Ganancia neta]]/_xlfn.XLOOKUP(Cocina[[#This Row],[Número de Orden]],Sala[Número de Orden],Sala[Monto total],"fracaso",0,1)</f>
        <v>0.40740740740740738</v>
      </c>
      <c r="L470" t="s">
        <v>608</v>
      </c>
    </row>
    <row r="471" spans="1:12" x14ac:dyDescent="0.25">
      <c r="A471">
        <v>182</v>
      </c>
      <c r="B471">
        <v>18</v>
      </c>
      <c r="C471" t="s">
        <v>112</v>
      </c>
      <c r="D471" t="s">
        <v>627</v>
      </c>
      <c r="E471">
        <v>11</v>
      </c>
      <c r="F471">
        <v>19</v>
      </c>
      <c r="G471">
        <v>2</v>
      </c>
      <c r="H471">
        <v>11</v>
      </c>
      <c r="I471">
        <f>Cocina[[#This Row],[Precio Unitario]]*Cocina[[#This Row],[Cantidad Ordenada]]</f>
        <v>38</v>
      </c>
      <c r="J471">
        <f>(Cocina[[#This Row],[Precio Unitario]]-Cocina[[#This Row],[Costo Unitario]])*Cocina[[#This Row],[Cantidad Ordenada]]</f>
        <v>16</v>
      </c>
      <c r="K471" s="4">
        <f>Cocina[[#This Row],[Ganancia neta]]/_xlfn.XLOOKUP(Cocina[[#This Row],[Número de Orden]],Sala[Número de Orden],Sala[Monto total],"fracaso",0,1)</f>
        <v>0.42105263157894735</v>
      </c>
      <c r="L471" t="s">
        <v>608</v>
      </c>
    </row>
    <row r="472" spans="1:12" x14ac:dyDescent="0.25">
      <c r="A472">
        <v>183</v>
      </c>
      <c r="B472">
        <v>18</v>
      </c>
      <c r="C472" t="s">
        <v>247</v>
      </c>
      <c r="D472" t="s">
        <v>629</v>
      </c>
      <c r="E472">
        <v>19</v>
      </c>
      <c r="F472">
        <v>32</v>
      </c>
      <c r="G472">
        <v>2</v>
      </c>
      <c r="H472">
        <v>52</v>
      </c>
      <c r="I472">
        <f>Cocina[[#This Row],[Precio Unitario]]*Cocina[[#This Row],[Cantidad Ordenada]]</f>
        <v>64</v>
      </c>
      <c r="J472">
        <f>(Cocina[[#This Row],[Precio Unitario]]-Cocina[[#This Row],[Costo Unitario]])*Cocina[[#This Row],[Cantidad Ordenada]]</f>
        <v>26</v>
      </c>
      <c r="K472" s="4">
        <f>Cocina[[#This Row],[Ganancia neta]]/_xlfn.XLOOKUP(Cocina[[#This Row],[Número de Orden]],Sala[Número de Orden],Sala[Monto total],"fracaso",0,1)</f>
        <v>0.10196078431372549</v>
      </c>
      <c r="L472" t="s">
        <v>607</v>
      </c>
    </row>
    <row r="473" spans="1:12" x14ac:dyDescent="0.25">
      <c r="A473">
        <v>183</v>
      </c>
      <c r="B473">
        <v>18</v>
      </c>
      <c r="C473" t="s">
        <v>155</v>
      </c>
      <c r="D473" t="s">
        <v>636</v>
      </c>
      <c r="E473">
        <v>15</v>
      </c>
      <c r="F473">
        <v>26</v>
      </c>
      <c r="G473">
        <v>1</v>
      </c>
      <c r="H473">
        <v>10</v>
      </c>
      <c r="I473">
        <f>Cocina[[#This Row],[Precio Unitario]]*Cocina[[#This Row],[Cantidad Ordenada]]</f>
        <v>26</v>
      </c>
      <c r="J473">
        <f>(Cocina[[#This Row],[Precio Unitario]]-Cocina[[#This Row],[Costo Unitario]])*Cocina[[#This Row],[Cantidad Ordenada]]</f>
        <v>11</v>
      </c>
      <c r="K473" s="4">
        <f>Cocina[[#This Row],[Ganancia neta]]/_xlfn.XLOOKUP(Cocina[[#This Row],[Número de Orden]],Sala[Número de Orden],Sala[Monto total],"fracaso",0,1)</f>
        <v>4.3137254901960784E-2</v>
      </c>
      <c r="L473" t="s">
        <v>607</v>
      </c>
    </row>
    <row r="474" spans="1:12" x14ac:dyDescent="0.25">
      <c r="A474">
        <v>183</v>
      </c>
      <c r="B474">
        <v>18</v>
      </c>
      <c r="C474" t="s">
        <v>146</v>
      </c>
      <c r="D474" t="s">
        <v>632</v>
      </c>
      <c r="E474">
        <v>12</v>
      </c>
      <c r="F474">
        <v>20</v>
      </c>
      <c r="G474">
        <v>3</v>
      </c>
      <c r="H474">
        <v>58</v>
      </c>
      <c r="I474">
        <f>Cocina[[#This Row],[Precio Unitario]]*Cocina[[#This Row],[Cantidad Ordenada]]</f>
        <v>60</v>
      </c>
      <c r="J474">
        <f>(Cocina[[#This Row],[Precio Unitario]]-Cocina[[#This Row],[Costo Unitario]])*Cocina[[#This Row],[Cantidad Ordenada]]</f>
        <v>24</v>
      </c>
      <c r="K474" s="4">
        <f>Cocina[[#This Row],[Ganancia neta]]/_xlfn.XLOOKUP(Cocina[[#This Row],[Número de Orden]],Sala[Número de Orden],Sala[Monto total],"fracaso",0,1)</f>
        <v>9.4117647058823528E-2</v>
      </c>
      <c r="L474" t="s">
        <v>607</v>
      </c>
    </row>
    <row r="475" spans="1:12" x14ac:dyDescent="0.25">
      <c r="A475">
        <v>183</v>
      </c>
      <c r="B475">
        <v>18</v>
      </c>
      <c r="C475" t="s">
        <v>26</v>
      </c>
      <c r="D475" t="s">
        <v>628</v>
      </c>
      <c r="E475">
        <v>21</v>
      </c>
      <c r="F475">
        <v>35</v>
      </c>
      <c r="G475">
        <v>3</v>
      </c>
      <c r="H475">
        <v>46</v>
      </c>
      <c r="I475">
        <f>Cocina[[#This Row],[Precio Unitario]]*Cocina[[#This Row],[Cantidad Ordenada]]</f>
        <v>105</v>
      </c>
      <c r="J475">
        <f>(Cocina[[#This Row],[Precio Unitario]]-Cocina[[#This Row],[Costo Unitario]])*Cocina[[#This Row],[Cantidad Ordenada]]</f>
        <v>42</v>
      </c>
      <c r="K475" s="4">
        <f>Cocina[[#This Row],[Ganancia neta]]/_xlfn.XLOOKUP(Cocina[[#This Row],[Número de Orden]],Sala[Número de Orden],Sala[Monto total],"fracaso",0,1)</f>
        <v>0.16470588235294117</v>
      </c>
      <c r="L475" t="s">
        <v>607</v>
      </c>
    </row>
    <row r="476" spans="1:12" x14ac:dyDescent="0.25">
      <c r="A476">
        <v>184</v>
      </c>
      <c r="B476">
        <v>4</v>
      </c>
      <c r="C476" t="s">
        <v>42</v>
      </c>
      <c r="D476" t="s">
        <v>626</v>
      </c>
      <c r="E476">
        <v>16</v>
      </c>
      <c r="F476">
        <v>28</v>
      </c>
      <c r="G476">
        <v>3</v>
      </c>
      <c r="H476">
        <v>6</v>
      </c>
      <c r="I476">
        <f>Cocina[[#This Row],[Precio Unitario]]*Cocina[[#This Row],[Cantidad Ordenada]]</f>
        <v>84</v>
      </c>
      <c r="J476">
        <f>(Cocina[[#This Row],[Precio Unitario]]-Cocina[[#This Row],[Costo Unitario]])*Cocina[[#This Row],[Cantidad Ordenada]]</f>
        <v>36</v>
      </c>
      <c r="K476" s="4">
        <f>Cocina[[#This Row],[Ganancia neta]]/_xlfn.XLOOKUP(Cocina[[#This Row],[Número de Orden]],Sala[Número de Orden],Sala[Monto total],"fracaso",0,1)</f>
        <v>0.17560975609756097</v>
      </c>
      <c r="L476" t="s">
        <v>608</v>
      </c>
    </row>
    <row r="477" spans="1:12" x14ac:dyDescent="0.25">
      <c r="A477">
        <v>184</v>
      </c>
      <c r="B477">
        <v>4</v>
      </c>
      <c r="C477" t="s">
        <v>106</v>
      </c>
      <c r="D477" t="s">
        <v>621</v>
      </c>
      <c r="E477">
        <v>16</v>
      </c>
      <c r="F477">
        <v>27</v>
      </c>
      <c r="G477">
        <v>3</v>
      </c>
      <c r="H477">
        <v>10</v>
      </c>
      <c r="I477">
        <f>Cocina[[#This Row],[Precio Unitario]]*Cocina[[#This Row],[Cantidad Ordenada]]</f>
        <v>81</v>
      </c>
      <c r="J477">
        <f>(Cocina[[#This Row],[Precio Unitario]]-Cocina[[#This Row],[Costo Unitario]])*Cocina[[#This Row],[Cantidad Ordenada]]</f>
        <v>33</v>
      </c>
      <c r="K477" s="4">
        <f>Cocina[[#This Row],[Ganancia neta]]/_xlfn.XLOOKUP(Cocina[[#This Row],[Número de Orden]],Sala[Número de Orden],Sala[Monto total],"fracaso",0,1)</f>
        <v>0.16097560975609757</v>
      </c>
      <c r="L477" t="s">
        <v>607</v>
      </c>
    </row>
    <row r="478" spans="1:12" x14ac:dyDescent="0.25">
      <c r="A478">
        <v>184</v>
      </c>
      <c r="B478">
        <v>4</v>
      </c>
      <c r="C478" t="s">
        <v>146</v>
      </c>
      <c r="D478" t="s">
        <v>632</v>
      </c>
      <c r="E478">
        <v>12</v>
      </c>
      <c r="F478">
        <v>20</v>
      </c>
      <c r="G478">
        <v>2</v>
      </c>
      <c r="H478">
        <v>13</v>
      </c>
      <c r="I478">
        <f>Cocina[[#This Row],[Precio Unitario]]*Cocina[[#This Row],[Cantidad Ordenada]]</f>
        <v>40</v>
      </c>
      <c r="J478">
        <f>(Cocina[[#This Row],[Precio Unitario]]-Cocina[[#This Row],[Costo Unitario]])*Cocina[[#This Row],[Cantidad Ordenada]]</f>
        <v>16</v>
      </c>
      <c r="K478" s="4">
        <f>Cocina[[#This Row],[Ganancia neta]]/_xlfn.XLOOKUP(Cocina[[#This Row],[Número de Orden]],Sala[Número de Orden],Sala[Monto total],"fracaso",0,1)</f>
        <v>7.8048780487804878E-2</v>
      </c>
      <c r="L478" t="s">
        <v>608</v>
      </c>
    </row>
    <row r="479" spans="1:12" x14ac:dyDescent="0.25">
      <c r="A479">
        <v>185</v>
      </c>
      <c r="B479">
        <v>16</v>
      </c>
      <c r="C479" t="s">
        <v>70</v>
      </c>
      <c r="D479" t="s">
        <v>634</v>
      </c>
      <c r="E479">
        <v>13</v>
      </c>
      <c r="F479">
        <v>21</v>
      </c>
      <c r="G479">
        <v>3</v>
      </c>
      <c r="H479">
        <v>34</v>
      </c>
      <c r="I479">
        <f>Cocina[[#This Row],[Precio Unitario]]*Cocina[[#This Row],[Cantidad Ordenada]]</f>
        <v>63</v>
      </c>
      <c r="J479">
        <f>(Cocina[[#This Row],[Precio Unitario]]-Cocina[[#This Row],[Costo Unitario]])*Cocina[[#This Row],[Cantidad Ordenada]]</f>
        <v>24</v>
      </c>
      <c r="K479" s="4">
        <f>Cocina[[#This Row],[Ganancia neta]]/_xlfn.XLOOKUP(Cocina[[#This Row],[Número de Orden]],Sala[Número de Orden],Sala[Monto total],"fracaso",0,1)</f>
        <v>0.26373626373626374</v>
      </c>
      <c r="L479" t="s">
        <v>607</v>
      </c>
    </row>
    <row r="480" spans="1:12" x14ac:dyDescent="0.25">
      <c r="A480">
        <v>185</v>
      </c>
      <c r="B480">
        <v>16</v>
      </c>
      <c r="C480" t="s">
        <v>42</v>
      </c>
      <c r="D480" t="s">
        <v>626</v>
      </c>
      <c r="E480">
        <v>16</v>
      </c>
      <c r="F480">
        <v>28</v>
      </c>
      <c r="G480">
        <v>1</v>
      </c>
      <c r="H480">
        <v>6</v>
      </c>
      <c r="I480">
        <f>Cocina[[#This Row],[Precio Unitario]]*Cocina[[#This Row],[Cantidad Ordenada]]</f>
        <v>28</v>
      </c>
      <c r="J480">
        <f>(Cocina[[#This Row],[Precio Unitario]]-Cocina[[#This Row],[Costo Unitario]])*Cocina[[#This Row],[Cantidad Ordenada]]</f>
        <v>12</v>
      </c>
      <c r="K480" s="4">
        <f>Cocina[[#This Row],[Ganancia neta]]/_xlfn.XLOOKUP(Cocina[[#This Row],[Número de Orden]],Sala[Número de Orden],Sala[Monto total],"fracaso",0,1)</f>
        <v>0.13186813186813187</v>
      </c>
      <c r="L480" t="s">
        <v>608</v>
      </c>
    </row>
    <row r="481" spans="1:12" x14ac:dyDescent="0.25">
      <c r="A481">
        <v>186</v>
      </c>
      <c r="B481">
        <v>13</v>
      </c>
      <c r="C481" t="s">
        <v>106</v>
      </c>
      <c r="D481" t="s">
        <v>621</v>
      </c>
      <c r="E481">
        <v>16</v>
      </c>
      <c r="F481">
        <v>27</v>
      </c>
      <c r="G481">
        <v>3</v>
      </c>
      <c r="H481">
        <v>16</v>
      </c>
      <c r="I481">
        <f>Cocina[[#This Row],[Precio Unitario]]*Cocina[[#This Row],[Cantidad Ordenada]]</f>
        <v>81</v>
      </c>
      <c r="J481">
        <f>(Cocina[[#This Row],[Precio Unitario]]-Cocina[[#This Row],[Costo Unitario]])*Cocina[[#This Row],[Cantidad Ordenada]]</f>
        <v>33</v>
      </c>
      <c r="K481" s="4">
        <f>Cocina[[#This Row],[Ganancia neta]]/_xlfn.XLOOKUP(Cocina[[#This Row],[Número de Orden]],Sala[Número de Orden],Sala[Monto total],"fracaso",0,1)</f>
        <v>0.12222222222222222</v>
      </c>
      <c r="L481" t="s">
        <v>607</v>
      </c>
    </row>
    <row r="482" spans="1:12" x14ac:dyDescent="0.25">
      <c r="A482">
        <v>186</v>
      </c>
      <c r="B482">
        <v>13</v>
      </c>
      <c r="C482" t="s">
        <v>247</v>
      </c>
      <c r="D482" t="s">
        <v>629</v>
      </c>
      <c r="E482">
        <v>19</v>
      </c>
      <c r="F482">
        <v>32</v>
      </c>
      <c r="G482">
        <v>3</v>
      </c>
      <c r="H482">
        <v>23</v>
      </c>
      <c r="I482">
        <f>Cocina[[#This Row],[Precio Unitario]]*Cocina[[#This Row],[Cantidad Ordenada]]</f>
        <v>96</v>
      </c>
      <c r="J482">
        <f>(Cocina[[#This Row],[Precio Unitario]]-Cocina[[#This Row],[Costo Unitario]])*Cocina[[#This Row],[Cantidad Ordenada]]</f>
        <v>39</v>
      </c>
      <c r="K482" s="4">
        <f>Cocina[[#This Row],[Ganancia neta]]/_xlfn.XLOOKUP(Cocina[[#This Row],[Número de Orden]],Sala[Número de Orden],Sala[Monto total],"fracaso",0,1)</f>
        <v>0.14444444444444443</v>
      </c>
      <c r="L482" t="s">
        <v>608</v>
      </c>
    </row>
    <row r="483" spans="1:12" x14ac:dyDescent="0.25">
      <c r="A483">
        <v>186</v>
      </c>
      <c r="B483">
        <v>13</v>
      </c>
      <c r="C483" t="s">
        <v>116</v>
      </c>
      <c r="D483" t="s">
        <v>620</v>
      </c>
      <c r="E483">
        <v>19</v>
      </c>
      <c r="F483">
        <v>31</v>
      </c>
      <c r="G483">
        <v>3</v>
      </c>
      <c r="H483">
        <v>54</v>
      </c>
      <c r="I483">
        <f>Cocina[[#This Row],[Precio Unitario]]*Cocina[[#This Row],[Cantidad Ordenada]]</f>
        <v>93</v>
      </c>
      <c r="J483">
        <f>(Cocina[[#This Row],[Precio Unitario]]-Cocina[[#This Row],[Costo Unitario]])*Cocina[[#This Row],[Cantidad Ordenada]]</f>
        <v>36</v>
      </c>
      <c r="K483" s="4">
        <f>Cocina[[#This Row],[Ganancia neta]]/_xlfn.XLOOKUP(Cocina[[#This Row],[Número de Orden]],Sala[Número de Orden],Sala[Monto total],"fracaso",0,1)</f>
        <v>0.13333333333333333</v>
      </c>
      <c r="L483" t="s">
        <v>607</v>
      </c>
    </row>
    <row r="484" spans="1:12" x14ac:dyDescent="0.25">
      <c r="A484">
        <v>187</v>
      </c>
      <c r="B484">
        <v>5</v>
      </c>
      <c r="C484" t="s">
        <v>55</v>
      </c>
      <c r="D484" t="s">
        <v>631</v>
      </c>
      <c r="E484">
        <v>20</v>
      </c>
      <c r="F484">
        <v>34</v>
      </c>
      <c r="G484">
        <v>2</v>
      </c>
      <c r="H484">
        <v>28</v>
      </c>
      <c r="I484">
        <f>Cocina[[#This Row],[Precio Unitario]]*Cocina[[#This Row],[Cantidad Ordenada]]</f>
        <v>68</v>
      </c>
      <c r="J484">
        <f>(Cocina[[#This Row],[Precio Unitario]]-Cocina[[#This Row],[Costo Unitario]])*Cocina[[#This Row],[Cantidad Ordenada]]</f>
        <v>28</v>
      </c>
      <c r="K484" s="4">
        <f>Cocina[[#This Row],[Ganancia neta]]/_xlfn.XLOOKUP(Cocina[[#This Row],[Número de Orden]],Sala[Número de Orden],Sala[Monto total],"fracaso",0,1)</f>
        <v>0.13461538461538461</v>
      </c>
      <c r="L484" t="s">
        <v>608</v>
      </c>
    </row>
    <row r="485" spans="1:12" x14ac:dyDescent="0.25">
      <c r="A485">
        <v>187</v>
      </c>
      <c r="B485">
        <v>5</v>
      </c>
      <c r="C485" t="s">
        <v>155</v>
      </c>
      <c r="D485" t="s">
        <v>636</v>
      </c>
      <c r="E485">
        <v>15</v>
      </c>
      <c r="F485">
        <v>26</v>
      </c>
      <c r="G485">
        <v>1</v>
      </c>
      <c r="H485">
        <v>51</v>
      </c>
      <c r="I485">
        <f>Cocina[[#This Row],[Precio Unitario]]*Cocina[[#This Row],[Cantidad Ordenada]]</f>
        <v>26</v>
      </c>
      <c r="J485">
        <f>(Cocina[[#This Row],[Precio Unitario]]-Cocina[[#This Row],[Costo Unitario]])*Cocina[[#This Row],[Cantidad Ordenada]]</f>
        <v>11</v>
      </c>
      <c r="K485" s="4">
        <f>Cocina[[#This Row],[Ganancia neta]]/_xlfn.XLOOKUP(Cocina[[#This Row],[Número de Orden]],Sala[Número de Orden],Sala[Monto total],"fracaso",0,1)</f>
        <v>5.2884615384615384E-2</v>
      </c>
      <c r="L485" t="s">
        <v>607</v>
      </c>
    </row>
    <row r="486" spans="1:12" x14ac:dyDescent="0.25">
      <c r="A486">
        <v>187</v>
      </c>
      <c r="B486">
        <v>5</v>
      </c>
      <c r="C486" t="s">
        <v>38</v>
      </c>
      <c r="D486" t="s">
        <v>624</v>
      </c>
      <c r="E486">
        <v>17</v>
      </c>
      <c r="F486">
        <v>29</v>
      </c>
      <c r="G486">
        <v>3</v>
      </c>
      <c r="H486">
        <v>11</v>
      </c>
      <c r="I486">
        <f>Cocina[[#This Row],[Precio Unitario]]*Cocina[[#This Row],[Cantidad Ordenada]]</f>
        <v>87</v>
      </c>
      <c r="J486">
        <f>(Cocina[[#This Row],[Precio Unitario]]-Cocina[[#This Row],[Costo Unitario]])*Cocina[[#This Row],[Cantidad Ordenada]]</f>
        <v>36</v>
      </c>
      <c r="K486" s="4">
        <f>Cocina[[#This Row],[Ganancia neta]]/_xlfn.XLOOKUP(Cocina[[#This Row],[Número de Orden]],Sala[Número de Orden],Sala[Monto total],"fracaso",0,1)</f>
        <v>0.17307692307692307</v>
      </c>
      <c r="L486" t="s">
        <v>607</v>
      </c>
    </row>
    <row r="487" spans="1:12" x14ac:dyDescent="0.25">
      <c r="A487">
        <v>187</v>
      </c>
      <c r="B487">
        <v>5</v>
      </c>
      <c r="C487" t="s">
        <v>106</v>
      </c>
      <c r="D487" t="s">
        <v>621</v>
      </c>
      <c r="E487">
        <v>16</v>
      </c>
      <c r="F487">
        <v>27</v>
      </c>
      <c r="G487">
        <v>1</v>
      </c>
      <c r="H487">
        <v>36</v>
      </c>
      <c r="I487">
        <f>Cocina[[#This Row],[Precio Unitario]]*Cocina[[#This Row],[Cantidad Ordenada]]</f>
        <v>27</v>
      </c>
      <c r="J487">
        <f>(Cocina[[#This Row],[Precio Unitario]]-Cocina[[#This Row],[Costo Unitario]])*Cocina[[#This Row],[Cantidad Ordenada]]</f>
        <v>11</v>
      </c>
      <c r="K487" s="4">
        <f>Cocina[[#This Row],[Ganancia neta]]/_xlfn.XLOOKUP(Cocina[[#This Row],[Número de Orden]],Sala[Número de Orden],Sala[Monto total],"fracaso",0,1)</f>
        <v>5.2884615384615384E-2</v>
      </c>
      <c r="L487" t="s">
        <v>608</v>
      </c>
    </row>
    <row r="488" spans="1:12" x14ac:dyDescent="0.25">
      <c r="A488">
        <v>188</v>
      </c>
      <c r="B488">
        <v>20</v>
      </c>
      <c r="C488" t="s">
        <v>116</v>
      </c>
      <c r="D488" t="s">
        <v>620</v>
      </c>
      <c r="E488">
        <v>19</v>
      </c>
      <c r="F488">
        <v>31</v>
      </c>
      <c r="G488">
        <v>1</v>
      </c>
      <c r="H488">
        <v>58</v>
      </c>
      <c r="I488">
        <f>Cocina[[#This Row],[Precio Unitario]]*Cocina[[#This Row],[Cantidad Ordenada]]</f>
        <v>31</v>
      </c>
      <c r="J488">
        <f>(Cocina[[#This Row],[Precio Unitario]]-Cocina[[#This Row],[Costo Unitario]])*Cocina[[#This Row],[Cantidad Ordenada]]</f>
        <v>12</v>
      </c>
      <c r="K488" s="4">
        <f>Cocina[[#This Row],[Ganancia neta]]/_xlfn.XLOOKUP(Cocina[[#This Row],[Número de Orden]],Sala[Número de Orden],Sala[Monto total],"fracaso",0,1)</f>
        <v>0.14457831325301204</v>
      </c>
      <c r="L488" t="s">
        <v>607</v>
      </c>
    </row>
    <row r="489" spans="1:12" x14ac:dyDescent="0.25">
      <c r="A489">
        <v>188</v>
      </c>
      <c r="B489">
        <v>20</v>
      </c>
      <c r="C489" t="s">
        <v>155</v>
      </c>
      <c r="D489" t="s">
        <v>636</v>
      </c>
      <c r="E489">
        <v>15</v>
      </c>
      <c r="F489">
        <v>26</v>
      </c>
      <c r="G489">
        <v>2</v>
      </c>
      <c r="H489">
        <v>47</v>
      </c>
      <c r="I489">
        <f>Cocina[[#This Row],[Precio Unitario]]*Cocina[[#This Row],[Cantidad Ordenada]]</f>
        <v>52</v>
      </c>
      <c r="J489">
        <f>(Cocina[[#This Row],[Precio Unitario]]-Cocina[[#This Row],[Costo Unitario]])*Cocina[[#This Row],[Cantidad Ordenada]]</f>
        <v>22</v>
      </c>
      <c r="K489" s="4">
        <f>Cocina[[#This Row],[Ganancia neta]]/_xlfn.XLOOKUP(Cocina[[#This Row],[Número de Orden]],Sala[Número de Orden],Sala[Monto total],"fracaso",0,1)</f>
        <v>0.26506024096385544</v>
      </c>
      <c r="L489" t="s">
        <v>607</v>
      </c>
    </row>
    <row r="490" spans="1:12" x14ac:dyDescent="0.25">
      <c r="A490">
        <v>189</v>
      </c>
      <c r="B490">
        <v>11</v>
      </c>
      <c r="C490" t="s">
        <v>55</v>
      </c>
      <c r="D490" t="s">
        <v>631</v>
      </c>
      <c r="E490">
        <v>20</v>
      </c>
      <c r="F490">
        <v>34</v>
      </c>
      <c r="G490">
        <v>2</v>
      </c>
      <c r="H490">
        <v>42</v>
      </c>
      <c r="I490">
        <f>Cocina[[#This Row],[Precio Unitario]]*Cocina[[#This Row],[Cantidad Ordenada]]</f>
        <v>68</v>
      </c>
      <c r="J490">
        <f>(Cocina[[#This Row],[Precio Unitario]]-Cocina[[#This Row],[Costo Unitario]])*Cocina[[#This Row],[Cantidad Ordenada]]</f>
        <v>28</v>
      </c>
      <c r="K490" s="4">
        <f>Cocina[[#This Row],[Ganancia neta]]/_xlfn.XLOOKUP(Cocina[[#This Row],[Número de Orden]],Sala[Número de Orden],Sala[Monto total],"fracaso",0,1)</f>
        <v>0.14583333333333334</v>
      </c>
      <c r="L490" t="s">
        <v>608</v>
      </c>
    </row>
    <row r="491" spans="1:12" x14ac:dyDescent="0.25">
      <c r="A491">
        <v>189</v>
      </c>
      <c r="B491">
        <v>11</v>
      </c>
      <c r="C491" t="s">
        <v>155</v>
      </c>
      <c r="D491" t="s">
        <v>636</v>
      </c>
      <c r="E491">
        <v>15</v>
      </c>
      <c r="F491">
        <v>26</v>
      </c>
      <c r="G491">
        <v>2</v>
      </c>
      <c r="H491">
        <v>22</v>
      </c>
      <c r="I491">
        <f>Cocina[[#This Row],[Precio Unitario]]*Cocina[[#This Row],[Cantidad Ordenada]]</f>
        <v>52</v>
      </c>
      <c r="J491">
        <f>(Cocina[[#This Row],[Precio Unitario]]-Cocina[[#This Row],[Costo Unitario]])*Cocina[[#This Row],[Cantidad Ordenada]]</f>
        <v>22</v>
      </c>
      <c r="K491" s="4">
        <f>Cocina[[#This Row],[Ganancia neta]]/_xlfn.XLOOKUP(Cocina[[#This Row],[Número de Orden]],Sala[Número de Orden],Sala[Monto total],"fracaso",0,1)</f>
        <v>0.11458333333333333</v>
      </c>
      <c r="L491" t="s">
        <v>608</v>
      </c>
    </row>
    <row r="492" spans="1:12" x14ac:dyDescent="0.25">
      <c r="A492">
        <v>189</v>
      </c>
      <c r="B492">
        <v>11</v>
      </c>
      <c r="C492" t="s">
        <v>158</v>
      </c>
      <c r="D492" t="s">
        <v>617</v>
      </c>
      <c r="E492">
        <v>14</v>
      </c>
      <c r="F492">
        <v>24</v>
      </c>
      <c r="G492">
        <v>3</v>
      </c>
      <c r="H492">
        <v>53</v>
      </c>
      <c r="I492">
        <f>Cocina[[#This Row],[Precio Unitario]]*Cocina[[#This Row],[Cantidad Ordenada]]</f>
        <v>72</v>
      </c>
      <c r="J492">
        <f>(Cocina[[#This Row],[Precio Unitario]]-Cocina[[#This Row],[Costo Unitario]])*Cocina[[#This Row],[Cantidad Ordenada]]</f>
        <v>30</v>
      </c>
      <c r="K492" s="4">
        <f>Cocina[[#This Row],[Ganancia neta]]/_xlfn.XLOOKUP(Cocina[[#This Row],[Número de Orden]],Sala[Número de Orden],Sala[Monto total],"fracaso",0,1)</f>
        <v>0.15625</v>
      </c>
      <c r="L492" t="s">
        <v>608</v>
      </c>
    </row>
    <row r="493" spans="1:12" x14ac:dyDescent="0.25">
      <c r="A493">
        <v>190</v>
      </c>
      <c r="B493">
        <v>5</v>
      </c>
      <c r="C493" t="s">
        <v>79</v>
      </c>
      <c r="D493" t="s">
        <v>635</v>
      </c>
      <c r="E493">
        <v>10</v>
      </c>
      <c r="F493">
        <v>18</v>
      </c>
      <c r="G493">
        <v>1</v>
      </c>
      <c r="H493">
        <v>39</v>
      </c>
      <c r="I493">
        <f>Cocina[[#This Row],[Precio Unitario]]*Cocina[[#This Row],[Cantidad Ordenada]]</f>
        <v>18</v>
      </c>
      <c r="J493">
        <f>(Cocina[[#This Row],[Precio Unitario]]-Cocina[[#This Row],[Costo Unitario]])*Cocina[[#This Row],[Cantidad Ordenada]]</f>
        <v>8</v>
      </c>
      <c r="K493" s="4">
        <f>Cocina[[#This Row],[Ganancia neta]]/_xlfn.XLOOKUP(Cocina[[#This Row],[Número de Orden]],Sala[Número de Orden],Sala[Monto total],"fracaso",0,1)</f>
        <v>3.9603960396039604E-2</v>
      </c>
      <c r="L493" t="s">
        <v>607</v>
      </c>
    </row>
    <row r="494" spans="1:12" x14ac:dyDescent="0.25">
      <c r="A494">
        <v>190</v>
      </c>
      <c r="B494">
        <v>5</v>
      </c>
      <c r="C494" t="s">
        <v>48</v>
      </c>
      <c r="D494" t="s">
        <v>622</v>
      </c>
      <c r="E494">
        <v>25</v>
      </c>
      <c r="F494">
        <v>40</v>
      </c>
      <c r="G494">
        <v>2</v>
      </c>
      <c r="H494">
        <v>45</v>
      </c>
      <c r="I494">
        <f>Cocina[[#This Row],[Precio Unitario]]*Cocina[[#This Row],[Cantidad Ordenada]]</f>
        <v>80</v>
      </c>
      <c r="J494">
        <f>(Cocina[[#This Row],[Precio Unitario]]-Cocina[[#This Row],[Costo Unitario]])*Cocina[[#This Row],[Cantidad Ordenada]]</f>
        <v>30</v>
      </c>
      <c r="K494" s="4">
        <f>Cocina[[#This Row],[Ganancia neta]]/_xlfn.XLOOKUP(Cocina[[#This Row],[Número de Orden]],Sala[Número de Orden],Sala[Monto total],"fracaso",0,1)</f>
        <v>0.14851485148514851</v>
      </c>
      <c r="L494" t="s">
        <v>607</v>
      </c>
    </row>
    <row r="495" spans="1:12" x14ac:dyDescent="0.25">
      <c r="A495">
        <v>190</v>
      </c>
      <c r="B495">
        <v>5</v>
      </c>
      <c r="C495" t="s">
        <v>26</v>
      </c>
      <c r="D495" t="s">
        <v>628</v>
      </c>
      <c r="E495">
        <v>21</v>
      </c>
      <c r="F495">
        <v>35</v>
      </c>
      <c r="G495">
        <v>1</v>
      </c>
      <c r="H495">
        <v>11</v>
      </c>
      <c r="I495">
        <f>Cocina[[#This Row],[Precio Unitario]]*Cocina[[#This Row],[Cantidad Ordenada]]</f>
        <v>35</v>
      </c>
      <c r="J495">
        <f>(Cocina[[#This Row],[Precio Unitario]]-Cocina[[#This Row],[Costo Unitario]])*Cocina[[#This Row],[Cantidad Ordenada]]</f>
        <v>14</v>
      </c>
      <c r="K495" s="4">
        <f>Cocina[[#This Row],[Ganancia neta]]/_xlfn.XLOOKUP(Cocina[[#This Row],[Número de Orden]],Sala[Número de Orden],Sala[Monto total],"fracaso",0,1)</f>
        <v>6.9306930693069313E-2</v>
      </c>
      <c r="L495" t="s">
        <v>608</v>
      </c>
    </row>
    <row r="496" spans="1:12" x14ac:dyDescent="0.25">
      <c r="A496">
        <v>190</v>
      </c>
      <c r="B496">
        <v>5</v>
      </c>
      <c r="C496" t="s">
        <v>200</v>
      </c>
      <c r="D496" t="s">
        <v>633</v>
      </c>
      <c r="E496">
        <v>14</v>
      </c>
      <c r="F496">
        <v>23</v>
      </c>
      <c r="G496">
        <v>3</v>
      </c>
      <c r="H496">
        <v>7</v>
      </c>
      <c r="I496">
        <f>Cocina[[#This Row],[Precio Unitario]]*Cocina[[#This Row],[Cantidad Ordenada]]</f>
        <v>69</v>
      </c>
      <c r="J496">
        <f>(Cocina[[#This Row],[Precio Unitario]]-Cocina[[#This Row],[Costo Unitario]])*Cocina[[#This Row],[Cantidad Ordenada]]</f>
        <v>27</v>
      </c>
      <c r="K496" s="4">
        <f>Cocina[[#This Row],[Ganancia neta]]/_xlfn.XLOOKUP(Cocina[[#This Row],[Número de Orden]],Sala[Número de Orden],Sala[Monto total],"fracaso",0,1)</f>
        <v>0.13366336633663367</v>
      </c>
      <c r="L496" t="s">
        <v>608</v>
      </c>
    </row>
    <row r="497" spans="1:12" x14ac:dyDescent="0.25">
      <c r="A497">
        <v>191</v>
      </c>
      <c r="B497">
        <v>12</v>
      </c>
      <c r="C497" t="s">
        <v>122</v>
      </c>
      <c r="D497" t="s">
        <v>637</v>
      </c>
      <c r="E497">
        <v>15</v>
      </c>
      <c r="F497">
        <v>25</v>
      </c>
      <c r="G497">
        <v>3</v>
      </c>
      <c r="H497">
        <v>32</v>
      </c>
      <c r="I497">
        <f>Cocina[[#This Row],[Precio Unitario]]*Cocina[[#This Row],[Cantidad Ordenada]]</f>
        <v>75</v>
      </c>
      <c r="J497">
        <f>(Cocina[[#This Row],[Precio Unitario]]-Cocina[[#This Row],[Costo Unitario]])*Cocina[[#This Row],[Cantidad Ordenada]]</f>
        <v>30</v>
      </c>
      <c r="K497" s="4">
        <f>Cocina[[#This Row],[Ganancia neta]]/_xlfn.XLOOKUP(Cocina[[#This Row],[Número de Orden]],Sala[Número de Orden],Sala[Monto total],"fracaso",0,1)</f>
        <v>0.18518518518518517</v>
      </c>
      <c r="L497" t="s">
        <v>608</v>
      </c>
    </row>
    <row r="498" spans="1:12" x14ac:dyDescent="0.25">
      <c r="A498">
        <v>191</v>
      </c>
      <c r="B498">
        <v>12</v>
      </c>
      <c r="C498" t="s">
        <v>38</v>
      </c>
      <c r="D498" t="s">
        <v>624</v>
      </c>
      <c r="E498">
        <v>17</v>
      </c>
      <c r="F498">
        <v>29</v>
      </c>
      <c r="G498">
        <v>3</v>
      </c>
      <c r="H498">
        <v>55</v>
      </c>
      <c r="I498">
        <f>Cocina[[#This Row],[Precio Unitario]]*Cocina[[#This Row],[Cantidad Ordenada]]</f>
        <v>87</v>
      </c>
      <c r="J498">
        <f>(Cocina[[#This Row],[Precio Unitario]]-Cocina[[#This Row],[Costo Unitario]])*Cocina[[#This Row],[Cantidad Ordenada]]</f>
        <v>36</v>
      </c>
      <c r="K498" s="4">
        <f>Cocina[[#This Row],[Ganancia neta]]/_xlfn.XLOOKUP(Cocina[[#This Row],[Número de Orden]],Sala[Número de Orden],Sala[Monto total],"fracaso",0,1)</f>
        <v>0.22222222222222221</v>
      </c>
      <c r="L498" t="s">
        <v>607</v>
      </c>
    </row>
    <row r="499" spans="1:12" x14ac:dyDescent="0.25">
      <c r="A499">
        <v>192</v>
      </c>
      <c r="B499">
        <v>17</v>
      </c>
      <c r="C499" t="s">
        <v>122</v>
      </c>
      <c r="D499" t="s">
        <v>637</v>
      </c>
      <c r="E499">
        <v>15</v>
      </c>
      <c r="F499">
        <v>25</v>
      </c>
      <c r="G499">
        <v>3</v>
      </c>
      <c r="H499">
        <v>26</v>
      </c>
      <c r="I499">
        <f>Cocina[[#This Row],[Precio Unitario]]*Cocina[[#This Row],[Cantidad Ordenada]]</f>
        <v>75</v>
      </c>
      <c r="J499">
        <f>(Cocina[[#This Row],[Precio Unitario]]-Cocina[[#This Row],[Costo Unitario]])*Cocina[[#This Row],[Cantidad Ordenada]]</f>
        <v>30</v>
      </c>
      <c r="K499" s="4">
        <f>Cocina[[#This Row],[Ganancia neta]]/_xlfn.XLOOKUP(Cocina[[#This Row],[Número de Orden]],Sala[Número de Orden],Sala[Monto total],"fracaso",0,1)</f>
        <v>0.4</v>
      </c>
      <c r="L499" t="s">
        <v>607</v>
      </c>
    </row>
    <row r="500" spans="1:12" x14ac:dyDescent="0.25">
      <c r="A500">
        <v>193</v>
      </c>
      <c r="B500">
        <v>3</v>
      </c>
      <c r="C500" t="s">
        <v>155</v>
      </c>
      <c r="D500" t="s">
        <v>636</v>
      </c>
      <c r="E500">
        <v>15</v>
      </c>
      <c r="F500">
        <v>26</v>
      </c>
      <c r="G500">
        <v>2</v>
      </c>
      <c r="H500">
        <v>57</v>
      </c>
      <c r="I500">
        <f>Cocina[[#This Row],[Precio Unitario]]*Cocina[[#This Row],[Cantidad Ordenada]]</f>
        <v>52</v>
      </c>
      <c r="J500">
        <f>(Cocina[[#This Row],[Precio Unitario]]-Cocina[[#This Row],[Costo Unitario]])*Cocina[[#This Row],[Cantidad Ordenada]]</f>
        <v>22</v>
      </c>
      <c r="K500" s="4">
        <f>Cocina[[#This Row],[Ganancia neta]]/_xlfn.XLOOKUP(Cocina[[#This Row],[Número de Orden]],Sala[Número de Orden],Sala[Monto total],"fracaso",0,1)</f>
        <v>0.1</v>
      </c>
      <c r="L500" t="s">
        <v>608</v>
      </c>
    </row>
    <row r="501" spans="1:12" x14ac:dyDescent="0.25">
      <c r="A501">
        <v>193</v>
      </c>
      <c r="B501">
        <v>3</v>
      </c>
      <c r="C501" t="s">
        <v>73</v>
      </c>
      <c r="D501" t="s">
        <v>623</v>
      </c>
      <c r="E501">
        <v>22</v>
      </c>
      <c r="F501">
        <v>36</v>
      </c>
      <c r="G501">
        <v>2</v>
      </c>
      <c r="H501">
        <v>59</v>
      </c>
      <c r="I501">
        <f>Cocina[[#This Row],[Precio Unitario]]*Cocina[[#This Row],[Cantidad Ordenada]]</f>
        <v>72</v>
      </c>
      <c r="J501">
        <f>(Cocina[[#This Row],[Precio Unitario]]-Cocina[[#This Row],[Costo Unitario]])*Cocina[[#This Row],[Cantidad Ordenada]]</f>
        <v>28</v>
      </c>
      <c r="K501" s="4">
        <f>Cocina[[#This Row],[Ganancia neta]]/_xlfn.XLOOKUP(Cocina[[#This Row],[Número de Orden]],Sala[Número de Orden],Sala[Monto total],"fracaso",0,1)</f>
        <v>0.12727272727272726</v>
      </c>
      <c r="L501" t="s">
        <v>607</v>
      </c>
    </row>
    <row r="502" spans="1:12" x14ac:dyDescent="0.25">
      <c r="A502">
        <v>193</v>
      </c>
      <c r="B502">
        <v>3</v>
      </c>
      <c r="C502" t="s">
        <v>106</v>
      </c>
      <c r="D502" t="s">
        <v>621</v>
      </c>
      <c r="E502">
        <v>16</v>
      </c>
      <c r="F502">
        <v>27</v>
      </c>
      <c r="G502">
        <v>1</v>
      </c>
      <c r="H502">
        <v>31</v>
      </c>
      <c r="I502">
        <f>Cocina[[#This Row],[Precio Unitario]]*Cocina[[#This Row],[Cantidad Ordenada]]</f>
        <v>27</v>
      </c>
      <c r="J502">
        <f>(Cocina[[#This Row],[Precio Unitario]]-Cocina[[#This Row],[Costo Unitario]])*Cocina[[#This Row],[Cantidad Ordenada]]</f>
        <v>11</v>
      </c>
      <c r="K502" s="4">
        <f>Cocina[[#This Row],[Ganancia neta]]/_xlfn.XLOOKUP(Cocina[[#This Row],[Número de Orden]],Sala[Número de Orden],Sala[Monto total],"fracaso",0,1)</f>
        <v>0.05</v>
      </c>
      <c r="L502" t="s">
        <v>608</v>
      </c>
    </row>
    <row r="503" spans="1:12" x14ac:dyDescent="0.25">
      <c r="A503">
        <v>193</v>
      </c>
      <c r="B503">
        <v>3</v>
      </c>
      <c r="C503" t="s">
        <v>200</v>
      </c>
      <c r="D503" t="s">
        <v>633</v>
      </c>
      <c r="E503">
        <v>14</v>
      </c>
      <c r="F503">
        <v>23</v>
      </c>
      <c r="G503">
        <v>3</v>
      </c>
      <c r="H503">
        <v>24</v>
      </c>
      <c r="I503">
        <f>Cocina[[#This Row],[Precio Unitario]]*Cocina[[#This Row],[Cantidad Ordenada]]</f>
        <v>69</v>
      </c>
      <c r="J503">
        <f>(Cocina[[#This Row],[Precio Unitario]]-Cocina[[#This Row],[Costo Unitario]])*Cocina[[#This Row],[Cantidad Ordenada]]</f>
        <v>27</v>
      </c>
      <c r="K503" s="4">
        <f>Cocina[[#This Row],[Ganancia neta]]/_xlfn.XLOOKUP(Cocina[[#This Row],[Número de Orden]],Sala[Número de Orden],Sala[Monto total],"fracaso",0,1)</f>
        <v>0.12272727272727273</v>
      </c>
      <c r="L503" t="s">
        <v>607</v>
      </c>
    </row>
    <row r="504" spans="1:12" x14ac:dyDescent="0.25">
      <c r="A504">
        <v>194</v>
      </c>
      <c r="B504">
        <v>3</v>
      </c>
      <c r="C504" t="s">
        <v>261</v>
      </c>
      <c r="D504" t="s">
        <v>625</v>
      </c>
      <c r="E504">
        <v>20</v>
      </c>
      <c r="F504">
        <v>33</v>
      </c>
      <c r="G504">
        <v>2</v>
      </c>
      <c r="H504">
        <v>18</v>
      </c>
      <c r="I504">
        <f>Cocina[[#This Row],[Precio Unitario]]*Cocina[[#This Row],[Cantidad Ordenada]]</f>
        <v>66</v>
      </c>
      <c r="J504">
        <f>(Cocina[[#This Row],[Precio Unitario]]-Cocina[[#This Row],[Costo Unitario]])*Cocina[[#This Row],[Cantidad Ordenada]]</f>
        <v>26</v>
      </c>
      <c r="K504" s="4">
        <f>Cocina[[#This Row],[Ganancia neta]]/_xlfn.XLOOKUP(Cocina[[#This Row],[Número de Orden]],Sala[Número de Orden],Sala[Monto total],"fracaso",0,1)</f>
        <v>0.27083333333333331</v>
      </c>
      <c r="L504" t="s">
        <v>607</v>
      </c>
    </row>
    <row r="505" spans="1:12" x14ac:dyDescent="0.25">
      <c r="A505">
        <v>194</v>
      </c>
      <c r="B505">
        <v>3</v>
      </c>
      <c r="C505" t="s">
        <v>68</v>
      </c>
      <c r="D505" t="s">
        <v>619</v>
      </c>
      <c r="E505">
        <v>18</v>
      </c>
      <c r="F505">
        <v>30</v>
      </c>
      <c r="G505">
        <v>1</v>
      </c>
      <c r="H505">
        <v>50</v>
      </c>
      <c r="I505">
        <f>Cocina[[#This Row],[Precio Unitario]]*Cocina[[#This Row],[Cantidad Ordenada]]</f>
        <v>30</v>
      </c>
      <c r="J505">
        <f>(Cocina[[#This Row],[Precio Unitario]]-Cocina[[#This Row],[Costo Unitario]])*Cocina[[#This Row],[Cantidad Ordenada]]</f>
        <v>12</v>
      </c>
      <c r="K505" s="4">
        <f>Cocina[[#This Row],[Ganancia neta]]/_xlfn.XLOOKUP(Cocina[[#This Row],[Número de Orden]],Sala[Número de Orden],Sala[Monto total],"fracaso",0,1)</f>
        <v>0.125</v>
      </c>
      <c r="L505" t="s">
        <v>607</v>
      </c>
    </row>
    <row r="506" spans="1:12" x14ac:dyDescent="0.25">
      <c r="A506">
        <v>195</v>
      </c>
      <c r="B506">
        <v>2</v>
      </c>
      <c r="C506" t="s">
        <v>122</v>
      </c>
      <c r="D506" t="s">
        <v>637</v>
      </c>
      <c r="E506">
        <v>15</v>
      </c>
      <c r="F506">
        <v>25</v>
      </c>
      <c r="G506">
        <v>2</v>
      </c>
      <c r="H506">
        <v>51</v>
      </c>
      <c r="I506">
        <f>Cocina[[#This Row],[Precio Unitario]]*Cocina[[#This Row],[Cantidad Ordenada]]</f>
        <v>50</v>
      </c>
      <c r="J506">
        <f>(Cocina[[#This Row],[Precio Unitario]]-Cocina[[#This Row],[Costo Unitario]])*Cocina[[#This Row],[Cantidad Ordenada]]</f>
        <v>20</v>
      </c>
      <c r="K506" s="4">
        <f>Cocina[[#This Row],[Ganancia neta]]/_xlfn.XLOOKUP(Cocina[[#This Row],[Número de Orden]],Sala[Número de Orden],Sala[Monto total],"fracaso",0,1)</f>
        <v>0.4</v>
      </c>
      <c r="L506" t="s">
        <v>607</v>
      </c>
    </row>
    <row r="507" spans="1:12" x14ac:dyDescent="0.25">
      <c r="A507">
        <v>196</v>
      </c>
      <c r="B507">
        <v>4</v>
      </c>
      <c r="C507" t="s">
        <v>146</v>
      </c>
      <c r="D507" t="s">
        <v>632</v>
      </c>
      <c r="E507">
        <v>12</v>
      </c>
      <c r="F507">
        <v>20</v>
      </c>
      <c r="G507">
        <v>3</v>
      </c>
      <c r="H507">
        <v>34</v>
      </c>
      <c r="I507">
        <f>Cocina[[#This Row],[Precio Unitario]]*Cocina[[#This Row],[Cantidad Ordenada]]</f>
        <v>60</v>
      </c>
      <c r="J507">
        <f>(Cocina[[#This Row],[Precio Unitario]]-Cocina[[#This Row],[Costo Unitario]])*Cocina[[#This Row],[Cantidad Ordenada]]</f>
        <v>24</v>
      </c>
      <c r="K507" s="4">
        <f>Cocina[[#This Row],[Ganancia neta]]/_xlfn.XLOOKUP(Cocina[[#This Row],[Número de Orden]],Sala[Número de Orden],Sala[Monto total],"fracaso",0,1)</f>
        <v>0.1256544502617801</v>
      </c>
      <c r="L507" t="s">
        <v>608</v>
      </c>
    </row>
    <row r="508" spans="1:12" x14ac:dyDescent="0.25">
      <c r="A508">
        <v>196</v>
      </c>
      <c r="B508">
        <v>4</v>
      </c>
      <c r="C508" t="s">
        <v>200</v>
      </c>
      <c r="D508" t="s">
        <v>633</v>
      </c>
      <c r="E508">
        <v>14</v>
      </c>
      <c r="F508">
        <v>23</v>
      </c>
      <c r="G508">
        <v>2</v>
      </c>
      <c r="H508">
        <v>51</v>
      </c>
      <c r="I508">
        <f>Cocina[[#This Row],[Precio Unitario]]*Cocina[[#This Row],[Cantidad Ordenada]]</f>
        <v>46</v>
      </c>
      <c r="J508">
        <f>(Cocina[[#This Row],[Precio Unitario]]-Cocina[[#This Row],[Costo Unitario]])*Cocina[[#This Row],[Cantidad Ordenada]]</f>
        <v>18</v>
      </c>
      <c r="K508" s="4">
        <f>Cocina[[#This Row],[Ganancia neta]]/_xlfn.XLOOKUP(Cocina[[#This Row],[Número de Orden]],Sala[Número de Orden],Sala[Monto total],"fracaso",0,1)</f>
        <v>9.4240837696335081E-2</v>
      </c>
      <c r="L508" t="s">
        <v>607</v>
      </c>
    </row>
    <row r="509" spans="1:12" x14ac:dyDescent="0.25">
      <c r="A509">
        <v>196</v>
      </c>
      <c r="B509">
        <v>4</v>
      </c>
      <c r="C509" t="s">
        <v>38</v>
      </c>
      <c r="D509" t="s">
        <v>624</v>
      </c>
      <c r="E509">
        <v>17</v>
      </c>
      <c r="F509">
        <v>29</v>
      </c>
      <c r="G509">
        <v>1</v>
      </c>
      <c r="H509">
        <v>47</v>
      </c>
      <c r="I509">
        <f>Cocina[[#This Row],[Precio Unitario]]*Cocina[[#This Row],[Cantidad Ordenada]]</f>
        <v>29</v>
      </c>
      <c r="J509">
        <f>(Cocina[[#This Row],[Precio Unitario]]-Cocina[[#This Row],[Costo Unitario]])*Cocina[[#This Row],[Cantidad Ordenada]]</f>
        <v>12</v>
      </c>
      <c r="K509" s="4">
        <f>Cocina[[#This Row],[Ganancia neta]]/_xlfn.XLOOKUP(Cocina[[#This Row],[Número de Orden]],Sala[Número de Orden],Sala[Monto total],"fracaso",0,1)</f>
        <v>6.2827225130890049E-2</v>
      </c>
      <c r="L509" t="s">
        <v>608</v>
      </c>
    </row>
    <row r="510" spans="1:12" x14ac:dyDescent="0.25">
      <c r="A510">
        <v>196</v>
      </c>
      <c r="B510">
        <v>4</v>
      </c>
      <c r="C510" t="s">
        <v>42</v>
      </c>
      <c r="D510" t="s">
        <v>626</v>
      </c>
      <c r="E510">
        <v>16</v>
      </c>
      <c r="F510">
        <v>28</v>
      </c>
      <c r="G510">
        <v>2</v>
      </c>
      <c r="H510">
        <v>44</v>
      </c>
      <c r="I510">
        <f>Cocina[[#This Row],[Precio Unitario]]*Cocina[[#This Row],[Cantidad Ordenada]]</f>
        <v>56</v>
      </c>
      <c r="J510">
        <f>(Cocina[[#This Row],[Precio Unitario]]-Cocina[[#This Row],[Costo Unitario]])*Cocina[[#This Row],[Cantidad Ordenada]]</f>
        <v>24</v>
      </c>
      <c r="K510" s="4">
        <f>Cocina[[#This Row],[Ganancia neta]]/_xlfn.XLOOKUP(Cocina[[#This Row],[Número de Orden]],Sala[Número de Orden],Sala[Monto total],"fracaso",0,1)</f>
        <v>0.1256544502617801</v>
      </c>
      <c r="L510" t="s">
        <v>608</v>
      </c>
    </row>
    <row r="511" spans="1:12" x14ac:dyDescent="0.25">
      <c r="A511">
        <v>197</v>
      </c>
      <c r="B511">
        <v>5</v>
      </c>
      <c r="C511" t="s">
        <v>55</v>
      </c>
      <c r="D511" t="s">
        <v>631</v>
      </c>
      <c r="E511">
        <v>20</v>
      </c>
      <c r="F511">
        <v>34</v>
      </c>
      <c r="G511">
        <v>3</v>
      </c>
      <c r="H511">
        <v>22</v>
      </c>
      <c r="I511">
        <f>Cocina[[#This Row],[Precio Unitario]]*Cocina[[#This Row],[Cantidad Ordenada]]</f>
        <v>102</v>
      </c>
      <c r="J511">
        <f>(Cocina[[#This Row],[Precio Unitario]]-Cocina[[#This Row],[Costo Unitario]])*Cocina[[#This Row],[Cantidad Ordenada]]</f>
        <v>42</v>
      </c>
      <c r="K511" s="4">
        <f>Cocina[[#This Row],[Ganancia neta]]/_xlfn.XLOOKUP(Cocina[[#This Row],[Número de Orden]],Sala[Número de Orden],Sala[Monto total],"fracaso",0,1)</f>
        <v>0.32558139534883723</v>
      </c>
      <c r="L511" t="s">
        <v>607</v>
      </c>
    </row>
    <row r="512" spans="1:12" x14ac:dyDescent="0.25">
      <c r="A512">
        <v>197</v>
      </c>
      <c r="B512">
        <v>5</v>
      </c>
      <c r="C512" t="s">
        <v>106</v>
      </c>
      <c r="D512" t="s">
        <v>621</v>
      </c>
      <c r="E512">
        <v>16</v>
      </c>
      <c r="F512">
        <v>27</v>
      </c>
      <c r="G512">
        <v>1</v>
      </c>
      <c r="H512">
        <v>50</v>
      </c>
      <c r="I512">
        <f>Cocina[[#This Row],[Precio Unitario]]*Cocina[[#This Row],[Cantidad Ordenada]]</f>
        <v>27</v>
      </c>
      <c r="J512">
        <f>(Cocina[[#This Row],[Precio Unitario]]-Cocina[[#This Row],[Costo Unitario]])*Cocina[[#This Row],[Cantidad Ordenada]]</f>
        <v>11</v>
      </c>
      <c r="K512" s="4">
        <f>Cocina[[#This Row],[Ganancia neta]]/_xlfn.XLOOKUP(Cocina[[#This Row],[Número de Orden]],Sala[Número de Orden],Sala[Monto total],"fracaso",0,1)</f>
        <v>8.5271317829457363E-2</v>
      </c>
      <c r="L512" t="s">
        <v>607</v>
      </c>
    </row>
    <row r="513" spans="1:12" x14ac:dyDescent="0.25">
      <c r="A513">
        <v>198</v>
      </c>
      <c r="B513">
        <v>9</v>
      </c>
      <c r="C513" t="s">
        <v>106</v>
      </c>
      <c r="D513" t="s">
        <v>621</v>
      </c>
      <c r="E513">
        <v>16</v>
      </c>
      <c r="F513">
        <v>27</v>
      </c>
      <c r="G513">
        <v>2</v>
      </c>
      <c r="H513">
        <v>33</v>
      </c>
      <c r="I513">
        <f>Cocina[[#This Row],[Precio Unitario]]*Cocina[[#This Row],[Cantidad Ordenada]]</f>
        <v>54</v>
      </c>
      <c r="J513">
        <f>(Cocina[[#This Row],[Precio Unitario]]-Cocina[[#This Row],[Costo Unitario]])*Cocina[[#This Row],[Cantidad Ordenada]]</f>
        <v>22</v>
      </c>
      <c r="K513" s="4">
        <f>Cocina[[#This Row],[Ganancia neta]]/_xlfn.XLOOKUP(Cocina[[#This Row],[Número de Orden]],Sala[Número de Orden],Sala[Monto total],"fracaso",0,1)</f>
        <v>0.40740740740740738</v>
      </c>
      <c r="L513" t="s">
        <v>607</v>
      </c>
    </row>
    <row r="514" spans="1:12" x14ac:dyDescent="0.25">
      <c r="A514">
        <v>199</v>
      </c>
      <c r="B514">
        <v>11</v>
      </c>
      <c r="C514" t="s">
        <v>38</v>
      </c>
      <c r="D514" t="s">
        <v>624</v>
      </c>
      <c r="E514">
        <v>17</v>
      </c>
      <c r="F514">
        <v>29</v>
      </c>
      <c r="G514">
        <v>3</v>
      </c>
      <c r="H514">
        <v>31</v>
      </c>
      <c r="I514">
        <f>Cocina[[#This Row],[Precio Unitario]]*Cocina[[#This Row],[Cantidad Ordenada]]</f>
        <v>87</v>
      </c>
      <c r="J514">
        <f>(Cocina[[#This Row],[Precio Unitario]]-Cocina[[#This Row],[Costo Unitario]])*Cocina[[#This Row],[Cantidad Ordenada]]</f>
        <v>36</v>
      </c>
      <c r="K514" s="4">
        <f>Cocina[[#This Row],[Ganancia neta]]/_xlfn.XLOOKUP(Cocina[[#This Row],[Número de Orden]],Sala[Número de Orden],Sala[Monto total],"fracaso",0,1)</f>
        <v>0.13793103448275862</v>
      </c>
      <c r="L514" t="s">
        <v>607</v>
      </c>
    </row>
    <row r="515" spans="1:12" x14ac:dyDescent="0.25">
      <c r="A515">
        <v>199</v>
      </c>
      <c r="B515">
        <v>11</v>
      </c>
      <c r="C515" t="s">
        <v>26</v>
      </c>
      <c r="D515" t="s">
        <v>628</v>
      </c>
      <c r="E515">
        <v>21</v>
      </c>
      <c r="F515">
        <v>35</v>
      </c>
      <c r="G515">
        <v>3</v>
      </c>
      <c r="H515">
        <v>41</v>
      </c>
      <c r="I515">
        <f>Cocina[[#This Row],[Precio Unitario]]*Cocina[[#This Row],[Cantidad Ordenada]]</f>
        <v>105</v>
      </c>
      <c r="J515">
        <f>(Cocina[[#This Row],[Precio Unitario]]-Cocina[[#This Row],[Costo Unitario]])*Cocina[[#This Row],[Cantidad Ordenada]]</f>
        <v>42</v>
      </c>
      <c r="K515" s="4">
        <f>Cocina[[#This Row],[Ganancia neta]]/_xlfn.XLOOKUP(Cocina[[#This Row],[Número de Orden]],Sala[Número de Orden],Sala[Monto total],"fracaso",0,1)</f>
        <v>0.16091954022988506</v>
      </c>
      <c r="L515" t="s">
        <v>608</v>
      </c>
    </row>
    <row r="516" spans="1:12" x14ac:dyDescent="0.25">
      <c r="A516">
        <v>199</v>
      </c>
      <c r="B516">
        <v>11</v>
      </c>
      <c r="C516" t="s">
        <v>70</v>
      </c>
      <c r="D516" t="s">
        <v>634</v>
      </c>
      <c r="E516">
        <v>13</v>
      </c>
      <c r="F516">
        <v>21</v>
      </c>
      <c r="G516">
        <v>2</v>
      </c>
      <c r="H516">
        <v>18</v>
      </c>
      <c r="I516">
        <f>Cocina[[#This Row],[Precio Unitario]]*Cocina[[#This Row],[Cantidad Ordenada]]</f>
        <v>42</v>
      </c>
      <c r="J516">
        <f>(Cocina[[#This Row],[Precio Unitario]]-Cocina[[#This Row],[Costo Unitario]])*Cocina[[#This Row],[Cantidad Ordenada]]</f>
        <v>16</v>
      </c>
      <c r="K516" s="4">
        <f>Cocina[[#This Row],[Ganancia neta]]/_xlfn.XLOOKUP(Cocina[[#This Row],[Número de Orden]],Sala[Número de Orden],Sala[Monto total],"fracaso",0,1)</f>
        <v>6.1302681992337162E-2</v>
      </c>
      <c r="L516" t="s">
        <v>608</v>
      </c>
    </row>
    <row r="517" spans="1:12" x14ac:dyDescent="0.25">
      <c r="A517">
        <v>199</v>
      </c>
      <c r="B517">
        <v>11</v>
      </c>
      <c r="C517" t="s">
        <v>106</v>
      </c>
      <c r="D517" t="s">
        <v>621</v>
      </c>
      <c r="E517">
        <v>16</v>
      </c>
      <c r="F517">
        <v>27</v>
      </c>
      <c r="G517">
        <v>1</v>
      </c>
      <c r="H517">
        <v>52</v>
      </c>
      <c r="I517">
        <f>Cocina[[#This Row],[Precio Unitario]]*Cocina[[#This Row],[Cantidad Ordenada]]</f>
        <v>27</v>
      </c>
      <c r="J517">
        <f>(Cocina[[#This Row],[Precio Unitario]]-Cocina[[#This Row],[Costo Unitario]])*Cocina[[#This Row],[Cantidad Ordenada]]</f>
        <v>11</v>
      </c>
      <c r="K517" s="4">
        <f>Cocina[[#This Row],[Ganancia neta]]/_xlfn.XLOOKUP(Cocina[[#This Row],[Número de Orden]],Sala[Número de Orden],Sala[Monto total],"fracaso",0,1)</f>
        <v>4.2145593869731802E-2</v>
      </c>
      <c r="L517" t="s">
        <v>608</v>
      </c>
    </row>
    <row r="518" spans="1:12" x14ac:dyDescent="0.25">
      <c r="A518">
        <v>200</v>
      </c>
      <c r="B518">
        <v>11</v>
      </c>
      <c r="C518" t="s">
        <v>112</v>
      </c>
      <c r="D518" t="s">
        <v>627</v>
      </c>
      <c r="E518">
        <v>11</v>
      </c>
      <c r="F518">
        <v>19</v>
      </c>
      <c r="G518">
        <v>2</v>
      </c>
      <c r="H518">
        <v>39</v>
      </c>
      <c r="I518">
        <f>Cocina[[#This Row],[Precio Unitario]]*Cocina[[#This Row],[Cantidad Ordenada]]</f>
        <v>38</v>
      </c>
      <c r="J518">
        <f>(Cocina[[#This Row],[Precio Unitario]]-Cocina[[#This Row],[Costo Unitario]])*Cocina[[#This Row],[Cantidad Ordenada]]</f>
        <v>16</v>
      </c>
      <c r="K518" s="4">
        <f>Cocina[[#This Row],[Ganancia neta]]/_xlfn.XLOOKUP(Cocina[[#This Row],[Número de Orden]],Sala[Número de Orden],Sala[Monto total],"fracaso",0,1)</f>
        <v>0.18181818181818182</v>
      </c>
      <c r="L518" t="s">
        <v>607</v>
      </c>
    </row>
    <row r="519" spans="1:12" x14ac:dyDescent="0.25">
      <c r="A519">
        <v>200</v>
      </c>
      <c r="B519">
        <v>11</v>
      </c>
      <c r="C519" t="s">
        <v>122</v>
      </c>
      <c r="D519" t="s">
        <v>637</v>
      </c>
      <c r="E519">
        <v>15</v>
      </c>
      <c r="F519">
        <v>25</v>
      </c>
      <c r="G519">
        <v>2</v>
      </c>
      <c r="H519">
        <v>28</v>
      </c>
      <c r="I519">
        <f>Cocina[[#This Row],[Precio Unitario]]*Cocina[[#This Row],[Cantidad Ordenada]]</f>
        <v>50</v>
      </c>
      <c r="J519">
        <f>(Cocina[[#This Row],[Precio Unitario]]-Cocina[[#This Row],[Costo Unitario]])*Cocina[[#This Row],[Cantidad Ordenada]]</f>
        <v>20</v>
      </c>
      <c r="K519" s="4">
        <f>Cocina[[#This Row],[Ganancia neta]]/_xlfn.XLOOKUP(Cocina[[#This Row],[Número de Orden]],Sala[Número de Orden],Sala[Monto total],"fracaso",0,1)</f>
        <v>0.22727272727272727</v>
      </c>
      <c r="L519" t="s">
        <v>608</v>
      </c>
    </row>
    <row r="520" spans="1:12" x14ac:dyDescent="0.25">
      <c r="A520">
        <v>201</v>
      </c>
      <c r="B520">
        <v>3</v>
      </c>
      <c r="C520" t="s">
        <v>158</v>
      </c>
      <c r="D520" t="s">
        <v>617</v>
      </c>
      <c r="E520">
        <v>14</v>
      </c>
      <c r="F520">
        <v>24</v>
      </c>
      <c r="G520">
        <v>3</v>
      </c>
      <c r="H520">
        <v>58</v>
      </c>
      <c r="I520">
        <f>Cocina[[#This Row],[Precio Unitario]]*Cocina[[#This Row],[Cantidad Ordenada]]</f>
        <v>72</v>
      </c>
      <c r="J520">
        <f>(Cocina[[#This Row],[Precio Unitario]]-Cocina[[#This Row],[Costo Unitario]])*Cocina[[#This Row],[Cantidad Ordenada]]</f>
        <v>30</v>
      </c>
      <c r="K520" s="4">
        <f>Cocina[[#This Row],[Ganancia neta]]/_xlfn.XLOOKUP(Cocina[[#This Row],[Número de Orden]],Sala[Número de Orden],Sala[Monto total],"fracaso",0,1)</f>
        <v>0.41666666666666669</v>
      </c>
      <c r="L520" t="s">
        <v>608</v>
      </c>
    </row>
    <row r="521" spans="1:12" x14ac:dyDescent="0.25">
      <c r="A521">
        <v>202</v>
      </c>
      <c r="B521">
        <v>16</v>
      </c>
      <c r="C521" t="s">
        <v>73</v>
      </c>
      <c r="D521" t="s">
        <v>623</v>
      </c>
      <c r="E521">
        <v>22</v>
      </c>
      <c r="F521">
        <v>36</v>
      </c>
      <c r="G521">
        <v>2</v>
      </c>
      <c r="H521">
        <v>46</v>
      </c>
      <c r="I521">
        <f>Cocina[[#This Row],[Precio Unitario]]*Cocina[[#This Row],[Cantidad Ordenada]]</f>
        <v>72</v>
      </c>
      <c r="J521">
        <f>(Cocina[[#This Row],[Precio Unitario]]-Cocina[[#This Row],[Costo Unitario]])*Cocina[[#This Row],[Cantidad Ordenada]]</f>
        <v>28</v>
      </c>
      <c r="K521" s="4">
        <f>Cocina[[#This Row],[Ganancia neta]]/_xlfn.XLOOKUP(Cocina[[#This Row],[Número de Orden]],Sala[Número de Orden],Sala[Monto total],"fracaso",0,1)</f>
        <v>0.13592233009708737</v>
      </c>
      <c r="L521" t="s">
        <v>608</v>
      </c>
    </row>
    <row r="522" spans="1:12" x14ac:dyDescent="0.25">
      <c r="A522">
        <v>202</v>
      </c>
      <c r="B522">
        <v>16</v>
      </c>
      <c r="C522" t="s">
        <v>48</v>
      </c>
      <c r="D522" t="s">
        <v>622</v>
      </c>
      <c r="E522">
        <v>25</v>
      </c>
      <c r="F522">
        <v>40</v>
      </c>
      <c r="G522">
        <v>2</v>
      </c>
      <c r="H522">
        <v>47</v>
      </c>
      <c r="I522">
        <f>Cocina[[#This Row],[Precio Unitario]]*Cocina[[#This Row],[Cantidad Ordenada]]</f>
        <v>80</v>
      </c>
      <c r="J522">
        <f>(Cocina[[#This Row],[Precio Unitario]]-Cocina[[#This Row],[Costo Unitario]])*Cocina[[#This Row],[Cantidad Ordenada]]</f>
        <v>30</v>
      </c>
      <c r="K522" s="4">
        <f>Cocina[[#This Row],[Ganancia neta]]/_xlfn.XLOOKUP(Cocina[[#This Row],[Número de Orden]],Sala[Número de Orden],Sala[Monto total],"fracaso",0,1)</f>
        <v>0.14563106796116504</v>
      </c>
      <c r="L522" t="s">
        <v>607</v>
      </c>
    </row>
    <row r="523" spans="1:12" x14ac:dyDescent="0.25">
      <c r="A523">
        <v>202</v>
      </c>
      <c r="B523">
        <v>16</v>
      </c>
      <c r="C523" t="s">
        <v>158</v>
      </c>
      <c r="D523" t="s">
        <v>617</v>
      </c>
      <c r="E523">
        <v>14</v>
      </c>
      <c r="F523">
        <v>24</v>
      </c>
      <c r="G523">
        <v>1</v>
      </c>
      <c r="H523">
        <v>5</v>
      </c>
      <c r="I523">
        <f>Cocina[[#This Row],[Precio Unitario]]*Cocina[[#This Row],[Cantidad Ordenada]]</f>
        <v>24</v>
      </c>
      <c r="J523">
        <f>(Cocina[[#This Row],[Precio Unitario]]-Cocina[[#This Row],[Costo Unitario]])*Cocina[[#This Row],[Cantidad Ordenada]]</f>
        <v>10</v>
      </c>
      <c r="K523" s="4">
        <f>Cocina[[#This Row],[Ganancia neta]]/_xlfn.XLOOKUP(Cocina[[#This Row],[Número de Orden]],Sala[Número de Orden],Sala[Monto total],"fracaso",0,1)</f>
        <v>4.8543689320388349E-2</v>
      </c>
      <c r="L523" t="s">
        <v>607</v>
      </c>
    </row>
    <row r="524" spans="1:12" x14ac:dyDescent="0.25">
      <c r="A524">
        <v>202</v>
      </c>
      <c r="B524">
        <v>16</v>
      </c>
      <c r="C524" t="s">
        <v>68</v>
      </c>
      <c r="D524" t="s">
        <v>619</v>
      </c>
      <c r="E524">
        <v>18</v>
      </c>
      <c r="F524">
        <v>30</v>
      </c>
      <c r="G524">
        <v>1</v>
      </c>
      <c r="H524">
        <v>58</v>
      </c>
      <c r="I524">
        <f>Cocina[[#This Row],[Precio Unitario]]*Cocina[[#This Row],[Cantidad Ordenada]]</f>
        <v>30</v>
      </c>
      <c r="J524">
        <f>(Cocina[[#This Row],[Precio Unitario]]-Cocina[[#This Row],[Costo Unitario]])*Cocina[[#This Row],[Cantidad Ordenada]]</f>
        <v>12</v>
      </c>
      <c r="K524" s="4">
        <f>Cocina[[#This Row],[Ganancia neta]]/_xlfn.XLOOKUP(Cocina[[#This Row],[Número de Orden]],Sala[Número de Orden],Sala[Monto total],"fracaso",0,1)</f>
        <v>5.8252427184466021E-2</v>
      </c>
      <c r="L524" t="s">
        <v>607</v>
      </c>
    </row>
    <row r="525" spans="1:12" x14ac:dyDescent="0.25">
      <c r="A525">
        <v>203</v>
      </c>
      <c r="B525">
        <v>5</v>
      </c>
      <c r="C525" t="s">
        <v>116</v>
      </c>
      <c r="D525" t="s">
        <v>620</v>
      </c>
      <c r="E525">
        <v>19</v>
      </c>
      <c r="F525">
        <v>31</v>
      </c>
      <c r="G525">
        <v>3</v>
      </c>
      <c r="H525">
        <v>51</v>
      </c>
      <c r="I525">
        <f>Cocina[[#This Row],[Precio Unitario]]*Cocina[[#This Row],[Cantidad Ordenada]]</f>
        <v>93</v>
      </c>
      <c r="J525">
        <f>(Cocina[[#This Row],[Precio Unitario]]-Cocina[[#This Row],[Costo Unitario]])*Cocina[[#This Row],[Cantidad Ordenada]]</f>
        <v>36</v>
      </c>
      <c r="K525" s="4">
        <f>Cocina[[#This Row],[Ganancia neta]]/_xlfn.XLOOKUP(Cocina[[#This Row],[Número de Orden]],Sala[Número de Orden],Sala[Monto total],"fracaso",0,1)</f>
        <v>0.23076923076923078</v>
      </c>
      <c r="L525" t="s">
        <v>607</v>
      </c>
    </row>
    <row r="526" spans="1:12" x14ac:dyDescent="0.25">
      <c r="A526">
        <v>203</v>
      </c>
      <c r="B526">
        <v>5</v>
      </c>
      <c r="C526" t="s">
        <v>70</v>
      </c>
      <c r="D526" t="s">
        <v>634</v>
      </c>
      <c r="E526">
        <v>13</v>
      </c>
      <c r="F526">
        <v>21</v>
      </c>
      <c r="G526">
        <v>3</v>
      </c>
      <c r="H526">
        <v>34</v>
      </c>
      <c r="I526">
        <f>Cocina[[#This Row],[Precio Unitario]]*Cocina[[#This Row],[Cantidad Ordenada]]</f>
        <v>63</v>
      </c>
      <c r="J526">
        <f>(Cocina[[#This Row],[Precio Unitario]]-Cocina[[#This Row],[Costo Unitario]])*Cocina[[#This Row],[Cantidad Ordenada]]</f>
        <v>24</v>
      </c>
      <c r="K526" s="4">
        <f>Cocina[[#This Row],[Ganancia neta]]/_xlfn.XLOOKUP(Cocina[[#This Row],[Número de Orden]],Sala[Número de Orden],Sala[Monto total],"fracaso",0,1)</f>
        <v>0.15384615384615385</v>
      </c>
      <c r="L526" t="s">
        <v>608</v>
      </c>
    </row>
    <row r="527" spans="1:12" x14ac:dyDescent="0.25">
      <c r="A527">
        <v>204</v>
      </c>
      <c r="B527">
        <v>16</v>
      </c>
      <c r="C527" t="s">
        <v>158</v>
      </c>
      <c r="D527" t="s">
        <v>617</v>
      </c>
      <c r="E527">
        <v>14</v>
      </c>
      <c r="F527">
        <v>24</v>
      </c>
      <c r="G527">
        <v>2</v>
      </c>
      <c r="H527">
        <v>21</v>
      </c>
      <c r="I527">
        <f>Cocina[[#This Row],[Precio Unitario]]*Cocina[[#This Row],[Cantidad Ordenada]]</f>
        <v>48</v>
      </c>
      <c r="J527">
        <f>(Cocina[[#This Row],[Precio Unitario]]-Cocina[[#This Row],[Costo Unitario]])*Cocina[[#This Row],[Cantidad Ordenada]]</f>
        <v>20</v>
      </c>
      <c r="K527" s="4">
        <f>Cocina[[#This Row],[Ganancia neta]]/_xlfn.XLOOKUP(Cocina[[#This Row],[Número de Orden]],Sala[Número de Orden],Sala[Monto total],"fracaso",0,1)</f>
        <v>0.41666666666666669</v>
      </c>
      <c r="L527" t="s">
        <v>607</v>
      </c>
    </row>
    <row r="528" spans="1:12" x14ac:dyDescent="0.25">
      <c r="A528">
        <v>205</v>
      </c>
      <c r="B528">
        <v>14</v>
      </c>
      <c r="C528" t="s">
        <v>247</v>
      </c>
      <c r="D528" t="s">
        <v>629</v>
      </c>
      <c r="E528">
        <v>19</v>
      </c>
      <c r="F528">
        <v>32</v>
      </c>
      <c r="G528">
        <v>1</v>
      </c>
      <c r="H528">
        <v>34</v>
      </c>
      <c r="I528">
        <f>Cocina[[#This Row],[Precio Unitario]]*Cocina[[#This Row],[Cantidad Ordenada]]</f>
        <v>32</v>
      </c>
      <c r="J528">
        <f>(Cocina[[#This Row],[Precio Unitario]]-Cocina[[#This Row],[Costo Unitario]])*Cocina[[#This Row],[Cantidad Ordenada]]</f>
        <v>13</v>
      </c>
      <c r="K528" s="4">
        <f>Cocina[[#This Row],[Ganancia neta]]/_xlfn.XLOOKUP(Cocina[[#This Row],[Número de Orden]],Sala[Número de Orden],Sala[Monto total],"fracaso",0,1)</f>
        <v>0.21311475409836064</v>
      </c>
      <c r="L528" t="s">
        <v>607</v>
      </c>
    </row>
    <row r="529" spans="1:12" x14ac:dyDescent="0.25">
      <c r="A529">
        <v>205</v>
      </c>
      <c r="B529">
        <v>14</v>
      </c>
      <c r="C529" t="s">
        <v>38</v>
      </c>
      <c r="D529" t="s">
        <v>624</v>
      </c>
      <c r="E529">
        <v>17</v>
      </c>
      <c r="F529">
        <v>29</v>
      </c>
      <c r="G529">
        <v>1</v>
      </c>
      <c r="H529">
        <v>52</v>
      </c>
      <c r="I529">
        <f>Cocina[[#This Row],[Precio Unitario]]*Cocina[[#This Row],[Cantidad Ordenada]]</f>
        <v>29</v>
      </c>
      <c r="J529">
        <f>(Cocina[[#This Row],[Precio Unitario]]-Cocina[[#This Row],[Costo Unitario]])*Cocina[[#This Row],[Cantidad Ordenada]]</f>
        <v>12</v>
      </c>
      <c r="K529" s="4">
        <f>Cocina[[#This Row],[Ganancia neta]]/_xlfn.XLOOKUP(Cocina[[#This Row],[Número de Orden]],Sala[Número de Orden],Sala[Monto total],"fracaso",0,1)</f>
        <v>0.19672131147540983</v>
      </c>
      <c r="L529" t="s">
        <v>608</v>
      </c>
    </row>
    <row r="530" spans="1:12" x14ac:dyDescent="0.25">
      <c r="A530">
        <v>206</v>
      </c>
      <c r="B530">
        <v>4</v>
      </c>
      <c r="C530" t="s">
        <v>68</v>
      </c>
      <c r="D530" t="s">
        <v>619</v>
      </c>
      <c r="E530">
        <v>18</v>
      </c>
      <c r="F530">
        <v>30</v>
      </c>
      <c r="G530">
        <v>1</v>
      </c>
      <c r="H530">
        <v>58</v>
      </c>
      <c r="I530">
        <f>Cocina[[#This Row],[Precio Unitario]]*Cocina[[#This Row],[Cantidad Ordenada]]</f>
        <v>30</v>
      </c>
      <c r="J530">
        <f>(Cocina[[#This Row],[Precio Unitario]]-Cocina[[#This Row],[Costo Unitario]])*Cocina[[#This Row],[Cantidad Ordenada]]</f>
        <v>12</v>
      </c>
      <c r="K530" s="4">
        <f>Cocina[[#This Row],[Ganancia neta]]/_xlfn.XLOOKUP(Cocina[[#This Row],[Número de Orden]],Sala[Número de Orden],Sala[Monto total],"fracaso",0,1)</f>
        <v>0.4</v>
      </c>
      <c r="L530" t="s">
        <v>608</v>
      </c>
    </row>
    <row r="531" spans="1:12" x14ac:dyDescent="0.25">
      <c r="A531">
        <v>207</v>
      </c>
      <c r="B531">
        <v>20</v>
      </c>
      <c r="C531" t="s">
        <v>155</v>
      </c>
      <c r="D531" t="s">
        <v>636</v>
      </c>
      <c r="E531">
        <v>15</v>
      </c>
      <c r="F531">
        <v>26</v>
      </c>
      <c r="G531">
        <v>2</v>
      </c>
      <c r="H531">
        <v>37</v>
      </c>
      <c r="I531">
        <f>Cocina[[#This Row],[Precio Unitario]]*Cocina[[#This Row],[Cantidad Ordenada]]</f>
        <v>52</v>
      </c>
      <c r="J531">
        <f>(Cocina[[#This Row],[Precio Unitario]]-Cocina[[#This Row],[Costo Unitario]])*Cocina[[#This Row],[Cantidad Ordenada]]</f>
        <v>22</v>
      </c>
      <c r="K531" s="4">
        <f>Cocina[[#This Row],[Ganancia neta]]/_xlfn.XLOOKUP(Cocina[[#This Row],[Número de Orden]],Sala[Número de Orden],Sala[Monto total],"fracaso",0,1)</f>
        <v>0.12222222222222222</v>
      </c>
      <c r="L531" t="s">
        <v>607</v>
      </c>
    </row>
    <row r="532" spans="1:12" x14ac:dyDescent="0.25">
      <c r="A532">
        <v>207</v>
      </c>
      <c r="B532">
        <v>20</v>
      </c>
      <c r="C532" t="s">
        <v>26</v>
      </c>
      <c r="D532" t="s">
        <v>628</v>
      </c>
      <c r="E532">
        <v>21</v>
      </c>
      <c r="F532">
        <v>35</v>
      </c>
      <c r="G532">
        <v>1</v>
      </c>
      <c r="H532">
        <v>55</v>
      </c>
      <c r="I532">
        <f>Cocina[[#This Row],[Precio Unitario]]*Cocina[[#This Row],[Cantidad Ordenada]]</f>
        <v>35</v>
      </c>
      <c r="J532">
        <f>(Cocina[[#This Row],[Precio Unitario]]-Cocina[[#This Row],[Costo Unitario]])*Cocina[[#This Row],[Cantidad Ordenada]]</f>
        <v>14</v>
      </c>
      <c r="K532" s="4">
        <f>Cocina[[#This Row],[Ganancia neta]]/_xlfn.XLOOKUP(Cocina[[#This Row],[Número de Orden]],Sala[Número de Orden],Sala[Monto total],"fracaso",0,1)</f>
        <v>7.7777777777777779E-2</v>
      </c>
      <c r="L532" t="s">
        <v>608</v>
      </c>
    </row>
    <row r="533" spans="1:12" x14ac:dyDescent="0.25">
      <c r="A533">
        <v>207</v>
      </c>
      <c r="B533">
        <v>20</v>
      </c>
      <c r="C533" t="s">
        <v>116</v>
      </c>
      <c r="D533" t="s">
        <v>620</v>
      </c>
      <c r="E533">
        <v>19</v>
      </c>
      <c r="F533">
        <v>31</v>
      </c>
      <c r="G533">
        <v>3</v>
      </c>
      <c r="H533">
        <v>19</v>
      </c>
      <c r="I533">
        <f>Cocina[[#This Row],[Precio Unitario]]*Cocina[[#This Row],[Cantidad Ordenada]]</f>
        <v>93</v>
      </c>
      <c r="J533">
        <f>(Cocina[[#This Row],[Precio Unitario]]-Cocina[[#This Row],[Costo Unitario]])*Cocina[[#This Row],[Cantidad Ordenada]]</f>
        <v>36</v>
      </c>
      <c r="K533" s="4">
        <f>Cocina[[#This Row],[Ganancia neta]]/_xlfn.XLOOKUP(Cocina[[#This Row],[Número de Orden]],Sala[Número de Orden],Sala[Monto total],"fracaso",0,1)</f>
        <v>0.2</v>
      </c>
      <c r="L533" t="s">
        <v>608</v>
      </c>
    </row>
    <row r="534" spans="1:12" x14ac:dyDescent="0.25">
      <c r="A534">
        <v>208</v>
      </c>
      <c r="B534">
        <v>16</v>
      </c>
      <c r="C534" t="s">
        <v>247</v>
      </c>
      <c r="D534" t="s">
        <v>629</v>
      </c>
      <c r="E534">
        <v>19</v>
      </c>
      <c r="F534">
        <v>32</v>
      </c>
      <c r="G534">
        <v>1</v>
      </c>
      <c r="H534">
        <v>18</v>
      </c>
      <c r="I534">
        <f>Cocina[[#This Row],[Precio Unitario]]*Cocina[[#This Row],[Cantidad Ordenada]]</f>
        <v>32</v>
      </c>
      <c r="J534">
        <f>(Cocina[[#This Row],[Precio Unitario]]-Cocina[[#This Row],[Costo Unitario]])*Cocina[[#This Row],[Cantidad Ordenada]]</f>
        <v>13</v>
      </c>
      <c r="K534" s="4">
        <f>Cocina[[#This Row],[Ganancia neta]]/_xlfn.XLOOKUP(Cocina[[#This Row],[Número de Orden]],Sala[Número de Orden],Sala[Monto total],"fracaso",0,1)</f>
        <v>7.2222222222222215E-2</v>
      </c>
      <c r="L534" t="s">
        <v>608</v>
      </c>
    </row>
    <row r="535" spans="1:12" x14ac:dyDescent="0.25">
      <c r="A535">
        <v>208</v>
      </c>
      <c r="B535">
        <v>16</v>
      </c>
      <c r="C535" t="s">
        <v>73</v>
      </c>
      <c r="D535" t="s">
        <v>623</v>
      </c>
      <c r="E535">
        <v>22</v>
      </c>
      <c r="F535">
        <v>36</v>
      </c>
      <c r="G535">
        <v>3</v>
      </c>
      <c r="H535">
        <v>29</v>
      </c>
      <c r="I535">
        <f>Cocina[[#This Row],[Precio Unitario]]*Cocina[[#This Row],[Cantidad Ordenada]]</f>
        <v>108</v>
      </c>
      <c r="J535">
        <f>(Cocina[[#This Row],[Precio Unitario]]-Cocina[[#This Row],[Costo Unitario]])*Cocina[[#This Row],[Cantidad Ordenada]]</f>
        <v>42</v>
      </c>
      <c r="K535" s="4">
        <f>Cocina[[#This Row],[Ganancia neta]]/_xlfn.XLOOKUP(Cocina[[#This Row],[Número de Orden]],Sala[Número de Orden],Sala[Monto total],"fracaso",0,1)</f>
        <v>0.23333333333333334</v>
      </c>
      <c r="L535" t="s">
        <v>608</v>
      </c>
    </row>
    <row r="536" spans="1:12" x14ac:dyDescent="0.25">
      <c r="A536">
        <v>208</v>
      </c>
      <c r="B536">
        <v>16</v>
      </c>
      <c r="C536" t="s">
        <v>146</v>
      </c>
      <c r="D536" t="s">
        <v>632</v>
      </c>
      <c r="E536">
        <v>12</v>
      </c>
      <c r="F536">
        <v>20</v>
      </c>
      <c r="G536">
        <v>2</v>
      </c>
      <c r="H536">
        <v>53</v>
      </c>
      <c r="I536">
        <f>Cocina[[#This Row],[Precio Unitario]]*Cocina[[#This Row],[Cantidad Ordenada]]</f>
        <v>40</v>
      </c>
      <c r="J536">
        <f>(Cocina[[#This Row],[Precio Unitario]]-Cocina[[#This Row],[Costo Unitario]])*Cocina[[#This Row],[Cantidad Ordenada]]</f>
        <v>16</v>
      </c>
      <c r="K536" s="4">
        <f>Cocina[[#This Row],[Ganancia neta]]/_xlfn.XLOOKUP(Cocina[[#This Row],[Número de Orden]],Sala[Número de Orden],Sala[Monto total],"fracaso",0,1)</f>
        <v>8.8888888888888892E-2</v>
      </c>
      <c r="L536" t="s">
        <v>607</v>
      </c>
    </row>
    <row r="537" spans="1:12" x14ac:dyDescent="0.25">
      <c r="A537">
        <v>209</v>
      </c>
      <c r="B537">
        <v>9</v>
      </c>
      <c r="C537" t="s">
        <v>200</v>
      </c>
      <c r="D537" t="s">
        <v>633</v>
      </c>
      <c r="E537">
        <v>14</v>
      </c>
      <c r="F537">
        <v>23</v>
      </c>
      <c r="G537">
        <v>3</v>
      </c>
      <c r="H537">
        <v>35</v>
      </c>
      <c r="I537">
        <f>Cocina[[#This Row],[Precio Unitario]]*Cocina[[#This Row],[Cantidad Ordenada]]</f>
        <v>69</v>
      </c>
      <c r="J537">
        <f>(Cocina[[#This Row],[Precio Unitario]]-Cocina[[#This Row],[Costo Unitario]])*Cocina[[#This Row],[Cantidad Ordenada]]</f>
        <v>27</v>
      </c>
      <c r="K537" s="4">
        <f>Cocina[[#This Row],[Ganancia neta]]/_xlfn.XLOOKUP(Cocina[[#This Row],[Número de Orden]],Sala[Número de Orden],Sala[Monto total],"fracaso",0,1)</f>
        <v>0.12616822429906541</v>
      </c>
      <c r="L537" t="s">
        <v>608</v>
      </c>
    </row>
    <row r="538" spans="1:12" x14ac:dyDescent="0.25">
      <c r="A538">
        <v>209</v>
      </c>
      <c r="B538">
        <v>9</v>
      </c>
      <c r="C538" t="s">
        <v>55</v>
      </c>
      <c r="D538" t="s">
        <v>631</v>
      </c>
      <c r="E538">
        <v>20</v>
      </c>
      <c r="F538">
        <v>34</v>
      </c>
      <c r="G538">
        <v>2</v>
      </c>
      <c r="H538">
        <v>40</v>
      </c>
      <c r="I538">
        <f>Cocina[[#This Row],[Precio Unitario]]*Cocina[[#This Row],[Cantidad Ordenada]]</f>
        <v>68</v>
      </c>
      <c r="J538">
        <f>(Cocina[[#This Row],[Precio Unitario]]-Cocina[[#This Row],[Costo Unitario]])*Cocina[[#This Row],[Cantidad Ordenada]]</f>
        <v>28</v>
      </c>
      <c r="K538" s="4">
        <f>Cocina[[#This Row],[Ganancia neta]]/_xlfn.XLOOKUP(Cocina[[#This Row],[Número de Orden]],Sala[Número de Orden],Sala[Monto total],"fracaso",0,1)</f>
        <v>0.13084112149532709</v>
      </c>
      <c r="L538" t="s">
        <v>608</v>
      </c>
    </row>
    <row r="539" spans="1:12" x14ac:dyDescent="0.25">
      <c r="A539">
        <v>209</v>
      </c>
      <c r="B539">
        <v>9</v>
      </c>
      <c r="C539" t="s">
        <v>122</v>
      </c>
      <c r="D539" t="s">
        <v>637</v>
      </c>
      <c r="E539">
        <v>15</v>
      </c>
      <c r="F539">
        <v>25</v>
      </c>
      <c r="G539">
        <v>1</v>
      </c>
      <c r="H539">
        <v>42</v>
      </c>
      <c r="I539">
        <f>Cocina[[#This Row],[Precio Unitario]]*Cocina[[#This Row],[Cantidad Ordenada]]</f>
        <v>25</v>
      </c>
      <c r="J539">
        <f>(Cocina[[#This Row],[Precio Unitario]]-Cocina[[#This Row],[Costo Unitario]])*Cocina[[#This Row],[Cantidad Ordenada]]</f>
        <v>10</v>
      </c>
      <c r="K539" s="4">
        <f>Cocina[[#This Row],[Ganancia neta]]/_xlfn.XLOOKUP(Cocina[[#This Row],[Número de Orden]],Sala[Número de Orden],Sala[Monto total],"fracaso",0,1)</f>
        <v>4.6728971962616821E-2</v>
      </c>
      <c r="L539" t="s">
        <v>607</v>
      </c>
    </row>
    <row r="540" spans="1:12" x14ac:dyDescent="0.25">
      <c r="A540">
        <v>209</v>
      </c>
      <c r="B540">
        <v>9</v>
      </c>
      <c r="C540" t="s">
        <v>155</v>
      </c>
      <c r="D540" t="s">
        <v>636</v>
      </c>
      <c r="E540">
        <v>15</v>
      </c>
      <c r="F540">
        <v>26</v>
      </c>
      <c r="G540">
        <v>2</v>
      </c>
      <c r="H540">
        <v>54</v>
      </c>
      <c r="I540">
        <f>Cocina[[#This Row],[Precio Unitario]]*Cocina[[#This Row],[Cantidad Ordenada]]</f>
        <v>52</v>
      </c>
      <c r="J540">
        <f>(Cocina[[#This Row],[Precio Unitario]]-Cocina[[#This Row],[Costo Unitario]])*Cocina[[#This Row],[Cantidad Ordenada]]</f>
        <v>22</v>
      </c>
      <c r="K540" s="4">
        <f>Cocina[[#This Row],[Ganancia neta]]/_xlfn.XLOOKUP(Cocina[[#This Row],[Número de Orden]],Sala[Número de Orden],Sala[Monto total],"fracaso",0,1)</f>
        <v>0.10280373831775701</v>
      </c>
      <c r="L540" t="s">
        <v>607</v>
      </c>
    </row>
    <row r="541" spans="1:12" x14ac:dyDescent="0.25">
      <c r="A541">
        <v>210</v>
      </c>
      <c r="B541">
        <v>10</v>
      </c>
      <c r="C541" t="s">
        <v>70</v>
      </c>
      <c r="D541" t="s">
        <v>634</v>
      </c>
      <c r="E541">
        <v>13</v>
      </c>
      <c r="F541">
        <v>21</v>
      </c>
      <c r="G541">
        <v>1</v>
      </c>
      <c r="H541">
        <v>28</v>
      </c>
      <c r="I541">
        <f>Cocina[[#This Row],[Precio Unitario]]*Cocina[[#This Row],[Cantidad Ordenada]]</f>
        <v>21</v>
      </c>
      <c r="J541">
        <f>(Cocina[[#This Row],[Precio Unitario]]-Cocina[[#This Row],[Costo Unitario]])*Cocina[[#This Row],[Cantidad Ordenada]]</f>
        <v>8</v>
      </c>
      <c r="K541" s="4">
        <f>Cocina[[#This Row],[Ganancia neta]]/_xlfn.XLOOKUP(Cocina[[#This Row],[Número de Orden]],Sala[Número de Orden],Sala[Monto total],"fracaso",0,1)</f>
        <v>4.1025641025641026E-2</v>
      </c>
      <c r="L541" t="s">
        <v>608</v>
      </c>
    </row>
    <row r="542" spans="1:12" x14ac:dyDescent="0.25">
      <c r="A542">
        <v>210</v>
      </c>
      <c r="B542">
        <v>10</v>
      </c>
      <c r="C542" t="s">
        <v>68</v>
      </c>
      <c r="D542" t="s">
        <v>619</v>
      </c>
      <c r="E542">
        <v>18</v>
      </c>
      <c r="F542">
        <v>30</v>
      </c>
      <c r="G542">
        <v>1</v>
      </c>
      <c r="H542">
        <v>50</v>
      </c>
      <c r="I542">
        <f>Cocina[[#This Row],[Precio Unitario]]*Cocina[[#This Row],[Cantidad Ordenada]]</f>
        <v>30</v>
      </c>
      <c r="J542">
        <f>(Cocina[[#This Row],[Precio Unitario]]-Cocina[[#This Row],[Costo Unitario]])*Cocina[[#This Row],[Cantidad Ordenada]]</f>
        <v>12</v>
      </c>
      <c r="K542" s="4">
        <f>Cocina[[#This Row],[Ganancia neta]]/_xlfn.XLOOKUP(Cocina[[#This Row],[Número de Orden]],Sala[Número de Orden],Sala[Monto total],"fracaso",0,1)</f>
        <v>6.1538461538461542E-2</v>
      </c>
      <c r="L542" t="s">
        <v>607</v>
      </c>
    </row>
    <row r="543" spans="1:12" x14ac:dyDescent="0.25">
      <c r="A543">
        <v>210</v>
      </c>
      <c r="B543">
        <v>10</v>
      </c>
      <c r="C543" t="s">
        <v>158</v>
      </c>
      <c r="D543" t="s">
        <v>617</v>
      </c>
      <c r="E543">
        <v>14</v>
      </c>
      <c r="F543">
        <v>24</v>
      </c>
      <c r="G543">
        <v>1</v>
      </c>
      <c r="H543">
        <v>34</v>
      </c>
      <c r="I543">
        <f>Cocina[[#This Row],[Precio Unitario]]*Cocina[[#This Row],[Cantidad Ordenada]]</f>
        <v>24</v>
      </c>
      <c r="J543">
        <f>(Cocina[[#This Row],[Precio Unitario]]-Cocina[[#This Row],[Costo Unitario]])*Cocina[[#This Row],[Cantidad Ordenada]]</f>
        <v>10</v>
      </c>
      <c r="K543" s="4">
        <f>Cocina[[#This Row],[Ganancia neta]]/_xlfn.XLOOKUP(Cocina[[#This Row],[Número de Orden]],Sala[Número de Orden],Sala[Monto total],"fracaso",0,1)</f>
        <v>5.128205128205128E-2</v>
      </c>
      <c r="L543" t="s">
        <v>607</v>
      </c>
    </row>
    <row r="544" spans="1:12" x14ac:dyDescent="0.25">
      <c r="A544">
        <v>210</v>
      </c>
      <c r="B544">
        <v>10</v>
      </c>
      <c r="C544" t="s">
        <v>48</v>
      </c>
      <c r="D544" t="s">
        <v>622</v>
      </c>
      <c r="E544">
        <v>25</v>
      </c>
      <c r="F544">
        <v>40</v>
      </c>
      <c r="G544">
        <v>3</v>
      </c>
      <c r="H544">
        <v>46</v>
      </c>
      <c r="I544">
        <f>Cocina[[#This Row],[Precio Unitario]]*Cocina[[#This Row],[Cantidad Ordenada]]</f>
        <v>120</v>
      </c>
      <c r="J544">
        <f>(Cocina[[#This Row],[Precio Unitario]]-Cocina[[#This Row],[Costo Unitario]])*Cocina[[#This Row],[Cantidad Ordenada]]</f>
        <v>45</v>
      </c>
      <c r="K544" s="4">
        <f>Cocina[[#This Row],[Ganancia neta]]/_xlfn.XLOOKUP(Cocina[[#This Row],[Número de Orden]],Sala[Número de Orden],Sala[Monto total],"fracaso",0,1)</f>
        <v>0.23076923076923078</v>
      </c>
      <c r="L544" t="s">
        <v>607</v>
      </c>
    </row>
    <row r="545" spans="1:12" x14ac:dyDescent="0.25">
      <c r="A545">
        <v>211</v>
      </c>
      <c r="B545">
        <v>1</v>
      </c>
      <c r="C545" t="s">
        <v>70</v>
      </c>
      <c r="D545" t="s">
        <v>634</v>
      </c>
      <c r="E545">
        <v>13</v>
      </c>
      <c r="F545">
        <v>21</v>
      </c>
      <c r="G545">
        <v>3</v>
      </c>
      <c r="H545">
        <v>54</v>
      </c>
      <c r="I545">
        <f>Cocina[[#This Row],[Precio Unitario]]*Cocina[[#This Row],[Cantidad Ordenada]]</f>
        <v>63</v>
      </c>
      <c r="J545">
        <f>(Cocina[[#This Row],[Precio Unitario]]-Cocina[[#This Row],[Costo Unitario]])*Cocina[[#This Row],[Cantidad Ordenada]]</f>
        <v>24</v>
      </c>
      <c r="K545" s="4">
        <f>Cocina[[#This Row],[Ganancia neta]]/_xlfn.XLOOKUP(Cocina[[#This Row],[Número de Orden]],Sala[Número de Orden],Sala[Monto total],"fracaso",0,1)</f>
        <v>0.14201183431952663</v>
      </c>
      <c r="L545" t="s">
        <v>608</v>
      </c>
    </row>
    <row r="546" spans="1:12" x14ac:dyDescent="0.25">
      <c r="A546">
        <v>211</v>
      </c>
      <c r="B546">
        <v>1</v>
      </c>
      <c r="C546" t="s">
        <v>79</v>
      </c>
      <c r="D546" t="s">
        <v>635</v>
      </c>
      <c r="E546">
        <v>10</v>
      </c>
      <c r="F546">
        <v>18</v>
      </c>
      <c r="G546">
        <v>2</v>
      </c>
      <c r="H546">
        <v>45</v>
      </c>
      <c r="I546">
        <f>Cocina[[#This Row],[Precio Unitario]]*Cocina[[#This Row],[Cantidad Ordenada]]</f>
        <v>36</v>
      </c>
      <c r="J546">
        <f>(Cocina[[#This Row],[Precio Unitario]]-Cocina[[#This Row],[Costo Unitario]])*Cocina[[#This Row],[Cantidad Ordenada]]</f>
        <v>16</v>
      </c>
      <c r="K546" s="4">
        <f>Cocina[[#This Row],[Ganancia neta]]/_xlfn.XLOOKUP(Cocina[[#This Row],[Número de Orden]],Sala[Número de Orden],Sala[Monto total],"fracaso",0,1)</f>
        <v>9.4674556213017749E-2</v>
      </c>
      <c r="L546" t="s">
        <v>607</v>
      </c>
    </row>
    <row r="547" spans="1:12" x14ac:dyDescent="0.25">
      <c r="A547">
        <v>211</v>
      </c>
      <c r="B547">
        <v>1</v>
      </c>
      <c r="C547" t="s">
        <v>122</v>
      </c>
      <c r="D547" t="s">
        <v>637</v>
      </c>
      <c r="E547">
        <v>15</v>
      </c>
      <c r="F547">
        <v>25</v>
      </c>
      <c r="G547">
        <v>2</v>
      </c>
      <c r="H547">
        <v>9</v>
      </c>
      <c r="I547">
        <f>Cocina[[#This Row],[Precio Unitario]]*Cocina[[#This Row],[Cantidad Ordenada]]</f>
        <v>50</v>
      </c>
      <c r="J547">
        <f>(Cocina[[#This Row],[Precio Unitario]]-Cocina[[#This Row],[Costo Unitario]])*Cocina[[#This Row],[Cantidad Ordenada]]</f>
        <v>20</v>
      </c>
      <c r="K547" s="4">
        <f>Cocina[[#This Row],[Ganancia neta]]/_xlfn.XLOOKUP(Cocina[[#This Row],[Número de Orden]],Sala[Número de Orden],Sala[Monto total],"fracaso",0,1)</f>
        <v>0.11834319526627218</v>
      </c>
      <c r="L547" t="s">
        <v>607</v>
      </c>
    </row>
    <row r="548" spans="1:12" x14ac:dyDescent="0.25">
      <c r="A548">
        <v>211</v>
      </c>
      <c r="B548">
        <v>1</v>
      </c>
      <c r="C548" t="s">
        <v>146</v>
      </c>
      <c r="D548" t="s">
        <v>632</v>
      </c>
      <c r="E548">
        <v>12</v>
      </c>
      <c r="F548">
        <v>20</v>
      </c>
      <c r="G548">
        <v>1</v>
      </c>
      <c r="H548">
        <v>27</v>
      </c>
      <c r="I548">
        <f>Cocina[[#This Row],[Precio Unitario]]*Cocina[[#This Row],[Cantidad Ordenada]]</f>
        <v>20</v>
      </c>
      <c r="J548">
        <f>(Cocina[[#This Row],[Precio Unitario]]-Cocina[[#This Row],[Costo Unitario]])*Cocina[[#This Row],[Cantidad Ordenada]]</f>
        <v>8</v>
      </c>
      <c r="K548" s="4">
        <f>Cocina[[#This Row],[Ganancia neta]]/_xlfn.XLOOKUP(Cocina[[#This Row],[Número de Orden]],Sala[Número de Orden],Sala[Monto total],"fracaso",0,1)</f>
        <v>4.7337278106508875E-2</v>
      </c>
      <c r="L548" t="s">
        <v>607</v>
      </c>
    </row>
    <row r="549" spans="1:12" x14ac:dyDescent="0.25">
      <c r="A549">
        <v>212</v>
      </c>
      <c r="B549">
        <v>14</v>
      </c>
      <c r="C549" t="s">
        <v>68</v>
      </c>
      <c r="D549" t="s">
        <v>619</v>
      </c>
      <c r="E549">
        <v>18</v>
      </c>
      <c r="F549">
        <v>30</v>
      </c>
      <c r="G549">
        <v>3</v>
      </c>
      <c r="H549">
        <v>35</v>
      </c>
      <c r="I549">
        <f>Cocina[[#This Row],[Precio Unitario]]*Cocina[[#This Row],[Cantidad Ordenada]]</f>
        <v>90</v>
      </c>
      <c r="J549">
        <f>(Cocina[[#This Row],[Precio Unitario]]-Cocina[[#This Row],[Costo Unitario]])*Cocina[[#This Row],[Cantidad Ordenada]]</f>
        <v>36</v>
      </c>
      <c r="K549" s="4">
        <f>Cocina[[#This Row],[Ganancia neta]]/_xlfn.XLOOKUP(Cocina[[#This Row],[Número de Orden]],Sala[Número de Orden],Sala[Monto total],"fracaso",0,1)</f>
        <v>0.14693877551020409</v>
      </c>
      <c r="L549" t="s">
        <v>608</v>
      </c>
    </row>
    <row r="550" spans="1:12" x14ac:dyDescent="0.25">
      <c r="A550">
        <v>212</v>
      </c>
      <c r="B550">
        <v>14</v>
      </c>
      <c r="C550" t="s">
        <v>155</v>
      </c>
      <c r="D550" t="s">
        <v>636</v>
      </c>
      <c r="E550">
        <v>15</v>
      </c>
      <c r="F550">
        <v>26</v>
      </c>
      <c r="G550">
        <v>3</v>
      </c>
      <c r="H550">
        <v>43</v>
      </c>
      <c r="I550">
        <f>Cocina[[#This Row],[Precio Unitario]]*Cocina[[#This Row],[Cantidad Ordenada]]</f>
        <v>78</v>
      </c>
      <c r="J550">
        <f>(Cocina[[#This Row],[Precio Unitario]]-Cocina[[#This Row],[Costo Unitario]])*Cocina[[#This Row],[Cantidad Ordenada]]</f>
        <v>33</v>
      </c>
      <c r="K550" s="4">
        <f>Cocina[[#This Row],[Ganancia neta]]/_xlfn.XLOOKUP(Cocina[[#This Row],[Número de Orden]],Sala[Número de Orden],Sala[Monto total],"fracaso",0,1)</f>
        <v>0.13469387755102041</v>
      </c>
      <c r="L550" t="s">
        <v>608</v>
      </c>
    </row>
    <row r="551" spans="1:12" x14ac:dyDescent="0.25">
      <c r="A551">
        <v>212</v>
      </c>
      <c r="B551">
        <v>14</v>
      </c>
      <c r="C551" t="s">
        <v>70</v>
      </c>
      <c r="D551" t="s">
        <v>634</v>
      </c>
      <c r="E551">
        <v>13</v>
      </c>
      <c r="F551">
        <v>21</v>
      </c>
      <c r="G551">
        <v>1</v>
      </c>
      <c r="H551">
        <v>31</v>
      </c>
      <c r="I551">
        <f>Cocina[[#This Row],[Precio Unitario]]*Cocina[[#This Row],[Cantidad Ordenada]]</f>
        <v>21</v>
      </c>
      <c r="J551">
        <f>(Cocina[[#This Row],[Precio Unitario]]-Cocina[[#This Row],[Costo Unitario]])*Cocina[[#This Row],[Cantidad Ordenada]]</f>
        <v>8</v>
      </c>
      <c r="K551" s="4">
        <f>Cocina[[#This Row],[Ganancia neta]]/_xlfn.XLOOKUP(Cocina[[#This Row],[Número de Orden]],Sala[Número de Orden],Sala[Monto total],"fracaso",0,1)</f>
        <v>3.2653061224489799E-2</v>
      </c>
      <c r="L551" t="s">
        <v>608</v>
      </c>
    </row>
    <row r="552" spans="1:12" x14ac:dyDescent="0.25">
      <c r="A552">
        <v>212</v>
      </c>
      <c r="B552">
        <v>14</v>
      </c>
      <c r="C552" t="s">
        <v>42</v>
      </c>
      <c r="D552" t="s">
        <v>626</v>
      </c>
      <c r="E552">
        <v>16</v>
      </c>
      <c r="F552">
        <v>28</v>
      </c>
      <c r="G552">
        <v>2</v>
      </c>
      <c r="H552">
        <v>55</v>
      </c>
      <c r="I552">
        <f>Cocina[[#This Row],[Precio Unitario]]*Cocina[[#This Row],[Cantidad Ordenada]]</f>
        <v>56</v>
      </c>
      <c r="J552">
        <f>(Cocina[[#This Row],[Precio Unitario]]-Cocina[[#This Row],[Costo Unitario]])*Cocina[[#This Row],[Cantidad Ordenada]]</f>
        <v>24</v>
      </c>
      <c r="K552" s="4">
        <f>Cocina[[#This Row],[Ganancia neta]]/_xlfn.XLOOKUP(Cocina[[#This Row],[Número de Orden]],Sala[Número de Orden],Sala[Monto total],"fracaso",0,1)</f>
        <v>9.7959183673469383E-2</v>
      </c>
      <c r="L552" t="s">
        <v>608</v>
      </c>
    </row>
    <row r="553" spans="1:12" x14ac:dyDescent="0.25">
      <c r="A553">
        <v>213</v>
      </c>
      <c r="B553">
        <v>13</v>
      </c>
      <c r="C553" t="s">
        <v>106</v>
      </c>
      <c r="D553" t="s">
        <v>621</v>
      </c>
      <c r="E553">
        <v>16</v>
      </c>
      <c r="F553">
        <v>27</v>
      </c>
      <c r="G553">
        <v>1</v>
      </c>
      <c r="H553">
        <v>53</v>
      </c>
      <c r="I553">
        <f>Cocina[[#This Row],[Precio Unitario]]*Cocina[[#This Row],[Cantidad Ordenada]]</f>
        <v>27</v>
      </c>
      <c r="J553">
        <f>(Cocina[[#This Row],[Precio Unitario]]-Cocina[[#This Row],[Costo Unitario]])*Cocina[[#This Row],[Cantidad Ordenada]]</f>
        <v>11</v>
      </c>
      <c r="K553" s="4">
        <f>Cocina[[#This Row],[Ganancia neta]]/_xlfn.XLOOKUP(Cocina[[#This Row],[Número de Orden]],Sala[Número de Orden],Sala[Monto total],"fracaso",0,1)</f>
        <v>0.12643678160919541</v>
      </c>
      <c r="L553" t="s">
        <v>607</v>
      </c>
    </row>
    <row r="554" spans="1:12" x14ac:dyDescent="0.25">
      <c r="A554">
        <v>213</v>
      </c>
      <c r="B554">
        <v>13</v>
      </c>
      <c r="C554" t="s">
        <v>68</v>
      </c>
      <c r="D554" t="s">
        <v>619</v>
      </c>
      <c r="E554">
        <v>18</v>
      </c>
      <c r="F554">
        <v>30</v>
      </c>
      <c r="G554">
        <v>2</v>
      </c>
      <c r="H554">
        <v>47</v>
      </c>
      <c r="I554">
        <f>Cocina[[#This Row],[Precio Unitario]]*Cocina[[#This Row],[Cantidad Ordenada]]</f>
        <v>60</v>
      </c>
      <c r="J554">
        <f>(Cocina[[#This Row],[Precio Unitario]]-Cocina[[#This Row],[Costo Unitario]])*Cocina[[#This Row],[Cantidad Ordenada]]</f>
        <v>24</v>
      </c>
      <c r="K554" s="4">
        <f>Cocina[[#This Row],[Ganancia neta]]/_xlfn.XLOOKUP(Cocina[[#This Row],[Número de Orden]],Sala[Número de Orden],Sala[Monto total],"fracaso",0,1)</f>
        <v>0.27586206896551724</v>
      </c>
      <c r="L554" t="s">
        <v>608</v>
      </c>
    </row>
    <row r="555" spans="1:12" x14ac:dyDescent="0.25">
      <c r="A555">
        <v>214</v>
      </c>
      <c r="B555">
        <v>2</v>
      </c>
      <c r="C555" t="s">
        <v>55</v>
      </c>
      <c r="D555" t="s">
        <v>631</v>
      </c>
      <c r="E555">
        <v>20</v>
      </c>
      <c r="F555">
        <v>34</v>
      </c>
      <c r="G555">
        <v>2</v>
      </c>
      <c r="H555">
        <v>14</v>
      </c>
      <c r="I555">
        <f>Cocina[[#This Row],[Precio Unitario]]*Cocina[[#This Row],[Cantidad Ordenada]]</f>
        <v>68</v>
      </c>
      <c r="J555">
        <f>(Cocina[[#This Row],[Precio Unitario]]-Cocina[[#This Row],[Costo Unitario]])*Cocina[[#This Row],[Cantidad Ordenada]]</f>
        <v>28</v>
      </c>
      <c r="K555" s="4">
        <f>Cocina[[#This Row],[Ganancia neta]]/_xlfn.XLOOKUP(Cocina[[#This Row],[Número de Orden]],Sala[Número de Orden],Sala[Monto total],"fracaso",0,1)</f>
        <v>0.12280701754385964</v>
      </c>
      <c r="L555" t="s">
        <v>607</v>
      </c>
    </row>
    <row r="556" spans="1:12" x14ac:dyDescent="0.25">
      <c r="A556">
        <v>214</v>
      </c>
      <c r="B556">
        <v>2</v>
      </c>
      <c r="C556" t="s">
        <v>48</v>
      </c>
      <c r="D556" t="s">
        <v>622</v>
      </c>
      <c r="E556">
        <v>25</v>
      </c>
      <c r="F556">
        <v>40</v>
      </c>
      <c r="G556">
        <v>3</v>
      </c>
      <c r="H556">
        <v>12</v>
      </c>
      <c r="I556">
        <f>Cocina[[#This Row],[Precio Unitario]]*Cocina[[#This Row],[Cantidad Ordenada]]</f>
        <v>120</v>
      </c>
      <c r="J556">
        <f>(Cocina[[#This Row],[Precio Unitario]]-Cocina[[#This Row],[Costo Unitario]])*Cocina[[#This Row],[Cantidad Ordenada]]</f>
        <v>45</v>
      </c>
      <c r="K556" s="4">
        <f>Cocina[[#This Row],[Ganancia neta]]/_xlfn.XLOOKUP(Cocina[[#This Row],[Número de Orden]],Sala[Número de Orden],Sala[Monto total],"fracaso",0,1)</f>
        <v>0.19736842105263158</v>
      </c>
      <c r="L556" t="s">
        <v>608</v>
      </c>
    </row>
    <row r="557" spans="1:12" x14ac:dyDescent="0.25">
      <c r="A557">
        <v>214</v>
      </c>
      <c r="B557">
        <v>2</v>
      </c>
      <c r="C557" t="s">
        <v>146</v>
      </c>
      <c r="D557" t="s">
        <v>632</v>
      </c>
      <c r="E557">
        <v>12</v>
      </c>
      <c r="F557">
        <v>20</v>
      </c>
      <c r="G557">
        <v>2</v>
      </c>
      <c r="H557">
        <v>12</v>
      </c>
      <c r="I557">
        <f>Cocina[[#This Row],[Precio Unitario]]*Cocina[[#This Row],[Cantidad Ordenada]]</f>
        <v>40</v>
      </c>
      <c r="J557">
        <f>(Cocina[[#This Row],[Precio Unitario]]-Cocina[[#This Row],[Costo Unitario]])*Cocina[[#This Row],[Cantidad Ordenada]]</f>
        <v>16</v>
      </c>
      <c r="K557" s="4">
        <f>Cocina[[#This Row],[Ganancia neta]]/_xlfn.XLOOKUP(Cocina[[#This Row],[Número de Orden]],Sala[Número de Orden],Sala[Monto total],"fracaso",0,1)</f>
        <v>7.0175438596491224E-2</v>
      </c>
      <c r="L557" t="s">
        <v>608</v>
      </c>
    </row>
    <row r="558" spans="1:12" x14ac:dyDescent="0.25">
      <c r="A558">
        <v>215</v>
      </c>
      <c r="B558">
        <v>6</v>
      </c>
      <c r="C558" t="s">
        <v>55</v>
      </c>
      <c r="D558" t="s">
        <v>631</v>
      </c>
      <c r="E558">
        <v>20</v>
      </c>
      <c r="F558">
        <v>34</v>
      </c>
      <c r="G558">
        <v>2</v>
      </c>
      <c r="H558">
        <v>12</v>
      </c>
      <c r="I558">
        <f>Cocina[[#This Row],[Precio Unitario]]*Cocina[[#This Row],[Cantidad Ordenada]]</f>
        <v>68</v>
      </c>
      <c r="J558">
        <f>(Cocina[[#This Row],[Precio Unitario]]-Cocina[[#This Row],[Costo Unitario]])*Cocina[[#This Row],[Cantidad Ordenada]]</f>
        <v>28</v>
      </c>
      <c r="K558" s="4">
        <f>Cocina[[#This Row],[Ganancia neta]]/_xlfn.XLOOKUP(Cocina[[#This Row],[Número de Orden]],Sala[Número de Orden],Sala[Monto total],"fracaso",0,1)</f>
        <v>0.17721518987341772</v>
      </c>
      <c r="L558" t="s">
        <v>607</v>
      </c>
    </row>
    <row r="559" spans="1:12" x14ac:dyDescent="0.25">
      <c r="A559">
        <v>215</v>
      </c>
      <c r="B559">
        <v>6</v>
      </c>
      <c r="C559" t="s">
        <v>68</v>
      </c>
      <c r="D559" t="s">
        <v>619</v>
      </c>
      <c r="E559">
        <v>18</v>
      </c>
      <c r="F559">
        <v>30</v>
      </c>
      <c r="G559">
        <v>3</v>
      </c>
      <c r="H559">
        <v>34</v>
      </c>
      <c r="I559">
        <f>Cocina[[#This Row],[Precio Unitario]]*Cocina[[#This Row],[Cantidad Ordenada]]</f>
        <v>90</v>
      </c>
      <c r="J559">
        <f>(Cocina[[#This Row],[Precio Unitario]]-Cocina[[#This Row],[Costo Unitario]])*Cocina[[#This Row],[Cantidad Ordenada]]</f>
        <v>36</v>
      </c>
      <c r="K559" s="4">
        <f>Cocina[[#This Row],[Ganancia neta]]/_xlfn.XLOOKUP(Cocina[[#This Row],[Número de Orden]],Sala[Número de Orden],Sala[Monto total],"fracaso",0,1)</f>
        <v>0.22784810126582278</v>
      </c>
      <c r="L559" t="s">
        <v>607</v>
      </c>
    </row>
    <row r="560" spans="1:12" x14ac:dyDescent="0.25">
      <c r="A560">
        <v>216</v>
      </c>
      <c r="B560">
        <v>17</v>
      </c>
      <c r="C560" t="s">
        <v>122</v>
      </c>
      <c r="D560" t="s">
        <v>637</v>
      </c>
      <c r="E560">
        <v>15</v>
      </c>
      <c r="F560">
        <v>25</v>
      </c>
      <c r="G560">
        <v>1</v>
      </c>
      <c r="H560">
        <v>42</v>
      </c>
      <c r="I560">
        <f>Cocina[[#This Row],[Precio Unitario]]*Cocina[[#This Row],[Cantidad Ordenada]]</f>
        <v>25</v>
      </c>
      <c r="J560">
        <f>(Cocina[[#This Row],[Precio Unitario]]-Cocina[[#This Row],[Costo Unitario]])*Cocina[[#This Row],[Cantidad Ordenada]]</f>
        <v>10</v>
      </c>
      <c r="K560" s="4">
        <f>Cocina[[#This Row],[Ganancia neta]]/_xlfn.XLOOKUP(Cocina[[#This Row],[Número de Orden]],Sala[Número de Orden],Sala[Monto total],"fracaso",0,1)</f>
        <v>7.0422535211267609E-2</v>
      </c>
      <c r="L560" t="s">
        <v>607</v>
      </c>
    </row>
    <row r="561" spans="1:12" x14ac:dyDescent="0.25">
      <c r="A561">
        <v>216</v>
      </c>
      <c r="B561">
        <v>17</v>
      </c>
      <c r="C561" t="s">
        <v>70</v>
      </c>
      <c r="D561" t="s">
        <v>634</v>
      </c>
      <c r="E561">
        <v>13</v>
      </c>
      <c r="F561">
        <v>21</v>
      </c>
      <c r="G561">
        <v>3</v>
      </c>
      <c r="H561">
        <v>36</v>
      </c>
      <c r="I561">
        <f>Cocina[[#This Row],[Precio Unitario]]*Cocina[[#This Row],[Cantidad Ordenada]]</f>
        <v>63</v>
      </c>
      <c r="J561">
        <f>(Cocina[[#This Row],[Precio Unitario]]-Cocina[[#This Row],[Costo Unitario]])*Cocina[[#This Row],[Cantidad Ordenada]]</f>
        <v>24</v>
      </c>
      <c r="K561" s="4">
        <f>Cocina[[#This Row],[Ganancia neta]]/_xlfn.XLOOKUP(Cocina[[#This Row],[Número de Orden]],Sala[Número de Orden],Sala[Monto total],"fracaso",0,1)</f>
        <v>0.16901408450704225</v>
      </c>
      <c r="L561" t="s">
        <v>607</v>
      </c>
    </row>
    <row r="562" spans="1:12" x14ac:dyDescent="0.25">
      <c r="A562">
        <v>216</v>
      </c>
      <c r="B562">
        <v>17</v>
      </c>
      <c r="C562" t="s">
        <v>106</v>
      </c>
      <c r="D562" t="s">
        <v>621</v>
      </c>
      <c r="E562">
        <v>16</v>
      </c>
      <c r="F562">
        <v>27</v>
      </c>
      <c r="G562">
        <v>2</v>
      </c>
      <c r="H562">
        <v>42</v>
      </c>
      <c r="I562">
        <f>Cocina[[#This Row],[Precio Unitario]]*Cocina[[#This Row],[Cantidad Ordenada]]</f>
        <v>54</v>
      </c>
      <c r="J562">
        <f>(Cocina[[#This Row],[Precio Unitario]]-Cocina[[#This Row],[Costo Unitario]])*Cocina[[#This Row],[Cantidad Ordenada]]</f>
        <v>22</v>
      </c>
      <c r="K562" s="4">
        <f>Cocina[[#This Row],[Ganancia neta]]/_xlfn.XLOOKUP(Cocina[[#This Row],[Número de Orden]],Sala[Número de Orden],Sala[Monto total],"fracaso",0,1)</f>
        <v>0.15492957746478872</v>
      </c>
      <c r="L562" t="s">
        <v>607</v>
      </c>
    </row>
    <row r="563" spans="1:12" x14ac:dyDescent="0.25">
      <c r="A563">
        <v>217</v>
      </c>
      <c r="B563">
        <v>1</v>
      </c>
      <c r="C563" t="s">
        <v>247</v>
      </c>
      <c r="D563" t="s">
        <v>629</v>
      </c>
      <c r="E563">
        <v>19</v>
      </c>
      <c r="F563">
        <v>32</v>
      </c>
      <c r="G563">
        <v>3</v>
      </c>
      <c r="H563">
        <v>13</v>
      </c>
      <c r="I563">
        <f>Cocina[[#This Row],[Precio Unitario]]*Cocina[[#This Row],[Cantidad Ordenada]]</f>
        <v>96</v>
      </c>
      <c r="J563">
        <f>(Cocina[[#This Row],[Precio Unitario]]-Cocina[[#This Row],[Costo Unitario]])*Cocina[[#This Row],[Cantidad Ordenada]]</f>
        <v>39</v>
      </c>
      <c r="K563" s="4">
        <f>Cocina[[#This Row],[Ganancia neta]]/_xlfn.XLOOKUP(Cocina[[#This Row],[Número de Orden]],Sala[Número de Orden],Sala[Monto total],"fracaso",0,1)</f>
        <v>0.40625</v>
      </c>
      <c r="L563" t="s">
        <v>608</v>
      </c>
    </row>
    <row r="564" spans="1:12" x14ac:dyDescent="0.25">
      <c r="A564">
        <v>218</v>
      </c>
      <c r="B564">
        <v>13</v>
      </c>
      <c r="C564" t="s">
        <v>112</v>
      </c>
      <c r="D564" t="s">
        <v>627</v>
      </c>
      <c r="E564">
        <v>11</v>
      </c>
      <c r="F564">
        <v>19</v>
      </c>
      <c r="G564">
        <v>3</v>
      </c>
      <c r="H564">
        <v>24</v>
      </c>
      <c r="I564">
        <f>Cocina[[#This Row],[Precio Unitario]]*Cocina[[#This Row],[Cantidad Ordenada]]</f>
        <v>57</v>
      </c>
      <c r="J564">
        <f>(Cocina[[#This Row],[Precio Unitario]]-Cocina[[#This Row],[Costo Unitario]])*Cocina[[#This Row],[Cantidad Ordenada]]</f>
        <v>24</v>
      </c>
      <c r="K564" s="4">
        <f>Cocina[[#This Row],[Ganancia neta]]/_xlfn.XLOOKUP(Cocina[[#This Row],[Número de Orden]],Sala[Número de Orden],Sala[Monto total],"fracaso",0,1)</f>
        <v>0.13043478260869565</v>
      </c>
      <c r="L564" t="s">
        <v>608</v>
      </c>
    </row>
    <row r="565" spans="1:12" x14ac:dyDescent="0.25">
      <c r="A565">
        <v>218</v>
      </c>
      <c r="B565">
        <v>13</v>
      </c>
      <c r="C565" t="s">
        <v>106</v>
      </c>
      <c r="D565" t="s">
        <v>621</v>
      </c>
      <c r="E565">
        <v>16</v>
      </c>
      <c r="F565">
        <v>27</v>
      </c>
      <c r="G565">
        <v>3</v>
      </c>
      <c r="H565">
        <v>16</v>
      </c>
      <c r="I565">
        <f>Cocina[[#This Row],[Precio Unitario]]*Cocina[[#This Row],[Cantidad Ordenada]]</f>
        <v>81</v>
      </c>
      <c r="J565">
        <f>(Cocina[[#This Row],[Precio Unitario]]-Cocina[[#This Row],[Costo Unitario]])*Cocina[[#This Row],[Cantidad Ordenada]]</f>
        <v>33</v>
      </c>
      <c r="K565" s="4">
        <f>Cocina[[#This Row],[Ganancia neta]]/_xlfn.XLOOKUP(Cocina[[#This Row],[Número de Orden]],Sala[Número de Orden],Sala[Monto total],"fracaso",0,1)</f>
        <v>0.17934782608695651</v>
      </c>
      <c r="L565" t="s">
        <v>607</v>
      </c>
    </row>
    <row r="566" spans="1:12" x14ac:dyDescent="0.25">
      <c r="A566">
        <v>218</v>
      </c>
      <c r="B566">
        <v>13</v>
      </c>
      <c r="C566" t="s">
        <v>200</v>
      </c>
      <c r="D566" t="s">
        <v>633</v>
      </c>
      <c r="E566">
        <v>14</v>
      </c>
      <c r="F566">
        <v>23</v>
      </c>
      <c r="G566">
        <v>2</v>
      </c>
      <c r="H566">
        <v>6</v>
      </c>
      <c r="I566">
        <f>Cocina[[#This Row],[Precio Unitario]]*Cocina[[#This Row],[Cantidad Ordenada]]</f>
        <v>46</v>
      </c>
      <c r="J566">
        <f>(Cocina[[#This Row],[Precio Unitario]]-Cocina[[#This Row],[Costo Unitario]])*Cocina[[#This Row],[Cantidad Ordenada]]</f>
        <v>18</v>
      </c>
      <c r="K566" s="4">
        <f>Cocina[[#This Row],[Ganancia neta]]/_xlfn.XLOOKUP(Cocina[[#This Row],[Número de Orden]],Sala[Número de Orden],Sala[Monto total],"fracaso",0,1)</f>
        <v>9.7826086956521743E-2</v>
      </c>
      <c r="L566" t="s">
        <v>607</v>
      </c>
    </row>
    <row r="567" spans="1:12" x14ac:dyDescent="0.25">
      <c r="A567">
        <v>219</v>
      </c>
      <c r="B567">
        <v>1</v>
      </c>
      <c r="C567" t="s">
        <v>200</v>
      </c>
      <c r="D567" t="s">
        <v>633</v>
      </c>
      <c r="E567">
        <v>14</v>
      </c>
      <c r="F567">
        <v>23</v>
      </c>
      <c r="G567">
        <v>2</v>
      </c>
      <c r="H567">
        <v>12</v>
      </c>
      <c r="I567">
        <f>Cocina[[#This Row],[Precio Unitario]]*Cocina[[#This Row],[Cantidad Ordenada]]</f>
        <v>46</v>
      </c>
      <c r="J567">
        <f>(Cocina[[#This Row],[Precio Unitario]]-Cocina[[#This Row],[Costo Unitario]])*Cocina[[#This Row],[Cantidad Ordenada]]</f>
        <v>18</v>
      </c>
      <c r="K567" s="4">
        <f>Cocina[[#This Row],[Ganancia neta]]/_xlfn.XLOOKUP(Cocina[[#This Row],[Número de Orden]],Sala[Número de Orden],Sala[Monto total],"fracaso",0,1)</f>
        <v>0.12949640287769784</v>
      </c>
      <c r="L567" t="s">
        <v>607</v>
      </c>
    </row>
    <row r="568" spans="1:12" x14ac:dyDescent="0.25">
      <c r="A568">
        <v>219</v>
      </c>
      <c r="B568">
        <v>1</v>
      </c>
      <c r="C568" t="s">
        <v>116</v>
      </c>
      <c r="D568" t="s">
        <v>620</v>
      </c>
      <c r="E568">
        <v>19</v>
      </c>
      <c r="F568">
        <v>31</v>
      </c>
      <c r="G568">
        <v>3</v>
      </c>
      <c r="H568">
        <v>11</v>
      </c>
      <c r="I568">
        <f>Cocina[[#This Row],[Precio Unitario]]*Cocina[[#This Row],[Cantidad Ordenada]]</f>
        <v>93</v>
      </c>
      <c r="J568">
        <f>(Cocina[[#This Row],[Precio Unitario]]-Cocina[[#This Row],[Costo Unitario]])*Cocina[[#This Row],[Cantidad Ordenada]]</f>
        <v>36</v>
      </c>
      <c r="K568" s="4">
        <f>Cocina[[#This Row],[Ganancia neta]]/_xlfn.XLOOKUP(Cocina[[#This Row],[Número de Orden]],Sala[Número de Orden],Sala[Monto total],"fracaso",0,1)</f>
        <v>0.25899280575539568</v>
      </c>
      <c r="L568" t="s">
        <v>608</v>
      </c>
    </row>
    <row r="569" spans="1:12" x14ac:dyDescent="0.25">
      <c r="A569">
        <v>220</v>
      </c>
      <c r="B569">
        <v>15</v>
      </c>
      <c r="C569" t="s">
        <v>158</v>
      </c>
      <c r="D569" t="s">
        <v>617</v>
      </c>
      <c r="E569">
        <v>14</v>
      </c>
      <c r="F569">
        <v>24</v>
      </c>
      <c r="G569">
        <v>1</v>
      </c>
      <c r="H569">
        <v>13</v>
      </c>
      <c r="I569">
        <f>Cocina[[#This Row],[Precio Unitario]]*Cocina[[#This Row],[Cantidad Ordenada]]</f>
        <v>24</v>
      </c>
      <c r="J569">
        <f>(Cocina[[#This Row],[Precio Unitario]]-Cocina[[#This Row],[Costo Unitario]])*Cocina[[#This Row],[Cantidad Ordenada]]</f>
        <v>10</v>
      </c>
      <c r="K569" s="4">
        <f>Cocina[[#This Row],[Ganancia neta]]/_xlfn.XLOOKUP(Cocina[[#This Row],[Número de Orden]],Sala[Número de Orden],Sala[Monto total],"fracaso",0,1)</f>
        <v>0.41666666666666669</v>
      </c>
      <c r="L569" t="s">
        <v>607</v>
      </c>
    </row>
    <row r="570" spans="1:12" x14ac:dyDescent="0.25">
      <c r="A570">
        <v>221</v>
      </c>
      <c r="B570">
        <v>16</v>
      </c>
      <c r="C570" t="s">
        <v>247</v>
      </c>
      <c r="D570" t="s">
        <v>629</v>
      </c>
      <c r="E570">
        <v>19</v>
      </c>
      <c r="F570">
        <v>32</v>
      </c>
      <c r="G570">
        <v>3</v>
      </c>
      <c r="H570">
        <v>29</v>
      </c>
      <c r="I570">
        <f>Cocina[[#This Row],[Precio Unitario]]*Cocina[[#This Row],[Cantidad Ordenada]]</f>
        <v>96</v>
      </c>
      <c r="J570">
        <f>(Cocina[[#This Row],[Precio Unitario]]-Cocina[[#This Row],[Costo Unitario]])*Cocina[[#This Row],[Cantidad Ordenada]]</f>
        <v>39</v>
      </c>
      <c r="K570" s="4">
        <f>Cocina[[#This Row],[Ganancia neta]]/_xlfn.XLOOKUP(Cocina[[#This Row],[Número de Orden]],Sala[Número de Orden],Sala[Monto total],"fracaso",0,1)</f>
        <v>0.20207253886010362</v>
      </c>
      <c r="L570" t="s">
        <v>607</v>
      </c>
    </row>
    <row r="571" spans="1:12" x14ac:dyDescent="0.25">
      <c r="A571">
        <v>221</v>
      </c>
      <c r="B571">
        <v>16</v>
      </c>
      <c r="C571" t="s">
        <v>55</v>
      </c>
      <c r="D571" t="s">
        <v>631</v>
      </c>
      <c r="E571">
        <v>20</v>
      </c>
      <c r="F571">
        <v>34</v>
      </c>
      <c r="G571">
        <v>2</v>
      </c>
      <c r="H571">
        <v>54</v>
      </c>
      <c r="I571">
        <f>Cocina[[#This Row],[Precio Unitario]]*Cocina[[#This Row],[Cantidad Ordenada]]</f>
        <v>68</v>
      </c>
      <c r="J571">
        <f>(Cocina[[#This Row],[Precio Unitario]]-Cocina[[#This Row],[Costo Unitario]])*Cocina[[#This Row],[Cantidad Ordenada]]</f>
        <v>28</v>
      </c>
      <c r="K571" s="4">
        <f>Cocina[[#This Row],[Ganancia neta]]/_xlfn.XLOOKUP(Cocina[[#This Row],[Número de Orden]],Sala[Número de Orden],Sala[Monto total],"fracaso",0,1)</f>
        <v>0.14507772020725387</v>
      </c>
      <c r="L571" t="s">
        <v>608</v>
      </c>
    </row>
    <row r="572" spans="1:12" x14ac:dyDescent="0.25">
      <c r="A572">
        <v>221</v>
      </c>
      <c r="B572">
        <v>16</v>
      </c>
      <c r="C572" t="s">
        <v>38</v>
      </c>
      <c r="D572" t="s">
        <v>624</v>
      </c>
      <c r="E572">
        <v>17</v>
      </c>
      <c r="F572">
        <v>29</v>
      </c>
      <c r="G572">
        <v>1</v>
      </c>
      <c r="H572">
        <v>25</v>
      </c>
      <c r="I572">
        <f>Cocina[[#This Row],[Precio Unitario]]*Cocina[[#This Row],[Cantidad Ordenada]]</f>
        <v>29</v>
      </c>
      <c r="J572">
        <f>(Cocina[[#This Row],[Precio Unitario]]-Cocina[[#This Row],[Costo Unitario]])*Cocina[[#This Row],[Cantidad Ordenada]]</f>
        <v>12</v>
      </c>
      <c r="K572" s="4">
        <f>Cocina[[#This Row],[Ganancia neta]]/_xlfn.XLOOKUP(Cocina[[#This Row],[Número de Orden]],Sala[Número de Orden],Sala[Monto total],"fracaso",0,1)</f>
        <v>6.2176165803108807E-2</v>
      </c>
      <c r="L572" t="s">
        <v>607</v>
      </c>
    </row>
    <row r="573" spans="1:12" x14ac:dyDescent="0.25">
      <c r="A573">
        <v>222</v>
      </c>
      <c r="B573">
        <v>3</v>
      </c>
      <c r="C573" t="s">
        <v>200</v>
      </c>
      <c r="D573" t="s">
        <v>633</v>
      </c>
      <c r="E573">
        <v>14</v>
      </c>
      <c r="F573">
        <v>23</v>
      </c>
      <c r="G573">
        <v>3</v>
      </c>
      <c r="H573">
        <v>29</v>
      </c>
      <c r="I573">
        <f>Cocina[[#This Row],[Precio Unitario]]*Cocina[[#This Row],[Cantidad Ordenada]]</f>
        <v>69</v>
      </c>
      <c r="J573">
        <f>(Cocina[[#This Row],[Precio Unitario]]-Cocina[[#This Row],[Costo Unitario]])*Cocina[[#This Row],[Cantidad Ordenada]]</f>
        <v>27</v>
      </c>
      <c r="K573" s="4">
        <f>Cocina[[#This Row],[Ganancia neta]]/_xlfn.XLOOKUP(Cocina[[#This Row],[Número de Orden]],Sala[Número de Orden],Sala[Monto total],"fracaso",0,1)</f>
        <v>0.27835051546391754</v>
      </c>
      <c r="L573" t="s">
        <v>607</v>
      </c>
    </row>
    <row r="574" spans="1:12" x14ac:dyDescent="0.25">
      <c r="A574">
        <v>222</v>
      </c>
      <c r="B574">
        <v>3</v>
      </c>
      <c r="C574" t="s">
        <v>42</v>
      </c>
      <c r="D574" t="s">
        <v>626</v>
      </c>
      <c r="E574">
        <v>16</v>
      </c>
      <c r="F574">
        <v>28</v>
      </c>
      <c r="G574">
        <v>1</v>
      </c>
      <c r="H574">
        <v>56</v>
      </c>
      <c r="I574">
        <f>Cocina[[#This Row],[Precio Unitario]]*Cocina[[#This Row],[Cantidad Ordenada]]</f>
        <v>28</v>
      </c>
      <c r="J574">
        <f>(Cocina[[#This Row],[Precio Unitario]]-Cocina[[#This Row],[Costo Unitario]])*Cocina[[#This Row],[Cantidad Ordenada]]</f>
        <v>12</v>
      </c>
      <c r="K574" s="4">
        <f>Cocina[[#This Row],[Ganancia neta]]/_xlfn.XLOOKUP(Cocina[[#This Row],[Número de Orden]],Sala[Número de Orden],Sala[Monto total],"fracaso",0,1)</f>
        <v>0.12371134020618557</v>
      </c>
      <c r="L574" t="s">
        <v>607</v>
      </c>
    </row>
    <row r="575" spans="1:12" x14ac:dyDescent="0.25">
      <c r="A575">
        <v>223</v>
      </c>
      <c r="B575">
        <v>19</v>
      </c>
      <c r="C575" t="s">
        <v>247</v>
      </c>
      <c r="D575" t="s">
        <v>629</v>
      </c>
      <c r="E575">
        <v>19</v>
      </c>
      <c r="F575">
        <v>32</v>
      </c>
      <c r="G575">
        <v>1</v>
      </c>
      <c r="H575">
        <v>53</v>
      </c>
      <c r="I575">
        <f>Cocina[[#This Row],[Precio Unitario]]*Cocina[[#This Row],[Cantidad Ordenada]]</f>
        <v>32</v>
      </c>
      <c r="J575">
        <f>(Cocina[[#This Row],[Precio Unitario]]-Cocina[[#This Row],[Costo Unitario]])*Cocina[[#This Row],[Cantidad Ordenada]]</f>
        <v>13</v>
      </c>
      <c r="K575" s="4">
        <f>Cocina[[#This Row],[Ganancia neta]]/_xlfn.XLOOKUP(Cocina[[#This Row],[Número de Orden]],Sala[Número de Orden],Sala[Monto total],"fracaso",0,1)</f>
        <v>0.40625</v>
      </c>
      <c r="L575" t="s">
        <v>607</v>
      </c>
    </row>
    <row r="576" spans="1:12" x14ac:dyDescent="0.25">
      <c r="A576">
        <v>224</v>
      </c>
      <c r="B576">
        <v>7</v>
      </c>
      <c r="C576" t="s">
        <v>155</v>
      </c>
      <c r="D576" t="s">
        <v>636</v>
      </c>
      <c r="E576">
        <v>15</v>
      </c>
      <c r="F576">
        <v>26</v>
      </c>
      <c r="G576">
        <v>2</v>
      </c>
      <c r="H576">
        <v>20</v>
      </c>
      <c r="I576">
        <f>Cocina[[#This Row],[Precio Unitario]]*Cocina[[#This Row],[Cantidad Ordenada]]</f>
        <v>52</v>
      </c>
      <c r="J576">
        <f>(Cocina[[#This Row],[Precio Unitario]]-Cocina[[#This Row],[Costo Unitario]])*Cocina[[#This Row],[Cantidad Ordenada]]</f>
        <v>22</v>
      </c>
      <c r="K576" s="4">
        <f>Cocina[[#This Row],[Ganancia neta]]/_xlfn.XLOOKUP(Cocina[[#This Row],[Número de Orden]],Sala[Número de Orden],Sala[Monto total],"fracaso",0,1)</f>
        <v>0.42307692307692307</v>
      </c>
      <c r="L576" t="s">
        <v>607</v>
      </c>
    </row>
    <row r="577" spans="1:12" x14ac:dyDescent="0.25">
      <c r="A577">
        <v>225</v>
      </c>
      <c r="B577">
        <v>19</v>
      </c>
      <c r="C577" t="s">
        <v>261</v>
      </c>
      <c r="D577" t="s">
        <v>625</v>
      </c>
      <c r="E577">
        <v>20</v>
      </c>
      <c r="F577">
        <v>33</v>
      </c>
      <c r="G577">
        <v>3</v>
      </c>
      <c r="H577">
        <v>56</v>
      </c>
      <c r="I577">
        <f>Cocina[[#This Row],[Precio Unitario]]*Cocina[[#This Row],[Cantidad Ordenada]]</f>
        <v>99</v>
      </c>
      <c r="J577">
        <f>(Cocina[[#This Row],[Precio Unitario]]-Cocina[[#This Row],[Costo Unitario]])*Cocina[[#This Row],[Cantidad Ordenada]]</f>
        <v>39</v>
      </c>
      <c r="K577" s="4">
        <f>Cocina[[#This Row],[Ganancia neta]]/_xlfn.XLOOKUP(Cocina[[#This Row],[Número de Orden]],Sala[Número de Orden],Sala[Monto total],"fracaso",0,1)</f>
        <v>0.23214285714285715</v>
      </c>
      <c r="L577" t="s">
        <v>608</v>
      </c>
    </row>
    <row r="578" spans="1:12" x14ac:dyDescent="0.25">
      <c r="A578">
        <v>225</v>
      </c>
      <c r="B578">
        <v>19</v>
      </c>
      <c r="C578" t="s">
        <v>200</v>
      </c>
      <c r="D578" t="s">
        <v>633</v>
      </c>
      <c r="E578">
        <v>14</v>
      </c>
      <c r="F578">
        <v>23</v>
      </c>
      <c r="G578">
        <v>3</v>
      </c>
      <c r="H578">
        <v>38</v>
      </c>
      <c r="I578">
        <f>Cocina[[#This Row],[Precio Unitario]]*Cocina[[#This Row],[Cantidad Ordenada]]</f>
        <v>69</v>
      </c>
      <c r="J578">
        <f>(Cocina[[#This Row],[Precio Unitario]]-Cocina[[#This Row],[Costo Unitario]])*Cocina[[#This Row],[Cantidad Ordenada]]</f>
        <v>27</v>
      </c>
      <c r="K578" s="4">
        <f>Cocina[[#This Row],[Ganancia neta]]/_xlfn.XLOOKUP(Cocina[[#This Row],[Número de Orden]],Sala[Número de Orden],Sala[Monto total],"fracaso",0,1)</f>
        <v>0.16071428571428573</v>
      </c>
      <c r="L578" t="s">
        <v>608</v>
      </c>
    </row>
    <row r="579" spans="1:12" x14ac:dyDescent="0.25">
      <c r="A579">
        <v>226</v>
      </c>
      <c r="B579">
        <v>7</v>
      </c>
      <c r="C579" t="s">
        <v>146</v>
      </c>
      <c r="D579" t="s">
        <v>632</v>
      </c>
      <c r="E579">
        <v>12</v>
      </c>
      <c r="F579">
        <v>20</v>
      </c>
      <c r="G579">
        <v>2</v>
      </c>
      <c r="H579">
        <v>7</v>
      </c>
      <c r="I579">
        <f>Cocina[[#This Row],[Precio Unitario]]*Cocina[[#This Row],[Cantidad Ordenada]]</f>
        <v>40</v>
      </c>
      <c r="J579">
        <f>(Cocina[[#This Row],[Precio Unitario]]-Cocina[[#This Row],[Costo Unitario]])*Cocina[[#This Row],[Cantidad Ordenada]]</f>
        <v>16</v>
      </c>
      <c r="K579" s="4">
        <f>Cocina[[#This Row],[Ganancia neta]]/_xlfn.XLOOKUP(Cocina[[#This Row],[Número de Orden]],Sala[Número de Orden],Sala[Monto total],"fracaso",0,1)</f>
        <v>9.3567251461988299E-2</v>
      </c>
      <c r="L579" t="s">
        <v>607</v>
      </c>
    </row>
    <row r="580" spans="1:12" x14ac:dyDescent="0.25">
      <c r="A580">
        <v>226</v>
      </c>
      <c r="B580">
        <v>7</v>
      </c>
      <c r="C580" t="s">
        <v>70</v>
      </c>
      <c r="D580" t="s">
        <v>634</v>
      </c>
      <c r="E580">
        <v>13</v>
      </c>
      <c r="F580">
        <v>21</v>
      </c>
      <c r="G580">
        <v>1</v>
      </c>
      <c r="H580">
        <v>29</v>
      </c>
      <c r="I580">
        <f>Cocina[[#This Row],[Precio Unitario]]*Cocina[[#This Row],[Cantidad Ordenada]]</f>
        <v>21</v>
      </c>
      <c r="J580">
        <f>(Cocina[[#This Row],[Precio Unitario]]-Cocina[[#This Row],[Costo Unitario]])*Cocina[[#This Row],[Cantidad Ordenada]]</f>
        <v>8</v>
      </c>
      <c r="K580" s="4">
        <f>Cocina[[#This Row],[Ganancia neta]]/_xlfn.XLOOKUP(Cocina[[#This Row],[Número de Orden]],Sala[Número de Orden],Sala[Monto total],"fracaso",0,1)</f>
        <v>4.6783625730994149E-2</v>
      </c>
      <c r="L580" t="s">
        <v>608</v>
      </c>
    </row>
    <row r="581" spans="1:12" x14ac:dyDescent="0.25">
      <c r="A581">
        <v>226</v>
      </c>
      <c r="B581">
        <v>7</v>
      </c>
      <c r="C581" t="s">
        <v>106</v>
      </c>
      <c r="D581" t="s">
        <v>621</v>
      </c>
      <c r="E581">
        <v>16</v>
      </c>
      <c r="F581">
        <v>27</v>
      </c>
      <c r="G581">
        <v>3</v>
      </c>
      <c r="H581">
        <v>56</v>
      </c>
      <c r="I581">
        <f>Cocina[[#This Row],[Precio Unitario]]*Cocina[[#This Row],[Cantidad Ordenada]]</f>
        <v>81</v>
      </c>
      <c r="J581">
        <f>(Cocina[[#This Row],[Precio Unitario]]-Cocina[[#This Row],[Costo Unitario]])*Cocina[[#This Row],[Cantidad Ordenada]]</f>
        <v>33</v>
      </c>
      <c r="K581" s="4">
        <f>Cocina[[#This Row],[Ganancia neta]]/_xlfn.XLOOKUP(Cocina[[#This Row],[Número de Orden]],Sala[Número de Orden],Sala[Monto total],"fracaso",0,1)</f>
        <v>0.19298245614035087</v>
      </c>
      <c r="L581" t="s">
        <v>607</v>
      </c>
    </row>
    <row r="582" spans="1:12" x14ac:dyDescent="0.25">
      <c r="A582">
        <v>226</v>
      </c>
      <c r="B582">
        <v>7</v>
      </c>
      <c r="C582" t="s">
        <v>38</v>
      </c>
      <c r="D582" t="s">
        <v>624</v>
      </c>
      <c r="E582">
        <v>17</v>
      </c>
      <c r="F582">
        <v>29</v>
      </c>
      <c r="G582">
        <v>1</v>
      </c>
      <c r="H582">
        <v>54</v>
      </c>
      <c r="I582">
        <f>Cocina[[#This Row],[Precio Unitario]]*Cocina[[#This Row],[Cantidad Ordenada]]</f>
        <v>29</v>
      </c>
      <c r="J582">
        <f>(Cocina[[#This Row],[Precio Unitario]]-Cocina[[#This Row],[Costo Unitario]])*Cocina[[#This Row],[Cantidad Ordenada]]</f>
        <v>12</v>
      </c>
      <c r="K582" s="4">
        <f>Cocina[[#This Row],[Ganancia neta]]/_xlfn.XLOOKUP(Cocina[[#This Row],[Número de Orden]],Sala[Número de Orden],Sala[Monto total],"fracaso",0,1)</f>
        <v>7.0175438596491224E-2</v>
      </c>
      <c r="L582" t="s">
        <v>608</v>
      </c>
    </row>
    <row r="583" spans="1:12" x14ac:dyDescent="0.25">
      <c r="A583">
        <v>227</v>
      </c>
      <c r="B583">
        <v>17</v>
      </c>
      <c r="C583" t="s">
        <v>158</v>
      </c>
      <c r="D583" t="s">
        <v>617</v>
      </c>
      <c r="E583">
        <v>14</v>
      </c>
      <c r="F583">
        <v>24</v>
      </c>
      <c r="G583">
        <v>1</v>
      </c>
      <c r="H583">
        <v>58</v>
      </c>
      <c r="I583">
        <f>Cocina[[#This Row],[Precio Unitario]]*Cocina[[#This Row],[Cantidad Ordenada]]</f>
        <v>24</v>
      </c>
      <c r="J583">
        <f>(Cocina[[#This Row],[Precio Unitario]]-Cocina[[#This Row],[Costo Unitario]])*Cocina[[#This Row],[Cantidad Ordenada]]</f>
        <v>10</v>
      </c>
      <c r="K583" s="4">
        <f>Cocina[[#This Row],[Ganancia neta]]/_xlfn.XLOOKUP(Cocina[[#This Row],[Número de Orden]],Sala[Número de Orden],Sala[Monto total],"fracaso",0,1)</f>
        <v>4.7393364928909949E-2</v>
      </c>
      <c r="L583" t="s">
        <v>607</v>
      </c>
    </row>
    <row r="584" spans="1:12" x14ac:dyDescent="0.25">
      <c r="A584">
        <v>227</v>
      </c>
      <c r="B584">
        <v>17</v>
      </c>
      <c r="C584" t="s">
        <v>116</v>
      </c>
      <c r="D584" t="s">
        <v>620</v>
      </c>
      <c r="E584">
        <v>19</v>
      </c>
      <c r="F584">
        <v>31</v>
      </c>
      <c r="G584">
        <v>3</v>
      </c>
      <c r="H584">
        <v>15</v>
      </c>
      <c r="I584">
        <f>Cocina[[#This Row],[Precio Unitario]]*Cocina[[#This Row],[Cantidad Ordenada]]</f>
        <v>93</v>
      </c>
      <c r="J584">
        <f>(Cocina[[#This Row],[Precio Unitario]]-Cocina[[#This Row],[Costo Unitario]])*Cocina[[#This Row],[Cantidad Ordenada]]</f>
        <v>36</v>
      </c>
      <c r="K584" s="4">
        <f>Cocina[[#This Row],[Ganancia neta]]/_xlfn.XLOOKUP(Cocina[[#This Row],[Número de Orden]],Sala[Número de Orden],Sala[Monto total],"fracaso",0,1)</f>
        <v>0.17061611374407584</v>
      </c>
      <c r="L584" t="s">
        <v>608</v>
      </c>
    </row>
    <row r="585" spans="1:12" x14ac:dyDescent="0.25">
      <c r="A585">
        <v>227</v>
      </c>
      <c r="B585">
        <v>17</v>
      </c>
      <c r="C585" t="s">
        <v>42</v>
      </c>
      <c r="D585" t="s">
        <v>626</v>
      </c>
      <c r="E585">
        <v>16</v>
      </c>
      <c r="F585">
        <v>28</v>
      </c>
      <c r="G585">
        <v>1</v>
      </c>
      <c r="H585">
        <v>13</v>
      </c>
      <c r="I585">
        <f>Cocina[[#This Row],[Precio Unitario]]*Cocina[[#This Row],[Cantidad Ordenada]]</f>
        <v>28</v>
      </c>
      <c r="J585">
        <f>(Cocina[[#This Row],[Precio Unitario]]-Cocina[[#This Row],[Costo Unitario]])*Cocina[[#This Row],[Cantidad Ordenada]]</f>
        <v>12</v>
      </c>
      <c r="K585" s="4">
        <f>Cocina[[#This Row],[Ganancia neta]]/_xlfn.XLOOKUP(Cocina[[#This Row],[Número de Orden]],Sala[Número de Orden],Sala[Monto total],"fracaso",0,1)</f>
        <v>5.6872037914691941E-2</v>
      </c>
      <c r="L585" t="s">
        <v>607</v>
      </c>
    </row>
    <row r="586" spans="1:12" x14ac:dyDescent="0.25">
      <c r="A586">
        <v>227</v>
      </c>
      <c r="B586">
        <v>17</v>
      </c>
      <c r="C586" t="s">
        <v>261</v>
      </c>
      <c r="D586" t="s">
        <v>625</v>
      </c>
      <c r="E586">
        <v>20</v>
      </c>
      <c r="F586">
        <v>33</v>
      </c>
      <c r="G586">
        <v>2</v>
      </c>
      <c r="H586">
        <v>33</v>
      </c>
      <c r="I586">
        <f>Cocina[[#This Row],[Precio Unitario]]*Cocina[[#This Row],[Cantidad Ordenada]]</f>
        <v>66</v>
      </c>
      <c r="J586">
        <f>(Cocina[[#This Row],[Precio Unitario]]-Cocina[[#This Row],[Costo Unitario]])*Cocina[[#This Row],[Cantidad Ordenada]]</f>
        <v>26</v>
      </c>
      <c r="K586" s="4">
        <f>Cocina[[#This Row],[Ganancia neta]]/_xlfn.XLOOKUP(Cocina[[#This Row],[Número de Orden]],Sala[Número de Orden],Sala[Monto total],"fracaso",0,1)</f>
        <v>0.12322274881516587</v>
      </c>
      <c r="L586" t="s">
        <v>607</v>
      </c>
    </row>
    <row r="587" spans="1:12" x14ac:dyDescent="0.25">
      <c r="A587">
        <v>228</v>
      </c>
      <c r="B587">
        <v>16</v>
      </c>
      <c r="C587" t="s">
        <v>200</v>
      </c>
      <c r="D587" t="s">
        <v>633</v>
      </c>
      <c r="E587">
        <v>14</v>
      </c>
      <c r="F587">
        <v>23</v>
      </c>
      <c r="G587">
        <v>3</v>
      </c>
      <c r="H587">
        <v>35</v>
      </c>
      <c r="I587">
        <f>Cocina[[#This Row],[Precio Unitario]]*Cocina[[#This Row],[Cantidad Ordenada]]</f>
        <v>69</v>
      </c>
      <c r="J587">
        <f>(Cocina[[#This Row],[Precio Unitario]]-Cocina[[#This Row],[Costo Unitario]])*Cocina[[#This Row],[Cantidad Ordenada]]</f>
        <v>27</v>
      </c>
      <c r="K587" s="4">
        <f>Cocina[[#This Row],[Ganancia neta]]/_xlfn.XLOOKUP(Cocina[[#This Row],[Número de Orden]],Sala[Número de Orden],Sala[Monto total],"fracaso",0,1)</f>
        <v>0.39130434782608697</v>
      </c>
      <c r="L587" t="s">
        <v>607</v>
      </c>
    </row>
    <row r="588" spans="1:12" x14ac:dyDescent="0.25">
      <c r="A588">
        <v>229</v>
      </c>
      <c r="B588">
        <v>14</v>
      </c>
      <c r="C588" t="s">
        <v>122</v>
      </c>
      <c r="D588" t="s">
        <v>637</v>
      </c>
      <c r="E588">
        <v>15</v>
      </c>
      <c r="F588">
        <v>25</v>
      </c>
      <c r="G588">
        <v>1</v>
      </c>
      <c r="H588">
        <v>28</v>
      </c>
      <c r="I588">
        <f>Cocina[[#This Row],[Precio Unitario]]*Cocina[[#This Row],[Cantidad Ordenada]]</f>
        <v>25</v>
      </c>
      <c r="J588">
        <f>(Cocina[[#This Row],[Precio Unitario]]-Cocina[[#This Row],[Costo Unitario]])*Cocina[[#This Row],[Cantidad Ordenada]]</f>
        <v>10</v>
      </c>
      <c r="K588" s="4">
        <f>Cocina[[#This Row],[Ganancia neta]]/_xlfn.XLOOKUP(Cocina[[#This Row],[Número de Orden]],Sala[Número de Orden],Sala[Monto total],"fracaso",0,1)</f>
        <v>8.0645161290322578E-2</v>
      </c>
      <c r="L588" t="s">
        <v>608</v>
      </c>
    </row>
    <row r="589" spans="1:12" x14ac:dyDescent="0.25">
      <c r="A589">
        <v>229</v>
      </c>
      <c r="B589">
        <v>14</v>
      </c>
      <c r="C589" t="s">
        <v>26</v>
      </c>
      <c r="D589" t="s">
        <v>628</v>
      </c>
      <c r="E589">
        <v>21</v>
      </c>
      <c r="F589">
        <v>35</v>
      </c>
      <c r="G589">
        <v>1</v>
      </c>
      <c r="H589">
        <v>43</v>
      </c>
      <c r="I589">
        <f>Cocina[[#This Row],[Precio Unitario]]*Cocina[[#This Row],[Cantidad Ordenada]]</f>
        <v>35</v>
      </c>
      <c r="J589">
        <f>(Cocina[[#This Row],[Precio Unitario]]-Cocina[[#This Row],[Costo Unitario]])*Cocina[[#This Row],[Cantidad Ordenada]]</f>
        <v>14</v>
      </c>
      <c r="K589" s="4">
        <f>Cocina[[#This Row],[Ganancia neta]]/_xlfn.XLOOKUP(Cocina[[#This Row],[Número de Orden]],Sala[Número de Orden],Sala[Monto total],"fracaso",0,1)</f>
        <v>0.11290322580645161</v>
      </c>
      <c r="L589" t="s">
        <v>607</v>
      </c>
    </row>
    <row r="590" spans="1:12" x14ac:dyDescent="0.25">
      <c r="A590">
        <v>229</v>
      </c>
      <c r="B590">
        <v>14</v>
      </c>
      <c r="C590" t="s">
        <v>73</v>
      </c>
      <c r="D590" t="s">
        <v>623</v>
      </c>
      <c r="E590">
        <v>22</v>
      </c>
      <c r="F590">
        <v>36</v>
      </c>
      <c r="G590">
        <v>1</v>
      </c>
      <c r="H590">
        <v>19</v>
      </c>
      <c r="I590">
        <f>Cocina[[#This Row],[Precio Unitario]]*Cocina[[#This Row],[Cantidad Ordenada]]</f>
        <v>36</v>
      </c>
      <c r="J590">
        <f>(Cocina[[#This Row],[Precio Unitario]]-Cocina[[#This Row],[Costo Unitario]])*Cocina[[#This Row],[Cantidad Ordenada]]</f>
        <v>14</v>
      </c>
      <c r="K590" s="4">
        <f>Cocina[[#This Row],[Ganancia neta]]/_xlfn.XLOOKUP(Cocina[[#This Row],[Número de Orden]],Sala[Número de Orden],Sala[Monto total],"fracaso",0,1)</f>
        <v>0.11290322580645161</v>
      </c>
      <c r="L590" t="s">
        <v>608</v>
      </c>
    </row>
    <row r="591" spans="1:12" x14ac:dyDescent="0.25">
      <c r="A591">
        <v>229</v>
      </c>
      <c r="B591">
        <v>14</v>
      </c>
      <c r="C591" t="s">
        <v>42</v>
      </c>
      <c r="D591" t="s">
        <v>626</v>
      </c>
      <c r="E591">
        <v>16</v>
      </c>
      <c r="F591">
        <v>28</v>
      </c>
      <c r="G591">
        <v>1</v>
      </c>
      <c r="H591">
        <v>27</v>
      </c>
      <c r="I591">
        <f>Cocina[[#This Row],[Precio Unitario]]*Cocina[[#This Row],[Cantidad Ordenada]]</f>
        <v>28</v>
      </c>
      <c r="J591">
        <f>(Cocina[[#This Row],[Precio Unitario]]-Cocina[[#This Row],[Costo Unitario]])*Cocina[[#This Row],[Cantidad Ordenada]]</f>
        <v>12</v>
      </c>
      <c r="K591" s="4">
        <f>Cocina[[#This Row],[Ganancia neta]]/_xlfn.XLOOKUP(Cocina[[#This Row],[Número de Orden]],Sala[Número de Orden],Sala[Monto total],"fracaso",0,1)</f>
        <v>9.6774193548387094E-2</v>
      </c>
      <c r="L591" t="s">
        <v>608</v>
      </c>
    </row>
    <row r="592" spans="1:12" x14ac:dyDescent="0.25">
      <c r="A592">
        <v>230</v>
      </c>
      <c r="B592">
        <v>5</v>
      </c>
      <c r="C592" t="s">
        <v>247</v>
      </c>
      <c r="D592" t="s">
        <v>629</v>
      </c>
      <c r="E592">
        <v>19</v>
      </c>
      <c r="F592">
        <v>32</v>
      </c>
      <c r="G592">
        <v>3</v>
      </c>
      <c r="H592">
        <v>10</v>
      </c>
      <c r="I592">
        <f>Cocina[[#This Row],[Precio Unitario]]*Cocina[[#This Row],[Cantidad Ordenada]]</f>
        <v>96</v>
      </c>
      <c r="J592">
        <f>(Cocina[[#This Row],[Precio Unitario]]-Cocina[[#This Row],[Costo Unitario]])*Cocina[[#This Row],[Cantidad Ordenada]]</f>
        <v>39</v>
      </c>
      <c r="K592" s="4">
        <f>Cocina[[#This Row],[Ganancia neta]]/_xlfn.XLOOKUP(Cocina[[#This Row],[Número de Orden]],Sala[Número de Orden],Sala[Monto total],"fracaso",0,1)</f>
        <v>0.1822429906542056</v>
      </c>
      <c r="L592" t="s">
        <v>608</v>
      </c>
    </row>
    <row r="593" spans="1:12" x14ac:dyDescent="0.25">
      <c r="A593">
        <v>230</v>
      </c>
      <c r="B593">
        <v>5</v>
      </c>
      <c r="C593" t="s">
        <v>42</v>
      </c>
      <c r="D593" t="s">
        <v>626</v>
      </c>
      <c r="E593">
        <v>16</v>
      </c>
      <c r="F593">
        <v>28</v>
      </c>
      <c r="G593">
        <v>2</v>
      </c>
      <c r="H593">
        <v>24</v>
      </c>
      <c r="I593">
        <f>Cocina[[#This Row],[Precio Unitario]]*Cocina[[#This Row],[Cantidad Ordenada]]</f>
        <v>56</v>
      </c>
      <c r="J593">
        <f>(Cocina[[#This Row],[Precio Unitario]]-Cocina[[#This Row],[Costo Unitario]])*Cocina[[#This Row],[Cantidad Ordenada]]</f>
        <v>24</v>
      </c>
      <c r="K593" s="4">
        <f>Cocina[[#This Row],[Ganancia neta]]/_xlfn.XLOOKUP(Cocina[[#This Row],[Número de Orden]],Sala[Número de Orden],Sala[Monto total],"fracaso",0,1)</f>
        <v>0.11214953271028037</v>
      </c>
      <c r="L593" t="s">
        <v>608</v>
      </c>
    </row>
    <row r="594" spans="1:12" x14ac:dyDescent="0.25">
      <c r="A594">
        <v>230</v>
      </c>
      <c r="B594">
        <v>5</v>
      </c>
      <c r="C594" t="s">
        <v>116</v>
      </c>
      <c r="D594" t="s">
        <v>620</v>
      </c>
      <c r="E594">
        <v>19</v>
      </c>
      <c r="F594">
        <v>31</v>
      </c>
      <c r="G594">
        <v>2</v>
      </c>
      <c r="H594">
        <v>57</v>
      </c>
      <c r="I594">
        <f>Cocina[[#This Row],[Precio Unitario]]*Cocina[[#This Row],[Cantidad Ordenada]]</f>
        <v>62</v>
      </c>
      <c r="J594">
        <f>(Cocina[[#This Row],[Precio Unitario]]-Cocina[[#This Row],[Costo Unitario]])*Cocina[[#This Row],[Cantidad Ordenada]]</f>
        <v>24</v>
      </c>
      <c r="K594" s="4">
        <f>Cocina[[#This Row],[Ganancia neta]]/_xlfn.XLOOKUP(Cocina[[#This Row],[Número de Orden]],Sala[Número de Orden],Sala[Monto total],"fracaso",0,1)</f>
        <v>0.11214953271028037</v>
      </c>
      <c r="L594" t="s">
        <v>608</v>
      </c>
    </row>
    <row r="595" spans="1:12" x14ac:dyDescent="0.25">
      <c r="A595">
        <v>231</v>
      </c>
      <c r="B595">
        <v>8</v>
      </c>
      <c r="C595" t="s">
        <v>70</v>
      </c>
      <c r="D595" t="s">
        <v>634</v>
      </c>
      <c r="E595">
        <v>13</v>
      </c>
      <c r="F595">
        <v>21</v>
      </c>
      <c r="G595">
        <v>2</v>
      </c>
      <c r="H595">
        <v>29</v>
      </c>
      <c r="I595">
        <f>Cocina[[#This Row],[Precio Unitario]]*Cocina[[#This Row],[Cantidad Ordenada]]</f>
        <v>42</v>
      </c>
      <c r="J595">
        <f>(Cocina[[#This Row],[Precio Unitario]]-Cocina[[#This Row],[Costo Unitario]])*Cocina[[#This Row],[Cantidad Ordenada]]</f>
        <v>16</v>
      </c>
      <c r="K595" s="4">
        <f>Cocina[[#This Row],[Ganancia neta]]/_xlfn.XLOOKUP(Cocina[[#This Row],[Número de Orden]],Sala[Número de Orden],Sala[Monto total],"fracaso",0,1)</f>
        <v>7.6923076923076927E-2</v>
      </c>
      <c r="L595" t="s">
        <v>608</v>
      </c>
    </row>
    <row r="596" spans="1:12" x14ac:dyDescent="0.25">
      <c r="A596">
        <v>231</v>
      </c>
      <c r="B596">
        <v>8</v>
      </c>
      <c r="C596" t="s">
        <v>55</v>
      </c>
      <c r="D596" t="s">
        <v>631</v>
      </c>
      <c r="E596">
        <v>20</v>
      </c>
      <c r="F596">
        <v>34</v>
      </c>
      <c r="G596">
        <v>3</v>
      </c>
      <c r="H596">
        <v>17</v>
      </c>
      <c r="I596">
        <f>Cocina[[#This Row],[Precio Unitario]]*Cocina[[#This Row],[Cantidad Ordenada]]</f>
        <v>102</v>
      </c>
      <c r="J596">
        <f>(Cocina[[#This Row],[Precio Unitario]]-Cocina[[#This Row],[Costo Unitario]])*Cocina[[#This Row],[Cantidad Ordenada]]</f>
        <v>42</v>
      </c>
      <c r="K596" s="4">
        <f>Cocina[[#This Row],[Ganancia neta]]/_xlfn.XLOOKUP(Cocina[[#This Row],[Número de Orden]],Sala[Número de Orden],Sala[Monto total],"fracaso",0,1)</f>
        <v>0.20192307692307693</v>
      </c>
      <c r="L596" t="s">
        <v>608</v>
      </c>
    </row>
    <row r="597" spans="1:12" x14ac:dyDescent="0.25">
      <c r="A597">
        <v>231</v>
      </c>
      <c r="B597">
        <v>8</v>
      </c>
      <c r="C597" t="s">
        <v>116</v>
      </c>
      <c r="D597" t="s">
        <v>620</v>
      </c>
      <c r="E597">
        <v>19</v>
      </c>
      <c r="F597">
        <v>31</v>
      </c>
      <c r="G597">
        <v>1</v>
      </c>
      <c r="H597">
        <v>53</v>
      </c>
      <c r="I597">
        <f>Cocina[[#This Row],[Precio Unitario]]*Cocina[[#This Row],[Cantidad Ordenada]]</f>
        <v>31</v>
      </c>
      <c r="J597">
        <f>(Cocina[[#This Row],[Precio Unitario]]-Cocina[[#This Row],[Costo Unitario]])*Cocina[[#This Row],[Cantidad Ordenada]]</f>
        <v>12</v>
      </c>
      <c r="K597" s="4">
        <f>Cocina[[#This Row],[Ganancia neta]]/_xlfn.XLOOKUP(Cocina[[#This Row],[Número de Orden]],Sala[Número de Orden],Sala[Monto total],"fracaso",0,1)</f>
        <v>5.7692307692307696E-2</v>
      </c>
      <c r="L597" t="s">
        <v>608</v>
      </c>
    </row>
    <row r="598" spans="1:12" x14ac:dyDescent="0.25">
      <c r="A598">
        <v>231</v>
      </c>
      <c r="B598">
        <v>8</v>
      </c>
      <c r="C598" t="s">
        <v>261</v>
      </c>
      <c r="D598" t="s">
        <v>625</v>
      </c>
      <c r="E598">
        <v>20</v>
      </c>
      <c r="F598">
        <v>33</v>
      </c>
      <c r="G598">
        <v>1</v>
      </c>
      <c r="H598">
        <v>51</v>
      </c>
      <c r="I598">
        <f>Cocina[[#This Row],[Precio Unitario]]*Cocina[[#This Row],[Cantidad Ordenada]]</f>
        <v>33</v>
      </c>
      <c r="J598">
        <f>(Cocina[[#This Row],[Precio Unitario]]-Cocina[[#This Row],[Costo Unitario]])*Cocina[[#This Row],[Cantidad Ordenada]]</f>
        <v>13</v>
      </c>
      <c r="K598" s="4">
        <f>Cocina[[#This Row],[Ganancia neta]]/_xlfn.XLOOKUP(Cocina[[#This Row],[Número de Orden]],Sala[Número de Orden],Sala[Monto total],"fracaso",0,1)</f>
        <v>6.25E-2</v>
      </c>
      <c r="L598" t="s">
        <v>607</v>
      </c>
    </row>
    <row r="599" spans="1:12" x14ac:dyDescent="0.25">
      <c r="A599">
        <v>232</v>
      </c>
      <c r="B599">
        <v>2</v>
      </c>
      <c r="C599" t="s">
        <v>158</v>
      </c>
      <c r="D599" t="s">
        <v>617</v>
      </c>
      <c r="E599">
        <v>14</v>
      </c>
      <c r="F599">
        <v>24</v>
      </c>
      <c r="G599">
        <v>1</v>
      </c>
      <c r="H599">
        <v>50</v>
      </c>
      <c r="I599">
        <f>Cocina[[#This Row],[Precio Unitario]]*Cocina[[#This Row],[Cantidad Ordenada]]</f>
        <v>24</v>
      </c>
      <c r="J599">
        <f>(Cocina[[#This Row],[Precio Unitario]]-Cocina[[#This Row],[Costo Unitario]])*Cocina[[#This Row],[Cantidad Ordenada]]</f>
        <v>10</v>
      </c>
      <c r="K599" s="4">
        <f>Cocina[[#This Row],[Ganancia neta]]/_xlfn.XLOOKUP(Cocina[[#This Row],[Número de Orden]],Sala[Número de Orden],Sala[Monto total],"fracaso",0,1)</f>
        <v>5.2631578947368418E-2</v>
      </c>
      <c r="L599" t="s">
        <v>608</v>
      </c>
    </row>
    <row r="600" spans="1:12" x14ac:dyDescent="0.25">
      <c r="A600">
        <v>232</v>
      </c>
      <c r="B600">
        <v>2</v>
      </c>
      <c r="C600" t="s">
        <v>106</v>
      </c>
      <c r="D600" t="s">
        <v>621</v>
      </c>
      <c r="E600">
        <v>16</v>
      </c>
      <c r="F600">
        <v>27</v>
      </c>
      <c r="G600">
        <v>2</v>
      </c>
      <c r="H600">
        <v>30</v>
      </c>
      <c r="I600">
        <f>Cocina[[#This Row],[Precio Unitario]]*Cocina[[#This Row],[Cantidad Ordenada]]</f>
        <v>54</v>
      </c>
      <c r="J600">
        <f>(Cocina[[#This Row],[Precio Unitario]]-Cocina[[#This Row],[Costo Unitario]])*Cocina[[#This Row],[Cantidad Ordenada]]</f>
        <v>22</v>
      </c>
      <c r="K600" s="4">
        <f>Cocina[[#This Row],[Ganancia neta]]/_xlfn.XLOOKUP(Cocina[[#This Row],[Número de Orden]],Sala[Número de Orden],Sala[Monto total],"fracaso",0,1)</f>
        <v>0.11578947368421053</v>
      </c>
      <c r="L600" t="s">
        <v>608</v>
      </c>
    </row>
    <row r="601" spans="1:12" x14ac:dyDescent="0.25">
      <c r="A601">
        <v>232</v>
      </c>
      <c r="B601">
        <v>2</v>
      </c>
      <c r="C601" t="s">
        <v>68</v>
      </c>
      <c r="D601" t="s">
        <v>619</v>
      </c>
      <c r="E601">
        <v>18</v>
      </c>
      <c r="F601">
        <v>30</v>
      </c>
      <c r="G601">
        <v>2</v>
      </c>
      <c r="H601">
        <v>40</v>
      </c>
      <c r="I601">
        <f>Cocina[[#This Row],[Precio Unitario]]*Cocina[[#This Row],[Cantidad Ordenada]]</f>
        <v>60</v>
      </c>
      <c r="J601">
        <f>(Cocina[[#This Row],[Precio Unitario]]-Cocina[[#This Row],[Costo Unitario]])*Cocina[[#This Row],[Cantidad Ordenada]]</f>
        <v>24</v>
      </c>
      <c r="K601" s="4">
        <f>Cocina[[#This Row],[Ganancia neta]]/_xlfn.XLOOKUP(Cocina[[#This Row],[Número de Orden]],Sala[Número de Orden],Sala[Monto total],"fracaso",0,1)</f>
        <v>0.12631578947368421</v>
      </c>
      <c r="L601" t="s">
        <v>608</v>
      </c>
    </row>
    <row r="602" spans="1:12" x14ac:dyDescent="0.25">
      <c r="A602">
        <v>232</v>
      </c>
      <c r="B602">
        <v>2</v>
      </c>
      <c r="C602" t="s">
        <v>155</v>
      </c>
      <c r="D602" t="s">
        <v>636</v>
      </c>
      <c r="E602">
        <v>15</v>
      </c>
      <c r="F602">
        <v>26</v>
      </c>
      <c r="G602">
        <v>2</v>
      </c>
      <c r="H602">
        <v>19</v>
      </c>
      <c r="I602">
        <f>Cocina[[#This Row],[Precio Unitario]]*Cocina[[#This Row],[Cantidad Ordenada]]</f>
        <v>52</v>
      </c>
      <c r="J602">
        <f>(Cocina[[#This Row],[Precio Unitario]]-Cocina[[#This Row],[Costo Unitario]])*Cocina[[#This Row],[Cantidad Ordenada]]</f>
        <v>22</v>
      </c>
      <c r="K602" s="4">
        <f>Cocina[[#This Row],[Ganancia neta]]/_xlfn.XLOOKUP(Cocina[[#This Row],[Número de Orden]],Sala[Número de Orden],Sala[Monto total],"fracaso",0,1)</f>
        <v>0.11578947368421053</v>
      </c>
      <c r="L602" t="s">
        <v>607</v>
      </c>
    </row>
    <row r="603" spans="1:12" x14ac:dyDescent="0.25">
      <c r="A603">
        <v>233</v>
      </c>
      <c r="B603">
        <v>8</v>
      </c>
      <c r="C603" t="s">
        <v>112</v>
      </c>
      <c r="D603" t="s">
        <v>627</v>
      </c>
      <c r="E603">
        <v>11</v>
      </c>
      <c r="F603">
        <v>19</v>
      </c>
      <c r="G603">
        <v>2</v>
      </c>
      <c r="H603">
        <v>31</v>
      </c>
      <c r="I603">
        <f>Cocina[[#This Row],[Precio Unitario]]*Cocina[[#This Row],[Cantidad Ordenada]]</f>
        <v>38</v>
      </c>
      <c r="J603">
        <f>(Cocina[[#This Row],[Precio Unitario]]-Cocina[[#This Row],[Costo Unitario]])*Cocina[[#This Row],[Cantidad Ordenada]]</f>
        <v>16</v>
      </c>
      <c r="K603" s="4">
        <f>Cocina[[#This Row],[Ganancia neta]]/_xlfn.XLOOKUP(Cocina[[#This Row],[Número de Orden]],Sala[Número de Orden],Sala[Monto total],"fracaso",0,1)</f>
        <v>0.42105263157894735</v>
      </c>
      <c r="L603" t="s">
        <v>608</v>
      </c>
    </row>
    <row r="604" spans="1:12" x14ac:dyDescent="0.25">
      <c r="A604">
        <v>234</v>
      </c>
      <c r="B604">
        <v>17</v>
      </c>
      <c r="C604" t="s">
        <v>68</v>
      </c>
      <c r="D604" t="s">
        <v>619</v>
      </c>
      <c r="E604">
        <v>18</v>
      </c>
      <c r="F604">
        <v>30</v>
      </c>
      <c r="G604">
        <v>2</v>
      </c>
      <c r="H604">
        <v>41</v>
      </c>
      <c r="I604">
        <f>Cocina[[#This Row],[Precio Unitario]]*Cocina[[#This Row],[Cantidad Ordenada]]</f>
        <v>60</v>
      </c>
      <c r="J604">
        <f>(Cocina[[#This Row],[Precio Unitario]]-Cocina[[#This Row],[Costo Unitario]])*Cocina[[#This Row],[Cantidad Ordenada]]</f>
        <v>24</v>
      </c>
      <c r="K604" s="4">
        <f>Cocina[[#This Row],[Ganancia neta]]/_xlfn.XLOOKUP(Cocina[[#This Row],[Número de Orden]],Sala[Número de Orden],Sala[Monto total],"fracaso",0,1)</f>
        <v>0.10666666666666667</v>
      </c>
      <c r="L604" t="s">
        <v>608</v>
      </c>
    </row>
    <row r="605" spans="1:12" x14ac:dyDescent="0.25">
      <c r="A605">
        <v>234</v>
      </c>
      <c r="B605">
        <v>17</v>
      </c>
      <c r="C605" t="s">
        <v>158</v>
      </c>
      <c r="D605" t="s">
        <v>617</v>
      </c>
      <c r="E605">
        <v>14</v>
      </c>
      <c r="F605">
        <v>24</v>
      </c>
      <c r="G605">
        <v>3</v>
      </c>
      <c r="H605">
        <v>35</v>
      </c>
      <c r="I605">
        <f>Cocina[[#This Row],[Precio Unitario]]*Cocina[[#This Row],[Cantidad Ordenada]]</f>
        <v>72</v>
      </c>
      <c r="J605">
        <f>(Cocina[[#This Row],[Precio Unitario]]-Cocina[[#This Row],[Costo Unitario]])*Cocina[[#This Row],[Cantidad Ordenada]]</f>
        <v>30</v>
      </c>
      <c r="K605" s="4">
        <f>Cocina[[#This Row],[Ganancia neta]]/_xlfn.XLOOKUP(Cocina[[#This Row],[Número de Orden]],Sala[Número de Orden],Sala[Monto total],"fracaso",0,1)</f>
        <v>0.13333333333333333</v>
      </c>
      <c r="L605" t="s">
        <v>607</v>
      </c>
    </row>
    <row r="606" spans="1:12" x14ac:dyDescent="0.25">
      <c r="A606">
        <v>234</v>
      </c>
      <c r="B606">
        <v>17</v>
      </c>
      <c r="C606" t="s">
        <v>116</v>
      </c>
      <c r="D606" t="s">
        <v>620</v>
      </c>
      <c r="E606">
        <v>19</v>
      </c>
      <c r="F606">
        <v>31</v>
      </c>
      <c r="G606">
        <v>3</v>
      </c>
      <c r="H606">
        <v>23</v>
      </c>
      <c r="I606">
        <f>Cocina[[#This Row],[Precio Unitario]]*Cocina[[#This Row],[Cantidad Ordenada]]</f>
        <v>93</v>
      </c>
      <c r="J606">
        <f>(Cocina[[#This Row],[Precio Unitario]]-Cocina[[#This Row],[Costo Unitario]])*Cocina[[#This Row],[Cantidad Ordenada]]</f>
        <v>36</v>
      </c>
      <c r="K606" s="4">
        <f>Cocina[[#This Row],[Ganancia neta]]/_xlfn.XLOOKUP(Cocina[[#This Row],[Número de Orden]],Sala[Número de Orden],Sala[Monto total],"fracaso",0,1)</f>
        <v>0.16</v>
      </c>
      <c r="L606" t="s">
        <v>608</v>
      </c>
    </row>
    <row r="607" spans="1:12" x14ac:dyDescent="0.25">
      <c r="A607">
        <v>235</v>
      </c>
      <c r="B607">
        <v>13</v>
      </c>
      <c r="C607" t="s">
        <v>261</v>
      </c>
      <c r="D607" t="s">
        <v>625</v>
      </c>
      <c r="E607">
        <v>20</v>
      </c>
      <c r="F607">
        <v>33</v>
      </c>
      <c r="G607">
        <v>1</v>
      </c>
      <c r="H607">
        <v>25</v>
      </c>
      <c r="I607">
        <f>Cocina[[#This Row],[Precio Unitario]]*Cocina[[#This Row],[Cantidad Ordenada]]</f>
        <v>33</v>
      </c>
      <c r="J607">
        <f>(Cocina[[#This Row],[Precio Unitario]]-Cocina[[#This Row],[Costo Unitario]])*Cocina[[#This Row],[Cantidad Ordenada]]</f>
        <v>13</v>
      </c>
      <c r="K607" s="4">
        <f>Cocina[[#This Row],[Ganancia neta]]/_xlfn.XLOOKUP(Cocina[[#This Row],[Número de Orden]],Sala[Número de Orden],Sala[Monto total],"fracaso",0,1)</f>
        <v>0.39393939393939392</v>
      </c>
      <c r="L607" t="s">
        <v>607</v>
      </c>
    </row>
    <row r="608" spans="1:12" x14ac:dyDescent="0.25">
      <c r="A608">
        <v>236</v>
      </c>
      <c r="B608">
        <v>12</v>
      </c>
      <c r="C608" t="s">
        <v>261</v>
      </c>
      <c r="D608" t="s">
        <v>625</v>
      </c>
      <c r="E608">
        <v>20</v>
      </c>
      <c r="F608">
        <v>33</v>
      </c>
      <c r="G608">
        <v>3</v>
      </c>
      <c r="H608">
        <v>21</v>
      </c>
      <c r="I608">
        <f>Cocina[[#This Row],[Precio Unitario]]*Cocina[[#This Row],[Cantidad Ordenada]]</f>
        <v>99</v>
      </c>
      <c r="J608">
        <f>(Cocina[[#This Row],[Precio Unitario]]-Cocina[[#This Row],[Costo Unitario]])*Cocina[[#This Row],[Cantidad Ordenada]]</f>
        <v>39</v>
      </c>
      <c r="K608" s="4">
        <f>Cocina[[#This Row],[Ganancia neta]]/_xlfn.XLOOKUP(Cocina[[#This Row],[Número de Orden]],Sala[Número de Orden],Sala[Monto total],"fracaso",0,1)</f>
        <v>0.15294117647058825</v>
      </c>
      <c r="L608" t="s">
        <v>607</v>
      </c>
    </row>
    <row r="609" spans="1:12" x14ac:dyDescent="0.25">
      <c r="A609">
        <v>236</v>
      </c>
      <c r="B609">
        <v>12</v>
      </c>
      <c r="C609" t="s">
        <v>203</v>
      </c>
      <c r="D609" t="s">
        <v>630</v>
      </c>
      <c r="E609">
        <v>13</v>
      </c>
      <c r="F609">
        <v>22</v>
      </c>
      <c r="G609">
        <v>1</v>
      </c>
      <c r="H609">
        <v>7</v>
      </c>
      <c r="I609">
        <f>Cocina[[#This Row],[Precio Unitario]]*Cocina[[#This Row],[Cantidad Ordenada]]</f>
        <v>22</v>
      </c>
      <c r="J609">
        <f>(Cocina[[#This Row],[Precio Unitario]]-Cocina[[#This Row],[Costo Unitario]])*Cocina[[#This Row],[Cantidad Ordenada]]</f>
        <v>9</v>
      </c>
      <c r="K609" s="4">
        <f>Cocina[[#This Row],[Ganancia neta]]/_xlfn.XLOOKUP(Cocina[[#This Row],[Número de Orden]],Sala[Número de Orden],Sala[Monto total],"fracaso",0,1)</f>
        <v>3.5294117647058823E-2</v>
      </c>
      <c r="L609" t="s">
        <v>607</v>
      </c>
    </row>
    <row r="610" spans="1:12" x14ac:dyDescent="0.25">
      <c r="A610">
        <v>236</v>
      </c>
      <c r="B610">
        <v>12</v>
      </c>
      <c r="C610" t="s">
        <v>26</v>
      </c>
      <c r="D610" t="s">
        <v>628</v>
      </c>
      <c r="E610">
        <v>21</v>
      </c>
      <c r="F610">
        <v>35</v>
      </c>
      <c r="G610">
        <v>2</v>
      </c>
      <c r="H610">
        <v>43</v>
      </c>
      <c r="I610">
        <f>Cocina[[#This Row],[Precio Unitario]]*Cocina[[#This Row],[Cantidad Ordenada]]</f>
        <v>70</v>
      </c>
      <c r="J610">
        <f>(Cocina[[#This Row],[Precio Unitario]]-Cocina[[#This Row],[Costo Unitario]])*Cocina[[#This Row],[Cantidad Ordenada]]</f>
        <v>28</v>
      </c>
      <c r="K610" s="4">
        <f>Cocina[[#This Row],[Ganancia neta]]/_xlfn.XLOOKUP(Cocina[[#This Row],[Número de Orden]],Sala[Número de Orden],Sala[Monto total],"fracaso",0,1)</f>
        <v>0.10980392156862745</v>
      </c>
      <c r="L610" t="s">
        <v>608</v>
      </c>
    </row>
    <row r="611" spans="1:12" x14ac:dyDescent="0.25">
      <c r="A611">
        <v>236</v>
      </c>
      <c r="B611">
        <v>12</v>
      </c>
      <c r="C611" t="s">
        <v>247</v>
      </c>
      <c r="D611" t="s">
        <v>629</v>
      </c>
      <c r="E611">
        <v>19</v>
      </c>
      <c r="F611">
        <v>32</v>
      </c>
      <c r="G611">
        <v>2</v>
      </c>
      <c r="H611">
        <v>30</v>
      </c>
      <c r="I611">
        <f>Cocina[[#This Row],[Precio Unitario]]*Cocina[[#This Row],[Cantidad Ordenada]]</f>
        <v>64</v>
      </c>
      <c r="J611">
        <f>(Cocina[[#This Row],[Precio Unitario]]-Cocina[[#This Row],[Costo Unitario]])*Cocina[[#This Row],[Cantidad Ordenada]]</f>
        <v>26</v>
      </c>
      <c r="K611" s="4">
        <f>Cocina[[#This Row],[Ganancia neta]]/_xlfn.XLOOKUP(Cocina[[#This Row],[Número de Orden]],Sala[Número de Orden],Sala[Monto total],"fracaso",0,1)</f>
        <v>0.10196078431372549</v>
      </c>
      <c r="L611" t="s">
        <v>607</v>
      </c>
    </row>
    <row r="612" spans="1:12" x14ac:dyDescent="0.25">
      <c r="A612">
        <v>237</v>
      </c>
      <c r="B612">
        <v>4</v>
      </c>
      <c r="C612" t="s">
        <v>200</v>
      </c>
      <c r="D612" t="s">
        <v>633</v>
      </c>
      <c r="E612">
        <v>14</v>
      </c>
      <c r="F612">
        <v>23</v>
      </c>
      <c r="G612">
        <v>2</v>
      </c>
      <c r="H612">
        <v>12</v>
      </c>
      <c r="I612">
        <f>Cocina[[#This Row],[Precio Unitario]]*Cocina[[#This Row],[Cantidad Ordenada]]</f>
        <v>46</v>
      </c>
      <c r="J612">
        <f>(Cocina[[#This Row],[Precio Unitario]]-Cocina[[#This Row],[Costo Unitario]])*Cocina[[#This Row],[Cantidad Ordenada]]</f>
        <v>18</v>
      </c>
      <c r="K612" s="4">
        <f>Cocina[[#This Row],[Ganancia neta]]/_xlfn.XLOOKUP(Cocina[[#This Row],[Número de Orden]],Sala[Número de Orden],Sala[Monto total],"fracaso",0,1)</f>
        <v>0.16981132075471697</v>
      </c>
      <c r="L612" t="s">
        <v>607</v>
      </c>
    </row>
    <row r="613" spans="1:12" x14ac:dyDescent="0.25">
      <c r="A613">
        <v>237</v>
      </c>
      <c r="B613">
        <v>4</v>
      </c>
      <c r="C613" t="s">
        <v>68</v>
      </c>
      <c r="D613" t="s">
        <v>619</v>
      </c>
      <c r="E613">
        <v>18</v>
      </c>
      <c r="F613">
        <v>30</v>
      </c>
      <c r="G613">
        <v>2</v>
      </c>
      <c r="H613">
        <v>25</v>
      </c>
      <c r="I613">
        <f>Cocina[[#This Row],[Precio Unitario]]*Cocina[[#This Row],[Cantidad Ordenada]]</f>
        <v>60</v>
      </c>
      <c r="J613">
        <f>(Cocina[[#This Row],[Precio Unitario]]-Cocina[[#This Row],[Costo Unitario]])*Cocina[[#This Row],[Cantidad Ordenada]]</f>
        <v>24</v>
      </c>
      <c r="K613" s="4">
        <f>Cocina[[#This Row],[Ganancia neta]]/_xlfn.XLOOKUP(Cocina[[#This Row],[Número de Orden]],Sala[Número de Orden],Sala[Monto total],"fracaso",0,1)</f>
        <v>0.22641509433962265</v>
      </c>
      <c r="L613" t="s">
        <v>608</v>
      </c>
    </row>
    <row r="614" spans="1:12" x14ac:dyDescent="0.25">
      <c r="A614">
        <v>238</v>
      </c>
      <c r="B614">
        <v>13</v>
      </c>
      <c r="C614" t="s">
        <v>73</v>
      </c>
      <c r="D614" t="s">
        <v>623</v>
      </c>
      <c r="E614">
        <v>22</v>
      </c>
      <c r="F614">
        <v>36</v>
      </c>
      <c r="G614">
        <v>2</v>
      </c>
      <c r="H614">
        <v>45</v>
      </c>
      <c r="I614">
        <f>Cocina[[#This Row],[Precio Unitario]]*Cocina[[#This Row],[Cantidad Ordenada]]</f>
        <v>72</v>
      </c>
      <c r="J614">
        <f>(Cocina[[#This Row],[Precio Unitario]]-Cocina[[#This Row],[Costo Unitario]])*Cocina[[#This Row],[Cantidad Ordenada]]</f>
        <v>28</v>
      </c>
      <c r="K614" s="4">
        <f>Cocina[[#This Row],[Ganancia neta]]/_xlfn.XLOOKUP(Cocina[[#This Row],[Número de Orden]],Sala[Número de Orden],Sala[Monto total],"fracaso",0,1)</f>
        <v>0.3888888888888889</v>
      </c>
      <c r="L614" t="s">
        <v>608</v>
      </c>
    </row>
    <row r="615" spans="1:12" x14ac:dyDescent="0.25">
      <c r="A615">
        <v>239</v>
      </c>
      <c r="B615">
        <v>12</v>
      </c>
      <c r="C615" t="s">
        <v>155</v>
      </c>
      <c r="D615" t="s">
        <v>636</v>
      </c>
      <c r="E615">
        <v>15</v>
      </c>
      <c r="F615">
        <v>26</v>
      </c>
      <c r="G615">
        <v>1</v>
      </c>
      <c r="H615">
        <v>36</v>
      </c>
      <c r="I615">
        <f>Cocina[[#This Row],[Precio Unitario]]*Cocina[[#This Row],[Cantidad Ordenada]]</f>
        <v>26</v>
      </c>
      <c r="J615">
        <f>(Cocina[[#This Row],[Precio Unitario]]-Cocina[[#This Row],[Costo Unitario]])*Cocina[[#This Row],[Cantidad Ordenada]]</f>
        <v>11</v>
      </c>
      <c r="K615" s="4">
        <f>Cocina[[#This Row],[Ganancia neta]]/_xlfn.XLOOKUP(Cocina[[#This Row],[Número de Orden]],Sala[Número de Orden],Sala[Monto total],"fracaso",0,1)</f>
        <v>0.14864864864864866</v>
      </c>
      <c r="L615" t="s">
        <v>607</v>
      </c>
    </row>
    <row r="616" spans="1:12" x14ac:dyDescent="0.25">
      <c r="A616">
        <v>239</v>
      </c>
      <c r="B616">
        <v>12</v>
      </c>
      <c r="C616" t="s">
        <v>158</v>
      </c>
      <c r="D616" t="s">
        <v>617</v>
      </c>
      <c r="E616">
        <v>14</v>
      </c>
      <c r="F616">
        <v>24</v>
      </c>
      <c r="G616">
        <v>2</v>
      </c>
      <c r="H616">
        <v>37</v>
      </c>
      <c r="I616">
        <f>Cocina[[#This Row],[Precio Unitario]]*Cocina[[#This Row],[Cantidad Ordenada]]</f>
        <v>48</v>
      </c>
      <c r="J616">
        <f>(Cocina[[#This Row],[Precio Unitario]]-Cocina[[#This Row],[Costo Unitario]])*Cocina[[#This Row],[Cantidad Ordenada]]</f>
        <v>20</v>
      </c>
      <c r="K616" s="4">
        <f>Cocina[[#This Row],[Ganancia neta]]/_xlfn.XLOOKUP(Cocina[[#This Row],[Número de Orden]],Sala[Número de Orden],Sala[Monto total],"fracaso",0,1)</f>
        <v>0.27027027027027029</v>
      </c>
      <c r="L616" t="s">
        <v>607</v>
      </c>
    </row>
    <row r="617" spans="1:12" x14ac:dyDescent="0.25">
      <c r="A617">
        <v>240</v>
      </c>
      <c r="B617">
        <v>9</v>
      </c>
      <c r="C617" t="s">
        <v>116</v>
      </c>
      <c r="D617" t="s">
        <v>620</v>
      </c>
      <c r="E617">
        <v>19</v>
      </c>
      <c r="F617">
        <v>31</v>
      </c>
      <c r="G617">
        <v>3</v>
      </c>
      <c r="H617">
        <v>32</v>
      </c>
      <c r="I617">
        <f>Cocina[[#This Row],[Precio Unitario]]*Cocina[[#This Row],[Cantidad Ordenada]]</f>
        <v>93</v>
      </c>
      <c r="J617">
        <f>(Cocina[[#This Row],[Precio Unitario]]-Cocina[[#This Row],[Costo Unitario]])*Cocina[[#This Row],[Cantidad Ordenada]]</f>
        <v>36</v>
      </c>
      <c r="K617" s="4">
        <f>Cocina[[#This Row],[Ganancia neta]]/_xlfn.XLOOKUP(Cocina[[#This Row],[Número de Orden]],Sala[Número de Orden],Sala[Monto total],"fracaso",0,1)</f>
        <v>0.12244897959183673</v>
      </c>
      <c r="L617" t="s">
        <v>608</v>
      </c>
    </row>
    <row r="618" spans="1:12" x14ac:dyDescent="0.25">
      <c r="A618">
        <v>240</v>
      </c>
      <c r="B618">
        <v>9</v>
      </c>
      <c r="C618" t="s">
        <v>200</v>
      </c>
      <c r="D618" t="s">
        <v>633</v>
      </c>
      <c r="E618">
        <v>14</v>
      </c>
      <c r="F618">
        <v>23</v>
      </c>
      <c r="G618">
        <v>3</v>
      </c>
      <c r="H618">
        <v>32</v>
      </c>
      <c r="I618">
        <f>Cocina[[#This Row],[Precio Unitario]]*Cocina[[#This Row],[Cantidad Ordenada]]</f>
        <v>69</v>
      </c>
      <c r="J618">
        <f>(Cocina[[#This Row],[Precio Unitario]]-Cocina[[#This Row],[Costo Unitario]])*Cocina[[#This Row],[Cantidad Ordenada]]</f>
        <v>27</v>
      </c>
      <c r="K618" s="4">
        <f>Cocina[[#This Row],[Ganancia neta]]/_xlfn.XLOOKUP(Cocina[[#This Row],[Número de Orden]],Sala[Número de Orden],Sala[Monto total],"fracaso",0,1)</f>
        <v>9.1836734693877556E-2</v>
      </c>
      <c r="L618" t="s">
        <v>608</v>
      </c>
    </row>
    <row r="619" spans="1:12" x14ac:dyDescent="0.25">
      <c r="A619">
        <v>240</v>
      </c>
      <c r="B619">
        <v>9</v>
      </c>
      <c r="C619" t="s">
        <v>79</v>
      </c>
      <c r="D619" t="s">
        <v>635</v>
      </c>
      <c r="E619">
        <v>10</v>
      </c>
      <c r="F619">
        <v>18</v>
      </c>
      <c r="G619">
        <v>2</v>
      </c>
      <c r="H619">
        <v>46</v>
      </c>
      <c r="I619">
        <f>Cocina[[#This Row],[Precio Unitario]]*Cocina[[#This Row],[Cantidad Ordenada]]</f>
        <v>36</v>
      </c>
      <c r="J619">
        <f>(Cocina[[#This Row],[Precio Unitario]]-Cocina[[#This Row],[Costo Unitario]])*Cocina[[#This Row],[Cantidad Ordenada]]</f>
        <v>16</v>
      </c>
      <c r="K619" s="4">
        <f>Cocina[[#This Row],[Ganancia neta]]/_xlfn.XLOOKUP(Cocina[[#This Row],[Número de Orden]],Sala[Número de Orden],Sala[Monto total],"fracaso",0,1)</f>
        <v>5.4421768707482991E-2</v>
      </c>
      <c r="L619" t="s">
        <v>607</v>
      </c>
    </row>
    <row r="620" spans="1:12" x14ac:dyDescent="0.25">
      <c r="A620">
        <v>240</v>
      </c>
      <c r="B620">
        <v>9</v>
      </c>
      <c r="C620" t="s">
        <v>247</v>
      </c>
      <c r="D620" t="s">
        <v>629</v>
      </c>
      <c r="E620">
        <v>19</v>
      </c>
      <c r="F620">
        <v>32</v>
      </c>
      <c r="G620">
        <v>3</v>
      </c>
      <c r="H620">
        <v>19</v>
      </c>
      <c r="I620">
        <f>Cocina[[#This Row],[Precio Unitario]]*Cocina[[#This Row],[Cantidad Ordenada]]</f>
        <v>96</v>
      </c>
      <c r="J620">
        <f>(Cocina[[#This Row],[Precio Unitario]]-Cocina[[#This Row],[Costo Unitario]])*Cocina[[#This Row],[Cantidad Ordenada]]</f>
        <v>39</v>
      </c>
      <c r="K620" s="4">
        <f>Cocina[[#This Row],[Ganancia neta]]/_xlfn.XLOOKUP(Cocina[[#This Row],[Número de Orden]],Sala[Número de Orden],Sala[Monto total],"fracaso",0,1)</f>
        <v>0.1326530612244898</v>
      </c>
      <c r="L620" t="s">
        <v>607</v>
      </c>
    </row>
    <row r="621" spans="1:12" x14ac:dyDescent="0.25">
      <c r="A621">
        <v>241</v>
      </c>
      <c r="B621">
        <v>12</v>
      </c>
      <c r="C621" t="s">
        <v>79</v>
      </c>
      <c r="D621" t="s">
        <v>635</v>
      </c>
      <c r="E621">
        <v>10</v>
      </c>
      <c r="F621">
        <v>18</v>
      </c>
      <c r="G621">
        <v>1</v>
      </c>
      <c r="H621">
        <v>11</v>
      </c>
      <c r="I621">
        <f>Cocina[[#This Row],[Precio Unitario]]*Cocina[[#This Row],[Cantidad Ordenada]]</f>
        <v>18</v>
      </c>
      <c r="J621">
        <f>(Cocina[[#This Row],[Precio Unitario]]-Cocina[[#This Row],[Costo Unitario]])*Cocina[[#This Row],[Cantidad Ordenada]]</f>
        <v>8</v>
      </c>
      <c r="K621" s="4">
        <f>Cocina[[#This Row],[Ganancia neta]]/_xlfn.XLOOKUP(Cocina[[#This Row],[Número de Orden]],Sala[Número de Orden],Sala[Monto total],"fracaso",0,1)</f>
        <v>0.44444444444444442</v>
      </c>
      <c r="L621" t="s">
        <v>608</v>
      </c>
    </row>
    <row r="622" spans="1:12" x14ac:dyDescent="0.25">
      <c r="A622">
        <v>242</v>
      </c>
      <c r="B622">
        <v>12</v>
      </c>
      <c r="C622" t="s">
        <v>155</v>
      </c>
      <c r="D622" t="s">
        <v>636</v>
      </c>
      <c r="E622">
        <v>15</v>
      </c>
      <c r="F622">
        <v>26</v>
      </c>
      <c r="G622">
        <v>1</v>
      </c>
      <c r="H622">
        <v>54</v>
      </c>
      <c r="I622">
        <f>Cocina[[#This Row],[Precio Unitario]]*Cocina[[#This Row],[Cantidad Ordenada]]</f>
        <v>26</v>
      </c>
      <c r="J622">
        <f>(Cocina[[#This Row],[Precio Unitario]]-Cocina[[#This Row],[Costo Unitario]])*Cocina[[#This Row],[Cantidad Ordenada]]</f>
        <v>11</v>
      </c>
      <c r="K622" s="4">
        <f>Cocina[[#This Row],[Ganancia neta]]/_xlfn.XLOOKUP(Cocina[[#This Row],[Número de Orden]],Sala[Número de Orden],Sala[Monto total],"fracaso",0,1)</f>
        <v>8.2089552238805971E-2</v>
      </c>
      <c r="L622" t="s">
        <v>607</v>
      </c>
    </row>
    <row r="623" spans="1:12" x14ac:dyDescent="0.25">
      <c r="A623">
        <v>242</v>
      </c>
      <c r="B623">
        <v>12</v>
      </c>
      <c r="C623" t="s">
        <v>122</v>
      </c>
      <c r="D623" t="s">
        <v>637</v>
      </c>
      <c r="E623">
        <v>15</v>
      </c>
      <c r="F623">
        <v>25</v>
      </c>
      <c r="G623">
        <v>3</v>
      </c>
      <c r="H623">
        <v>40</v>
      </c>
      <c r="I623">
        <f>Cocina[[#This Row],[Precio Unitario]]*Cocina[[#This Row],[Cantidad Ordenada]]</f>
        <v>75</v>
      </c>
      <c r="J623">
        <f>(Cocina[[#This Row],[Precio Unitario]]-Cocina[[#This Row],[Costo Unitario]])*Cocina[[#This Row],[Cantidad Ordenada]]</f>
        <v>30</v>
      </c>
      <c r="K623" s="4">
        <f>Cocina[[#This Row],[Ganancia neta]]/_xlfn.XLOOKUP(Cocina[[#This Row],[Número de Orden]],Sala[Número de Orden],Sala[Monto total],"fracaso",0,1)</f>
        <v>0.22388059701492538</v>
      </c>
      <c r="L623" t="s">
        <v>608</v>
      </c>
    </row>
    <row r="624" spans="1:12" x14ac:dyDescent="0.25">
      <c r="A624">
        <v>242</v>
      </c>
      <c r="B624">
        <v>12</v>
      </c>
      <c r="C624" t="s">
        <v>261</v>
      </c>
      <c r="D624" t="s">
        <v>625</v>
      </c>
      <c r="E624">
        <v>20</v>
      </c>
      <c r="F624">
        <v>33</v>
      </c>
      <c r="G624">
        <v>1</v>
      </c>
      <c r="H624">
        <v>5</v>
      </c>
      <c r="I624">
        <f>Cocina[[#This Row],[Precio Unitario]]*Cocina[[#This Row],[Cantidad Ordenada]]</f>
        <v>33</v>
      </c>
      <c r="J624">
        <f>(Cocina[[#This Row],[Precio Unitario]]-Cocina[[#This Row],[Costo Unitario]])*Cocina[[#This Row],[Cantidad Ordenada]]</f>
        <v>13</v>
      </c>
      <c r="K624" s="4">
        <f>Cocina[[#This Row],[Ganancia neta]]/_xlfn.XLOOKUP(Cocina[[#This Row],[Número de Orden]],Sala[Número de Orden],Sala[Monto total],"fracaso",0,1)</f>
        <v>9.7014925373134331E-2</v>
      </c>
      <c r="L624" t="s">
        <v>607</v>
      </c>
    </row>
    <row r="625" spans="1:12" x14ac:dyDescent="0.25">
      <c r="A625">
        <v>243</v>
      </c>
      <c r="B625">
        <v>4</v>
      </c>
      <c r="C625" t="s">
        <v>48</v>
      </c>
      <c r="D625" t="s">
        <v>622</v>
      </c>
      <c r="E625">
        <v>25</v>
      </c>
      <c r="F625">
        <v>40</v>
      </c>
      <c r="G625">
        <v>3</v>
      </c>
      <c r="H625">
        <v>22</v>
      </c>
      <c r="I625">
        <f>Cocina[[#This Row],[Precio Unitario]]*Cocina[[#This Row],[Cantidad Ordenada]]</f>
        <v>120</v>
      </c>
      <c r="J625">
        <f>(Cocina[[#This Row],[Precio Unitario]]-Cocina[[#This Row],[Costo Unitario]])*Cocina[[#This Row],[Cantidad Ordenada]]</f>
        <v>45</v>
      </c>
      <c r="K625" s="4">
        <f>Cocina[[#This Row],[Ganancia neta]]/_xlfn.XLOOKUP(Cocina[[#This Row],[Número de Orden]],Sala[Número de Orden],Sala[Monto total],"fracaso",0,1)</f>
        <v>0.375</v>
      </c>
      <c r="L625" t="s">
        <v>608</v>
      </c>
    </row>
    <row r="626" spans="1:12" x14ac:dyDescent="0.25">
      <c r="A626">
        <v>244</v>
      </c>
      <c r="B626">
        <v>17</v>
      </c>
      <c r="C626" t="s">
        <v>48</v>
      </c>
      <c r="D626" t="s">
        <v>622</v>
      </c>
      <c r="E626">
        <v>25</v>
      </c>
      <c r="F626">
        <v>40</v>
      </c>
      <c r="G626">
        <v>3</v>
      </c>
      <c r="H626">
        <v>30</v>
      </c>
      <c r="I626">
        <f>Cocina[[#This Row],[Precio Unitario]]*Cocina[[#This Row],[Cantidad Ordenada]]</f>
        <v>120</v>
      </c>
      <c r="J626">
        <f>(Cocina[[#This Row],[Precio Unitario]]-Cocina[[#This Row],[Costo Unitario]])*Cocina[[#This Row],[Cantidad Ordenada]]</f>
        <v>45</v>
      </c>
      <c r="K626" s="4">
        <f>Cocina[[#This Row],[Ganancia neta]]/_xlfn.XLOOKUP(Cocina[[#This Row],[Número de Orden]],Sala[Número de Orden],Sala[Monto total],"fracaso",0,1)</f>
        <v>0.2848101265822785</v>
      </c>
      <c r="L626" t="s">
        <v>607</v>
      </c>
    </row>
    <row r="627" spans="1:12" x14ac:dyDescent="0.25">
      <c r="A627">
        <v>244</v>
      </c>
      <c r="B627">
        <v>17</v>
      </c>
      <c r="C627" t="s">
        <v>112</v>
      </c>
      <c r="D627" t="s">
        <v>627</v>
      </c>
      <c r="E627">
        <v>11</v>
      </c>
      <c r="F627">
        <v>19</v>
      </c>
      <c r="G627">
        <v>2</v>
      </c>
      <c r="H627">
        <v>59</v>
      </c>
      <c r="I627">
        <f>Cocina[[#This Row],[Precio Unitario]]*Cocina[[#This Row],[Cantidad Ordenada]]</f>
        <v>38</v>
      </c>
      <c r="J627">
        <f>(Cocina[[#This Row],[Precio Unitario]]-Cocina[[#This Row],[Costo Unitario]])*Cocina[[#This Row],[Cantidad Ordenada]]</f>
        <v>16</v>
      </c>
      <c r="K627" s="4">
        <f>Cocina[[#This Row],[Ganancia neta]]/_xlfn.XLOOKUP(Cocina[[#This Row],[Número de Orden]],Sala[Número de Orden],Sala[Monto total],"fracaso",0,1)</f>
        <v>0.10126582278481013</v>
      </c>
      <c r="L627" t="s">
        <v>607</v>
      </c>
    </row>
    <row r="628" spans="1:12" x14ac:dyDescent="0.25">
      <c r="A628">
        <v>245</v>
      </c>
      <c r="B628">
        <v>11</v>
      </c>
      <c r="C628" t="s">
        <v>79</v>
      </c>
      <c r="D628" t="s">
        <v>635</v>
      </c>
      <c r="E628">
        <v>10</v>
      </c>
      <c r="F628">
        <v>18</v>
      </c>
      <c r="G628">
        <v>3</v>
      </c>
      <c r="H628">
        <v>45</v>
      </c>
      <c r="I628">
        <f>Cocina[[#This Row],[Precio Unitario]]*Cocina[[#This Row],[Cantidad Ordenada]]</f>
        <v>54</v>
      </c>
      <c r="J628">
        <f>(Cocina[[#This Row],[Precio Unitario]]-Cocina[[#This Row],[Costo Unitario]])*Cocina[[#This Row],[Cantidad Ordenada]]</f>
        <v>24</v>
      </c>
      <c r="K628" s="4">
        <f>Cocina[[#This Row],[Ganancia neta]]/_xlfn.XLOOKUP(Cocina[[#This Row],[Número de Orden]],Sala[Número de Orden],Sala[Monto total],"fracaso",0,1)</f>
        <v>8.7912087912087919E-2</v>
      </c>
      <c r="L628" t="s">
        <v>608</v>
      </c>
    </row>
    <row r="629" spans="1:12" x14ac:dyDescent="0.25">
      <c r="A629">
        <v>245</v>
      </c>
      <c r="B629">
        <v>11</v>
      </c>
      <c r="C629" t="s">
        <v>116</v>
      </c>
      <c r="D629" t="s">
        <v>620</v>
      </c>
      <c r="E629">
        <v>19</v>
      </c>
      <c r="F629">
        <v>31</v>
      </c>
      <c r="G629">
        <v>1</v>
      </c>
      <c r="H629">
        <v>23</v>
      </c>
      <c r="I629">
        <f>Cocina[[#This Row],[Precio Unitario]]*Cocina[[#This Row],[Cantidad Ordenada]]</f>
        <v>31</v>
      </c>
      <c r="J629">
        <f>(Cocina[[#This Row],[Precio Unitario]]-Cocina[[#This Row],[Costo Unitario]])*Cocina[[#This Row],[Cantidad Ordenada]]</f>
        <v>12</v>
      </c>
      <c r="K629" s="4">
        <f>Cocina[[#This Row],[Ganancia neta]]/_xlfn.XLOOKUP(Cocina[[#This Row],[Número de Orden]],Sala[Número de Orden],Sala[Monto total],"fracaso",0,1)</f>
        <v>4.3956043956043959E-2</v>
      </c>
      <c r="L629" t="s">
        <v>607</v>
      </c>
    </row>
    <row r="630" spans="1:12" x14ac:dyDescent="0.25">
      <c r="A630">
        <v>245</v>
      </c>
      <c r="B630">
        <v>11</v>
      </c>
      <c r="C630" t="s">
        <v>48</v>
      </c>
      <c r="D630" t="s">
        <v>622</v>
      </c>
      <c r="E630">
        <v>25</v>
      </c>
      <c r="F630">
        <v>40</v>
      </c>
      <c r="G630">
        <v>2</v>
      </c>
      <c r="H630">
        <v>23</v>
      </c>
      <c r="I630">
        <f>Cocina[[#This Row],[Precio Unitario]]*Cocina[[#This Row],[Cantidad Ordenada]]</f>
        <v>80</v>
      </c>
      <c r="J630">
        <f>(Cocina[[#This Row],[Precio Unitario]]-Cocina[[#This Row],[Costo Unitario]])*Cocina[[#This Row],[Cantidad Ordenada]]</f>
        <v>30</v>
      </c>
      <c r="K630" s="4">
        <f>Cocina[[#This Row],[Ganancia neta]]/_xlfn.XLOOKUP(Cocina[[#This Row],[Número de Orden]],Sala[Número de Orden],Sala[Monto total],"fracaso",0,1)</f>
        <v>0.10989010989010989</v>
      </c>
      <c r="L630" t="s">
        <v>607</v>
      </c>
    </row>
    <row r="631" spans="1:12" x14ac:dyDescent="0.25">
      <c r="A631">
        <v>245</v>
      </c>
      <c r="B631">
        <v>11</v>
      </c>
      <c r="C631" t="s">
        <v>73</v>
      </c>
      <c r="D631" t="s">
        <v>623</v>
      </c>
      <c r="E631">
        <v>22</v>
      </c>
      <c r="F631">
        <v>36</v>
      </c>
      <c r="G631">
        <v>3</v>
      </c>
      <c r="H631">
        <v>25</v>
      </c>
      <c r="I631">
        <f>Cocina[[#This Row],[Precio Unitario]]*Cocina[[#This Row],[Cantidad Ordenada]]</f>
        <v>108</v>
      </c>
      <c r="J631">
        <f>(Cocina[[#This Row],[Precio Unitario]]-Cocina[[#This Row],[Costo Unitario]])*Cocina[[#This Row],[Cantidad Ordenada]]</f>
        <v>42</v>
      </c>
      <c r="K631" s="4">
        <f>Cocina[[#This Row],[Ganancia neta]]/_xlfn.XLOOKUP(Cocina[[#This Row],[Número de Orden]],Sala[Número de Orden],Sala[Monto total],"fracaso",0,1)</f>
        <v>0.15384615384615385</v>
      </c>
      <c r="L631" t="s">
        <v>608</v>
      </c>
    </row>
    <row r="632" spans="1:12" x14ac:dyDescent="0.25">
      <c r="A632">
        <v>246</v>
      </c>
      <c r="B632">
        <v>2</v>
      </c>
      <c r="C632" t="s">
        <v>106</v>
      </c>
      <c r="D632" t="s">
        <v>621</v>
      </c>
      <c r="E632">
        <v>16</v>
      </c>
      <c r="F632">
        <v>27</v>
      </c>
      <c r="G632">
        <v>3</v>
      </c>
      <c r="H632">
        <v>36</v>
      </c>
      <c r="I632">
        <f>Cocina[[#This Row],[Precio Unitario]]*Cocina[[#This Row],[Cantidad Ordenada]]</f>
        <v>81</v>
      </c>
      <c r="J632">
        <f>(Cocina[[#This Row],[Precio Unitario]]-Cocina[[#This Row],[Costo Unitario]])*Cocina[[#This Row],[Cantidad Ordenada]]</f>
        <v>33</v>
      </c>
      <c r="K632" s="4">
        <f>Cocina[[#This Row],[Ganancia neta]]/_xlfn.XLOOKUP(Cocina[[#This Row],[Número de Orden]],Sala[Número de Orden],Sala[Monto total],"fracaso",0,1)</f>
        <v>0.10091743119266056</v>
      </c>
      <c r="L632" t="s">
        <v>608</v>
      </c>
    </row>
    <row r="633" spans="1:12" x14ac:dyDescent="0.25">
      <c r="A633">
        <v>246</v>
      </c>
      <c r="B633">
        <v>2</v>
      </c>
      <c r="C633" t="s">
        <v>158</v>
      </c>
      <c r="D633" t="s">
        <v>617</v>
      </c>
      <c r="E633">
        <v>14</v>
      </c>
      <c r="F633">
        <v>24</v>
      </c>
      <c r="G633">
        <v>2</v>
      </c>
      <c r="H633">
        <v>10</v>
      </c>
      <c r="I633">
        <f>Cocina[[#This Row],[Precio Unitario]]*Cocina[[#This Row],[Cantidad Ordenada]]</f>
        <v>48</v>
      </c>
      <c r="J633">
        <f>(Cocina[[#This Row],[Precio Unitario]]-Cocina[[#This Row],[Costo Unitario]])*Cocina[[#This Row],[Cantidad Ordenada]]</f>
        <v>20</v>
      </c>
      <c r="K633" s="4">
        <f>Cocina[[#This Row],[Ganancia neta]]/_xlfn.XLOOKUP(Cocina[[#This Row],[Número de Orden]],Sala[Número de Orden],Sala[Monto total],"fracaso",0,1)</f>
        <v>6.1162079510703363E-2</v>
      </c>
      <c r="L633" t="s">
        <v>607</v>
      </c>
    </row>
    <row r="634" spans="1:12" x14ac:dyDescent="0.25">
      <c r="A634">
        <v>246</v>
      </c>
      <c r="B634">
        <v>2</v>
      </c>
      <c r="C634" t="s">
        <v>26</v>
      </c>
      <c r="D634" t="s">
        <v>628</v>
      </c>
      <c r="E634">
        <v>21</v>
      </c>
      <c r="F634">
        <v>35</v>
      </c>
      <c r="G634">
        <v>3</v>
      </c>
      <c r="H634">
        <v>48</v>
      </c>
      <c r="I634">
        <f>Cocina[[#This Row],[Precio Unitario]]*Cocina[[#This Row],[Cantidad Ordenada]]</f>
        <v>105</v>
      </c>
      <c r="J634">
        <f>(Cocina[[#This Row],[Precio Unitario]]-Cocina[[#This Row],[Costo Unitario]])*Cocina[[#This Row],[Cantidad Ordenada]]</f>
        <v>42</v>
      </c>
      <c r="K634" s="4">
        <f>Cocina[[#This Row],[Ganancia neta]]/_xlfn.XLOOKUP(Cocina[[#This Row],[Número de Orden]],Sala[Número de Orden],Sala[Monto total],"fracaso",0,1)</f>
        <v>0.12844036697247707</v>
      </c>
      <c r="L634" t="s">
        <v>607</v>
      </c>
    </row>
    <row r="635" spans="1:12" x14ac:dyDescent="0.25">
      <c r="A635">
        <v>246</v>
      </c>
      <c r="B635">
        <v>2</v>
      </c>
      <c r="C635" t="s">
        <v>116</v>
      </c>
      <c r="D635" t="s">
        <v>620</v>
      </c>
      <c r="E635">
        <v>19</v>
      </c>
      <c r="F635">
        <v>31</v>
      </c>
      <c r="G635">
        <v>3</v>
      </c>
      <c r="H635">
        <v>52</v>
      </c>
      <c r="I635">
        <f>Cocina[[#This Row],[Precio Unitario]]*Cocina[[#This Row],[Cantidad Ordenada]]</f>
        <v>93</v>
      </c>
      <c r="J635">
        <f>(Cocina[[#This Row],[Precio Unitario]]-Cocina[[#This Row],[Costo Unitario]])*Cocina[[#This Row],[Cantidad Ordenada]]</f>
        <v>36</v>
      </c>
      <c r="K635" s="4">
        <f>Cocina[[#This Row],[Ganancia neta]]/_xlfn.XLOOKUP(Cocina[[#This Row],[Número de Orden]],Sala[Número de Orden],Sala[Monto total],"fracaso",0,1)</f>
        <v>0.11009174311926606</v>
      </c>
      <c r="L635" t="s">
        <v>607</v>
      </c>
    </row>
    <row r="636" spans="1:12" x14ac:dyDescent="0.25">
      <c r="A636">
        <v>247</v>
      </c>
      <c r="B636">
        <v>11</v>
      </c>
      <c r="C636" t="s">
        <v>261</v>
      </c>
      <c r="D636" t="s">
        <v>625</v>
      </c>
      <c r="E636">
        <v>20</v>
      </c>
      <c r="F636">
        <v>33</v>
      </c>
      <c r="G636">
        <v>2</v>
      </c>
      <c r="H636">
        <v>59</v>
      </c>
      <c r="I636">
        <f>Cocina[[#This Row],[Precio Unitario]]*Cocina[[#This Row],[Cantidad Ordenada]]</f>
        <v>66</v>
      </c>
      <c r="J636">
        <f>(Cocina[[#This Row],[Precio Unitario]]-Cocina[[#This Row],[Costo Unitario]])*Cocina[[#This Row],[Cantidad Ordenada]]</f>
        <v>26</v>
      </c>
      <c r="K636" s="4">
        <f>Cocina[[#This Row],[Ganancia neta]]/_xlfn.XLOOKUP(Cocina[[#This Row],[Número de Orden]],Sala[Número de Orden],Sala[Monto total],"fracaso",0,1)</f>
        <v>0.39393939393939392</v>
      </c>
      <c r="L636" t="s">
        <v>608</v>
      </c>
    </row>
    <row r="637" spans="1:12" x14ac:dyDescent="0.25">
      <c r="A637">
        <v>248</v>
      </c>
      <c r="B637">
        <v>12</v>
      </c>
      <c r="C637" t="s">
        <v>55</v>
      </c>
      <c r="D637" t="s">
        <v>631</v>
      </c>
      <c r="E637">
        <v>20</v>
      </c>
      <c r="F637">
        <v>34</v>
      </c>
      <c r="G637">
        <v>1</v>
      </c>
      <c r="H637">
        <v>32</v>
      </c>
      <c r="I637">
        <f>Cocina[[#This Row],[Precio Unitario]]*Cocina[[#This Row],[Cantidad Ordenada]]</f>
        <v>34</v>
      </c>
      <c r="J637">
        <f>(Cocina[[#This Row],[Precio Unitario]]-Cocina[[#This Row],[Costo Unitario]])*Cocina[[#This Row],[Cantidad Ordenada]]</f>
        <v>14</v>
      </c>
      <c r="K637" s="4">
        <f>Cocina[[#This Row],[Ganancia neta]]/_xlfn.XLOOKUP(Cocina[[#This Row],[Número de Orden]],Sala[Número de Orden],Sala[Monto total],"fracaso",0,1)</f>
        <v>6.222222222222222E-2</v>
      </c>
      <c r="L637" t="s">
        <v>608</v>
      </c>
    </row>
    <row r="638" spans="1:12" x14ac:dyDescent="0.25">
      <c r="A638">
        <v>248</v>
      </c>
      <c r="B638">
        <v>12</v>
      </c>
      <c r="C638" t="s">
        <v>38</v>
      </c>
      <c r="D638" t="s">
        <v>624</v>
      </c>
      <c r="E638">
        <v>17</v>
      </c>
      <c r="F638">
        <v>29</v>
      </c>
      <c r="G638">
        <v>3</v>
      </c>
      <c r="H638">
        <v>51</v>
      </c>
      <c r="I638">
        <f>Cocina[[#This Row],[Precio Unitario]]*Cocina[[#This Row],[Cantidad Ordenada]]</f>
        <v>87</v>
      </c>
      <c r="J638">
        <f>(Cocina[[#This Row],[Precio Unitario]]-Cocina[[#This Row],[Costo Unitario]])*Cocina[[#This Row],[Cantidad Ordenada]]</f>
        <v>36</v>
      </c>
      <c r="K638" s="4">
        <f>Cocina[[#This Row],[Ganancia neta]]/_xlfn.XLOOKUP(Cocina[[#This Row],[Número de Orden]],Sala[Número de Orden],Sala[Monto total],"fracaso",0,1)</f>
        <v>0.16</v>
      </c>
      <c r="L638" t="s">
        <v>608</v>
      </c>
    </row>
    <row r="639" spans="1:12" x14ac:dyDescent="0.25">
      <c r="A639">
        <v>248</v>
      </c>
      <c r="B639">
        <v>12</v>
      </c>
      <c r="C639" t="s">
        <v>106</v>
      </c>
      <c r="D639" t="s">
        <v>621</v>
      </c>
      <c r="E639">
        <v>16</v>
      </c>
      <c r="F639">
        <v>27</v>
      </c>
      <c r="G639">
        <v>2</v>
      </c>
      <c r="H639">
        <v>6</v>
      </c>
      <c r="I639">
        <f>Cocina[[#This Row],[Precio Unitario]]*Cocina[[#This Row],[Cantidad Ordenada]]</f>
        <v>54</v>
      </c>
      <c r="J639">
        <f>(Cocina[[#This Row],[Precio Unitario]]-Cocina[[#This Row],[Costo Unitario]])*Cocina[[#This Row],[Cantidad Ordenada]]</f>
        <v>22</v>
      </c>
      <c r="K639" s="4">
        <f>Cocina[[#This Row],[Ganancia neta]]/_xlfn.XLOOKUP(Cocina[[#This Row],[Número de Orden]],Sala[Número de Orden],Sala[Monto total],"fracaso",0,1)</f>
        <v>9.7777777777777783E-2</v>
      </c>
      <c r="L639" t="s">
        <v>608</v>
      </c>
    </row>
    <row r="640" spans="1:12" x14ac:dyDescent="0.25">
      <c r="A640">
        <v>248</v>
      </c>
      <c r="B640">
        <v>12</v>
      </c>
      <c r="C640" t="s">
        <v>122</v>
      </c>
      <c r="D640" t="s">
        <v>637</v>
      </c>
      <c r="E640">
        <v>15</v>
      </c>
      <c r="F640">
        <v>25</v>
      </c>
      <c r="G640">
        <v>2</v>
      </c>
      <c r="H640">
        <v>31</v>
      </c>
      <c r="I640">
        <f>Cocina[[#This Row],[Precio Unitario]]*Cocina[[#This Row],[Cantidad Ordenada]]</f>
        <v>50</v>
      </c>
      <c r="J640">
        <f>(Cocina[[#This Row],[Precio Unitario]]-Cocina[[#This Row],[Costo Unitario]])*Cocina[[#This Row],[Cantidad Ordenada]]</f>
        <v>20</v>
      </c>
      <c r="K640" s="4">
        <f>Cocina[[#This Row],[Ganancia neta]]/_xlfn.XLOOKUP(Cocina[[#This Row],[Número de Orden]],Sala[Número de Orden],Sala[Monto total],"fracaso",0,1)</f>
        <v>8.8888888888888892E-2</v>
      </c>
      <c r="L640" t="s">
        <v>607</v>
      </c>
    </row>
    <row r="641" spans="1:12" x14ac:dyDescent="0.25">
      <c r="A641">
        <v>249</v>
      </c>
      <c r="B641">
        <v>8</v>
      </c>
      <c r="C641" t="s">
        <v>203</v>
      </c>
      <c r="D641" t="s">
        <v>630</v>
      </c>
      <c r="E641">
        <v>13</v>
      </c>
      <c r="F641">
        <v>22</v>
      </c>
      <c r="G641">
        <v>2</v>
      </c>
      <c r="H641">
        <v>51</v>
      </c>
      <c r="I641">
        <f>Cocina[[#This Row],[Precio Unitario]]*Cocina[[#This Row],[Cantidad Ordenada]]</f>
        <v>44</v>
      </c>
      <c r="J641">
        <f>(Cocina[[#This Row],[Precio Unitario]]-Cocina[[#This Row],[Costo Unitario]])*Cocina[[#This Row],[Cantidad Ordenada]]</f>
        <v>18</v>
      </c>
      <c r="K641" s="4">
        <f>Cocina[[#This Row],[Ganancia neta]]/_xlfn.XLOOKUP(Cocina[[#This Row],[Número de Orden]],Sala[Número de Orden],Sala[Monto total],"fracaso",0,1)</f>
        <v>0.22500000000000001</v>
      </c>
      <c r="L641" t="s">
        <v>608</v>
      </c>
    </row>
    <row r="642" spans="1:12" x14ac:dyDescent="0.25">
      <c r="A642">
        <v>249</v>
      </c>
      <c r="B642">
        <v>8</v>
      </c>
      <c r="C642" t="s">
        <v>79</v>
      </c>
      <c r="D642" t="s">
        <v>635</v>
      </c>
      <c r="E642">
        <v>10</v>
      </c>
      <c r="F642">
        <v>18</v>
      </c>
      <c r="G642">
        <v>2</v>
      </c>
      <c r="H642">
        <v>58</v>
      </c>
      <c r="I642">
        <f>Cocina[[#This Row],[Precio Unitario]]*Cocina[[#This Row],[Cantidad Ordenada]]</f>
        <v>36</v>
      </c>
      <c r="J642">
        <f>(Cocina[[#This Row],[Precio Unitario]]-Cocina[[#This Row],[Costo Unitario]])*Cocina[[#This Row],[Cantidad Ordenada]]</f>
        <v>16</v>
      </c>
      <c r="K642" s="4">
        <f>Cocina[[#This Row],[Ganancia neta]]/_xlfn.XLOOKUP(Cocina[[#This Row],[Número de Orden]],Sala[Número de Orden],Sala[Monto total],"fracaso",0,1)</f>
        <v>0.2</v>
      </c>
      <c r="L642" t="s">
        <v>607</v>
      </c>
    </row>
    <row r="643" spans="1:12" x14ac:dyDescent="0.25">
      <c r="A643">
        <v>250</v>
      </c>
      <c r="B643">
        <v>8</v>
      </c>
      <c r="C643" t="s">
        <v>146</v>
      </c>
      <c r="D643" t="s">
        <v>632</v>
      </c>
      <c r="E643">
        <v>12</v>
      </c>
      <c r="F643">
        <v>20</v>
      </c>
      <c r="G643">
        <v>1</v>
      </c>
      <c r="H643">
        <v>29</v>
      </c>
      <c r="I643">
        <f>Cocina[[#This Row],[Precio Unitario]]*Cocina[[#This Row],[Cantidad Ordenada]]</f>
        <v>20</v>
      </c>
      <c r="J643">
        <f>(Cocina[[#This Row],[Precio Unitario]]-Cocina[[#This Row],[Costo Unitario]])*Cocina[[#This Row],[Cantidad Ordenada]]</f>
        <v>8</v>
      </c>
      <c r="K643" s="4">
        <f>Cocina[[#This Row],[Ganancia neta]]/_xlfn.XLOOKUP(Cocina[[#This Row],[Número de Orden]],Sala[Número de Orden],Sala[Monto total],"fracaso",0,1)</f>
        <v>0.4</v>
      </c>
      <c r="L643" t="s">
        <v>608</v>
      </c>
    </row>
    <row r="644" spans="1:12" x14ac:dyDescent="0.25">
      <c r="A644">
        <v>251</v>
      </c>
      <c r="B644">
        <v>12</v>
      </c>
      <c r="C644" t="s">
        <v>155</v>
      </c>
      <c r="D644" t="s">
        <v>636</v>
      </c>
      <c r="E644">
        <v>15</v>
      </c>
      <c r="F644">
        <v>26</v>
      </c>
      <c r="G644">
        <v>1</v>
      </c>
      <c r="H644">
        <v>25</v>
      </c>
      <c r="I644">
        <f>Cocina[[#This Row],[Precio Unitario]]*Cocina[[#This Row],[Cantidad Ordenada]]</f>
        <v>26</v>
      </c>
      <c r="J644">
        <f>(Cocina[[#This Row],[Precio Unitario]]-Cocina[[#This Row],[Costo Unitario]])*Cocina[[#This Row],[Cantidad Ordenada]]</f>
        <v>11</v>
      </c>
      <c r="K644" s="4">
        <f>Cocina[[#This Row],[Ganancia neta]]/_xlfn.XLOOKUP(Cocina[[#This Row],[Número de Orden]],Sala[Número de Orden],Sala[Monto total],"fracaso",0,1)</f>
        <v>0.10091743119266056</v>
      </c>
      <c r="L644" t="s">
        <v>608</v>
      </c>
    </row>
    <row r="645" spans="1:12" x14ac:dyDescent="0.25">
      <c r="A645">
        <v>251</v>
      </c>
      <c r="B645">
        <v>12</v>
      </c>
      <c r="C645" t="s">
        <v>203</v>
      </c>
      <c r="D645" t="s">
        <v>630</v>
      </c>
      <c r="E645">
        <v>13</v>
      </c>
      <c r="F645">
        <v>22</v>
      </c>
      <c r="G645">
        <v>1</v>
      </c>
      <c r="H645">
        <v>34</v>
      </c>
      <c r="I645">
        <f>Cocina[[#This Row],[Precio Unitario]]*Cocina[[#This Row],[Cantidad Ordenada]]</f>
        <v>22</v>
      </c>
      <c r="J645">
        <f>(Cocina[[#This Row],[Precio Unitario]]-Cocina[[#This Row],[Costo Unitario]])*Cocina[[#This Row],[Cantidad Ordenada]]</f>
        <v>9</v>
      </c>
      <c r="K645" s="4">
        <f>Cocina[[#This Row],[Ganancia neta]]/_xlfn.XLOOKUP(Cocina[[#This Row],[Número de Orden]],Sala[Número de Orden],Sala[Monto total],"fracaso",0,1)</f>
        <v>8.2568807339449546E-2</v>
      </c>
      <c r="L645" t="s">
        <v>607</v>
      </c>
    </row>
    <row r="646" spans="1:12" x14ac:dyDescent="0.25">
      <c r="A646">
        <v>251</v>
      </c>
      <c r="B646">
        <v>12</v>
      </c>
      <c r="C646" t="s">
        <v>200</v>
      </c>
      <c r="D646" t="s">
        <v>633</v>
      </c>
      <c r="E646">
        <v>14</v>
      </c>
      <c r="F646">
        <v>23</v>
      </c>
      <c r="G646">
        <v>1</v>
      </c>
      <c r="H646">
        <v>23</v>
      </c>
      <c r="I646">
        <f>Cocina[[#This Row],[Precio Unitario]]*Cocina[[#This Row],[Cantidad Ordenada]]</f>
        <v>23</v>
      </c>
      <c r="J646">
        <f>(Cocina[[#This Row],[Precio Unitario]]-Cocina[[#This Row],[Costo Unitario]])*Cocina[[#This Row],[Cantidad Ordenada]]</f>
        <v>9</v>
      </c>
      <c r="K646" s="4">
        <f>Cocina[[#This Row],[Ganancia neta]]/_xlfn.XLOOKUP(Cocina[[#This Row],[Número de Orden]],Sala[Número de Orden],Sala[Monto total],"fracaso",0,1)</f>
        <v>8.2568807339449546E-2</v>
      </c>
      <c r="L646" t="s">
        <v>608</v>
      </c>
    </row>
    <row r="647" spans="1:12" x14ac:dyDescent="0.25">
      <c r="A647">
        <v>251</v>
      </c>
      <c r="B647">
        <v>12</v>
      </c>
      <c r="C647" t="s">
        <v>112</v>
      </c>
      <c r="D647" t="s">
        <v>627</v>
      </c>
      <c r="E647">
        <v>11</v>
      </c>
      <c r="F647">
        <v>19</v>
      </c>
      <c r="G647">
        <v>2</v>
      </c>
      <c r="H647">
        <v>40</v>
      </c>
      <c r="I647">
        <f>Cocina[[#This Row],[Precio Unitario]]*Cocina[[#This Row],[Cantidad Ordenada]]</f>
        <v>38</v>
      </c>
      <c r="J647">
        <f>(Cocina[[#This Row],[Precio Unitario]]-Cocina[[#This Row],[Costo Unitario]])*Cocina[[#This Row],[Cantidad Ordenada]]</f>
        <v>16</v>
      </c>
      <c r="K647" s="4">
        <f>Cocina[[#This Row],[Ganancia neta]]/_xlfn.XLOOKUP(Cocina[[#This Row],[Número de Orden]],Sala[Número de Orden],Sala[Monto total],"fracaso",0,1)</f>
        <v>0.14678899082568808</v>
      </c>
      <c r="L647" t="s">
        <v>608</v>
      </c>
    </row>
    <row r="648" spans="1:12" x14ac:dyDescent="0.25">
      <c r="A648">
        <v>252</v>
      </c>
      <c r="B648">
        <v>4</v>
      </c>
      <c r="C648" t="s">
        <v>122</v>
      </c>
      <c r="D648" t="s">
        <v>637</v>
      </c>
      <c r="E648">
        <v>15</v>
      </c>
      <c r="F648">
        <v>25</v>
      </c>
      <c r="G648">
        <v>2</v>
      </c>
      <c r="H648">
        <v>53</v>
      </c>
      <c r="I648">
        <f>Cocina[[#This Row],[Precio Unitario]]*Cocina[[#This Row],[Cantidad Ordenada]]</f>
        <v>50</v>
      </c>
      <c r="J648">
        <f>(Cocina[[#This Row],[Precio Unitario]]-Cocina[[#This Row],[Costo Unitario]])*Cocina[[#This Row],[Cantidad Ordenada]]</f>
        <v>20</v>
      </c>
      <c r="K648" s="4">
        <f>Cocina[[#This Row],[Ganancia neta]]/_xlfn.XLOOKUP(Cocina[[#This Row],[Número de Orden]],Sala[Número de Orden],Sala[Monto total],"fracaso",0,1)</f>
        <v>0.19607843137254902</v>
      </c>
      <c r="L648" t="s">
        <v>608</v>
      </c>
    </row>
    <row r="649" spans="1:12" x14ac:dyDescent="0.25">
      <c r="A649">
        <v>252</v>
      </c>
      <c r="B649">
        <v>4</v>
      </c>
      <c r="C649" t="s">
        <v>155</v>
      </c>
      <c r="D649" t="s">
        <v>636</v>
      </c>
      <c r="E649">
        <v>15</v>
      </c>
      <c r="F649">
        <v>26</v>
      </c>
      <c r="G649">
        <v>2</v>
      </c>
      <c r="H649">
        <v>31</v>
      </c>
      <c r="I649">
        <f>Cocina[[#This Row],[Precio Unitario]]*Cocina[[#This Row],[Cantidad Ordenada]]</f>
        <v>52</v>
      </c>
      <c r="J649">
        <f>(Cocina[[#This Row],[Precio Unitario]]-Cocina[[#This Row],[Costo Unitario]])*Cocina[[#This Row],[Cantidad Ordenada]]</f>
        <v>22</v>
      </c>
      <c r="K649" s="4">
        <f>Cocina[[#This Row],[Ganancia neta]]/_xlfn.XLOOKUP(Cocina[[#This Row],[Número de Orden]],Sala[Número de Orden],Sala[Monto total],"fracaso",0,1)</f>
        <v>0.21568627450980393</v>
      </c>
      <c r="L649" t="s">
        <v>607</v>
      </c>
    </row>
    <row r="650" spans="1:12" x14ac:dyDescent="0.25">
      <c r="A650">
        <v>253</v>
      </c>
      <c r="B650">
        <v>8</v>
      </c>
      <c r="C650" t="s">
        <v>122</v>
      </c>
      <c r="D650" t="s">
        <v>637</v>
      </c>
      <c r="E650">
        <v>15</v>
      </c>
      <c r="F650">
        <v>25</v>
      </c>
      <c r="G650">
        <v>1</v>
      </c>
      <c r="H650">
        <v>18</v>
      </c>
      <c r="I650">
        <f>Cocina[[#This Row],[Precio Unitario]]*Cocina[[#This Row],[Cantidad Ordenada]]</f>
        <v>25</v>
      </c>
      <c r="J650">
        <f>(Cocina[[#This Row],[Precio Unitario]]-Cocina[[#This Row],[Costo Unitario]])*Cocina[[#This Row],[Cantidad Ordenada]]</f>
        <v>10</v>
      </c>
      <c r="K650" s="4">
        <f>Cocina[[#This Row],[Ganancia neta]]/_xlfn.XLOOKUP(Cocina[[#This Row],[Número de Orden]],Sala[Número de Orden],Sala[Monto total],"fracaso",0,1)</f>
        <v>6.4935064935064929E-2</v>
      </c>
      <c r="L650" t="s">
        <v>607</v>
      </c>
    </row>
    <row r="651" spans="1:12" x14ac:dyDescent="0.25">
      <c r="A651">
        <v>253</v>
      </c>
      <c r="B651">
        <v>8</v>
      </c>
      <c r="C651" t="s">
        <v>70</v>
      </c>
      <c r="D651" t="s">
        <v>634</v>
      </c>
      <c r="E651">
        <v>13</v>
      </c>
      <c r="F651">
        <v>21</v>
      </c>
      <c r="G651">
        <v>2</v>
      </c>
      <c r="H651">
        <v>8</v>
      </c>
      <c r="I651">
        <f>Cocina[[#This Row],[Precio Unitario]]*Cocina[[#This Row],[Cantidad Ordenada]]</f>
        <v>42</v>
      </c>
      <c r="J651">
        <f>(Cocina[[#This Row],[Precio Unitario]]-Cocina[[#This Row],[Costo Unitario]])*Cocina[[#This Row],[Cantidad Ordenada]]</f>
        <v>16</v>
      </c>
      <c r="K651" s="4">
        <f>Cocina[[#This Row],[Ganancia neta]]/_xlfn.XLOOKUP(Cocina[[#This Row],[Número de Orden]],Sala[Número de Orden],Sala[Monto total],"fracaso",0,1)</f>
        <v>0.1038961038961039</v>
      </c>
      <c r="L651" t="s">
        <v>607</v>
      </c>
    </row>
    <row r="652" spans="1:12" x14ac:dyDescent="0.25">
      <c r="A652">
        <v>253</v>
      </c>
      <c r="B652">
        <v>8</v>
      </c>
      <c r="C652" t="s">
        <v>38</v>
      </c>
      <c r="D652" t="s">
        <v>624</v>
      </c>
      <c r="E652">
        <v>17</v>
      </c>
      <c r="F652">
        <v>29</v>
      </c>
      <c r="G652">
        <v>3</v>
      </c>
      <c r="H652">
        <v>29</v>
      </c>
      <c r="I652">
        <f>Cocina[[#This Row],[Precio Unitario]]*Cocina[[#This Row],[Cantidad Ordenada]]</f>
        <v>87</v>
      </c>
      <c r="J652">
        <f>(Cocina[[#This Row],[Precio Unitario]]-Cocina[[#This Row],[Costo Unitario]])*Cocina[[#This Row],[Cantidad Ordenada]]</f>
        <v>36</v>
      </c>
      <c r="K652" s="4">
        <f>Cocina[[#This Row],[Ganancia neta]]/_xlfn.XLOOKUP(Cocina[[#This Row],[Número de Orden]],Sala[Número de Orden],Sala[Monto total],"fracaso",0,1)</f>
        <v>0.23376623376623376</v>
      </c>
      <c r="L652" t="s">
        <v>608</v>
      </c>
    </row>
    <row r="653" spans="1:12" x14ac:dyDescent="0.25">
      <c r="A653">
        <v>254</v>
      </c>
      <c r="B653">
        <v>10</v>
      </c>
      <c r="C653" t="s">
        <v>116</v>
      </c>
      <c r="D653" t="s">
        <v>620</v>
      </c>
      <c r="E653">
        <v>19</v>
      </c>
      <c r="F653">
        <v>31</v>
      </c>
      <c r="G653">
        <v>3</v>
      </c>
      <c r="H653">
        <v>33</v>
      </c>
      <c r="I653">
        <f>Cocina[[#This Row],[Precio Unitario]]*Cocina[[#This Row],[Cantidad Ordenada]]</f>
        <v>93</v>
      </c>
      <c r="J653">
        <f>(Cocina[[#This Row],[Precio Unitario]]-Cocina[[#This Row],[Costo Unitario]])*Cocina[[#This Row],[Cantidad Ordenada]]</f>
        <v>36</v>
      </c>
      <c r="K653" s="4">
        <f>Cocina[[#This Row],[Ganancia neta]]/_xlfn.XLOOKUP(Cocina[[#This Row],[Número de Orden]],Sala[Número de Orden],Sala[Monto total],"fracaso",0,1)</f>
        <v>0.12121212121212122</v>
      </c>
      <c r="L653" t="s">
        <v>607</v>
      </c>
    </row>
    <row r="654" spans="1:12" x14ac:dyDescent="0.25">
      <c r="A654">
        <v>254</v>
      </c>
      <c r="B654">
        <v>10</v>
      </c>
      <c r="C654" t="s">
        <v>155</v>
      </c>
      <c r="D654" t="s">
        <v>636</v>
      </c>
      <c r="E654">
        <v>15</v>
      </c>
      <c r="F654">
        <v>26</v>
      </c>
      <c r="G654">
        <v>2</v>
      </c>
      <c r="H654">
        <v>10</v>
      </c>
      <c r="I654">
        <f>Cocina[[#This Row],[Precio Unitario]]*Cocina[[#This Row],[Cantidad Ordenada]]</f>
        <v>52</v>
      </c>
      <c r="J654">
        <f>(Cocina[[#This Row],[Precio Unitario]]-Cocina[[#This Row],[Costo Unitario]])*Cocina[[#This Row],[Cantidad Ordenada]]</f>
        <v>22</v>
      </c>
      <c r="K654" s="4">
        <f>Cocina[[#This Row],[Ganancia neta]]/_xlfn.XLOOKUP(Cocina[[#This Row],[Número de Orden]],Sala[Número de Orden],Sala[Monto total],"fracaso",0,1)</f>
        <v>7.407407407407407E-2</v>
      </c>
      <c r="L654" t="s">
        <v>608</v>
      </c>
    </row>
    <row r="655" spans="1:12" x14ac:dyDescent="0.25">
      <c r="A655">
        <v>254</v>
      </c>
      <c r="B655">
        <v>10</v>
      </c>
      <c r="C655" t="s">
        <v>55</v>
      </c>
      <c r="D655" t="s">
        <v>631</v>
      </c>
      <c r="E655">
        <v>20</v>
      </c>
      <c r="F655">
        <v>34</v>
      </c>
      <c r="G655">
        <v>2</v>
      </c>
      <c r="H655">
        <v>56</v>
      </c>
      <c r="I655">
        <f>Cocina[[#This Row],[Precio Unitario]]*Cocina[[#This Row],[Cantidad Ordenada]]</f>
        <v>68</v>
      </c>
      <c r="J655">
        <f>(Cocina[[#This Row],[Precio Unitario]]-Cocina[[#This Row],[Costo Unitario]])*Cocina[[#This Row],[Cantidad Ordenada]]</f>
        <v>28</v>
      </c>
      <c r="K655" s="4">
        <f>Cocina[[#This Row],[Ganancia neta]]/_xlfn.XLOOKUP(Cocina[[#This Row],[Número de Orden]],Sala[Número de Orden],Sala[Monto total],"fracaso",0,1)</f>
        <v>9.4276094276094277E-2</v>
      </c>
      <c r="L655" t="s">
        <v>607</v>
      </c>
    </row>
    <row r="656" spans="1:12" x14ac:dyDescent="0.25">
      <c r="A656">
        <v>254</v>
      </c>
      <c r="B656">
        <v>10</v>
      </c>
      <c r="C656" t="s">
        <v>42</v>
      </c>
      <c r="D656" t="s">
        <v>626</v>
      </c>
      <c r="E656">
        <v>16</v>
      </c>
      <c r="F656">
        <v>28</v>
      </c>
      <c r="G656">
        <v>3</v>
      </c>
      <c r="H656">
        <v>42</v>
      </c>
      <c r="I656">
        <f>Cocina[[#This Row],[Precio Unitario]]*Cocina[[#This Row],[Cantidad Ordenada]]</f>
        <v>84</v>
      </c>
      <c r="J656">
        <f>(Cocina[[#This Row],[Precio Unitario]]-Cocina[[#This Row],[Costo Unitario]])*Cocina[[#This Row],[Cantidad Ordenada]]</f>
        <v>36</v>
      </c>
      <c r="K656" s="4">
        <f>Cocina[[#This Row],[Ganancia neta]]/_xlfn.XLOOKUP(Cocina[[#This Row],[Número de Orden]],Sala[Número de Orden],Sala[Monto total],"fracaso",0,1)</f>
        <v>0.12121212121212122</v>
      </c>
      <c r="L656" t="s">
        <v>608</v>
      </c>
    </row>
    <row r="657" spans="1:12" x14ac:dyDescent="0.25">
      <c r="A657">
        <v>255</v>
      </c>
      <c r="B657">
        <v>8</v>
      </c>
      <c r="C657" t="s">
        <v>122</v>
      </c>
      <c r="D657" t="s">
        <v>637</v>
      </c>
      <c r="E657">
        <v>15</v>
      </c>
      <c r="F657">
        <v>25</v>
      </c>
      <c r="G657">
        <v>1</v>
      </c>
      <c r="H657">
        <v>37</v>
      </c>
      <c r="I657">
        <f>Cocina[[#This Row],[Precio Unitario]]*Cocina[[#This Row],[Cantidad Ordenada]]</f>
        <v>25</v>
      </c>
      <c r="J657">
        <f>(Cocina[[#This Row],[Precio Unitario]]-Cocina[[#This Row],[Costo Unitario]])*Cocina[[#This Row],[Cantidad Ordenada]]</f>
        <v>10</v>
      </c>
      <c r="K657" s="4">
        <f>Cocina[[#This Row],[Ganancia neta]]/_xlfn.XLOOKUP(Cocina[[#This Row],[Número de Orden]],Sala[Número de Orden],Sala[Monto total],"fracaso",0,1)</f>
        <v>0.4</v>
      </c>
      <c r="L657" t="s">
        <v>607</v>
      </c>
    </row>
    <row r="658" spans="1:12" x14ac:dyDescent="0.25">
      <c r="A658">
        <v>256</v>
      </c>
      <c r="B658">
        <v>5</v>
      </c>
      <c r="C658" t="s">
        <v>70</v>
      </c>
      <c r="D658" t="s">
        <v>634</v>
      </c>
      <c r="E658">
        <v>13</v>
      </c>
      <c r="F658">
        <v>21</v>
      </c>
      <c r="G658">
        <v>1</v>
      </c>
      <c r="H658">
        <v>16</v>
      </c>
      <c r="I658">
        <f>Cocina[[#This Row],[Precio Unitario]]*Cocina[[#This Row],[Cantidad Ordenada]]</f>
        <v>21</v>
      </c>
      <c r="J658">
        <f>(Cocina[[#This Row],[Precio Unitario]]-Cocina[[#This Row],[Costo Unitario]])*Cocina[[#This Row],[Cantidad Ordenada]]</f>
        <v>8</v>
      </c>
      <c r="K658" s="4">
        <f>Cocina[[#This Row],[Ganancia neta]]/_xlfn.XLOOKUP(Cocina[[#This Row],[Número de Orden]],Sala[Número de Orden],Sala[Monto total],"fracaso",0,1)</f>
        <v>0.38095238095238093</v>
      </c>
      <c r="L658" t="s">
        <v>607</v>
      </c>
    </row>
    <row r="659" spans="1:12" x14ac:dyDescent="0.25">
      <c r="A659">
        <v>257</v>
      </c>
      <c r="B659">
        <v>12</v>
      </c>
      <c r="C659" t="s">
        <v>200</v>
      </c>
      <c r="D659" t="s">
        <v>633</v>
      </c>
      <c r="E659">
        <v>14</v>
      </c>
      <c r="F659">
        <v>23</v>
      </c>
      <c r="G659">
        <v>2</v>
      </c>
      <c r="H659">
        <v>28</v>
      </c>
      <c r="I659">
        <f>Cocina[[#This Row],[Precio Unitario]]*Cocina[[#This Row],[Cantidad Ordenada]]</f>
        <v>46</v>
      </c>
      <c r="J659">
        <f>(Cocina[[#This Row],[Precio Unitario]]-Cocina[[#This Row],[Costo Unitario]])*Cocina[[#This Row],[Cantidad Ordenada]]</f>
        <v>18</v>
      </c>
      <c r="K659" s="4">
        <f>Cocina[[#This Row],[Ganancia neta]]/_xlfn.XLOOKUP(Cocina[[#This Row],[Número de Orden]],Sala[Número de Orden],Sala[Monto total],"fracaso",0,1)</f>
        <v>0.39130434782608697</v>
      </c>
      <c r="L659" t="s">
        <v>608</v>
      </c>
    </row>
    <row r="660" spans="1:12" x14ac:dyDescent="0.25">
      <c r="A660">
        <v>258</v>
      </c>
      <c r="B660">
        <v>12</v>
      </c>
      <c r="C660" t="s">
        <v>122</v>
      </c>
      <c r="D660" t="s">
        <v>637</v>
      </c>
      <c r="E660">
        <v>15</v>
      </c>
      <c r="F660">
        <v>25</v>
      </c>
      <c r="G660">
        <v>1</v>
      </c>
      <c r="H660">
        <v>59</v>
      </c>
      <c r="I660">
        <f>Cocina[[#This Row],[Precio Unitario]]*Cocina[[#This Row],[Cantidad Ordenada]]</f>
        <v>25</v>
      </c>
      <c r="J660">
        <f>(Cocina[[#This Row],[Precio Unitario]]-Cocina[[#This Row],[Costo Unitario]])*Cocina[[#This Row],[Cantidad Ordenada]]</f>
        <v>10</v>
      </c>
      <c r="K660" s="4">
        <f>Cocina[[#This Row],[Ganancia neta]]/_xlfn.XLOOKUP(Cocina[[#This Row],[Número de Orden]],Sala[Número de Orden],Sala[Monto total],"fracaso",0,1)</f>
        <v>8.5470085470085472E-2</v>
      </c>
      <c r="L660" t="s">
        <v>607</v>
      </c>
    </row>
    <row r="661" spans="1:12" x14ac:dyDescent="0.25">
      <c r="A661">
        <v>258</v>
      </c>
      <c r="B661">
        <v>12</v>
      </c>
      <c r="C661" t="s">
        <v>146</v>
      </c>
      <c r="D661" t="s">
        <v>632</v>
      </c>
      <c r="E661">
        <v>12</v>
      </c>
      <c r="F661">
        <v>20</v>
      </c>
      <c r="G661">
        <v>1</v>
      </c>
      <c r="H661">
        <v>31</v>
      </c>
      <c r="I661">
        <f>Cocina[[#This Row],[Precio Unitario]]*Cocina[[#This Row],[Cantidad Ordenada]]</f>
        <v>20</v>
      </c>
      <c r="J661">
        <f>(Cocina[[#This Row],[Precio Unitario]]-Cocina[[#This Row],[Costo Unitario]])*Cocina[[#This Row],[Cantidad Ordenada]]</f>
        <v>8</v>
      </c>
      <c r="K661" s="4">
        <f>Cocina[[#This Row],[Ganancia neta]]/_xlfn.XLOOKUP(Cocina[[#This Row],[Número de Orden]],Sala[Número de Orden],Sala[Monto total],"fracaso",0,1)</f>
        <v>6.8376068376068383E-2</v>
      </c>
      <c r="L661" t="s">
        <v>607</v>
      </c>
    </row>
    <row r="662" spans="1:12" x14ac:dyDescent="0.25">
      <c r="A662">
        <v>258</v>
      </c>
      <c r="B662">
        <v>12</v>
      </c>
      <c r="C662" t="s">
        <v>247</v>
      </c>
      <c r="D662" t="s">
        <v>629</v>
      </c>
      <c r="E662">
        <v>19</v>
      </c>
      <c r="F662">
        <v>32</v>
      </c>
      <c r="G662">
        <v>1</v>
      </c>
      <c r="H662">
        <v>5</v>
      </c>
      <c r="I662">
        <f>Cocina[[#This Row],[Precio Unitario]]*Cocina[[#This Row],[Cantidad Ordenada]]</f>
        <v>32</v>
      </c>
      <c r="J662">
        <f>(Cocina[[#This Row],[Precio Unitario]]-Cocina[[#This Row],[Costo Unitario]])*Cocina[[#This Row],[Cantidad Ordenada]]</f>
        <v>13</v>
      </c>
      <c r="K662" s="4">
        <f>Cocina[[#This Row],[Ganancia neta]]/_xlfn.XLOOKUP(Cocina[[#This Row],[Número de Orden]],Sala[Número de Orden],Sala[Monto total],"fracaso",0,1)</f>
        <v>0.1111111111111111</v>
      </c>
      <c r="L662" t="s">
        <v>607</v>
      </c>
    </row>
    <row r="663" spans="1:12" x14ac:dyDescent="0.25">
      <c r="A663">
        <v>258</v>
      </c>
      <c r="B663">
        <v>12</v>
      </c>
      <c r="C663" t="s">
        <v>48</v>
      </c>
      <c r="D663" t="s">
        <v>622</v>
      </c>
      <c r="E663">
        <v>25</v>
      </c>
      <c r="F663">
        <v>40</v>
      </c>
      <c r="G663">
        <v>1</v>
      </c>
      <c r="H663">
        <v>10</v>
      </c>
      <c r="I663">
        <f>Cocina[[#This Row],[Precio Unitario]]*Cocina[[#This Row],[Cantidad Ordenada]]</f>
        <v>40</v>
      </c>
      <c r="J663">
        <f>(Cocina[[#This Row],[Precio Unitario]]-Cocina[[#This Row],[Costo Unitario]])*Cocina[[#This Row],[Cantidad Ordenada]]</f>
        <v>15</v>
      </c>
      <c r="K663" s="4">
        <f>Cocina[[#This Row],[Ganancia neta]]/_xlfn.XLOOKUP(Cocina[[#This Row],[Número de Orden]],Sala[Número de Orden],Sala[Monto total],"fracaso",0,1)</f>
        <v>0.12820512820512819</v>
      </c>
      <c r="L663" t="s">
        <v>607</v>
      </c>
    </row>
    <row r="664" spans="1:12" x14ac:dyDescent="0.25">
      <c r="A664">
        <v>259</v>
      </c>
      <c r="B664">
        <v>10</v>
      </c>
      <c r="C664" t="s">
        <v>106</v>
      </c>
      <c r="D664" t="s">
        <v>621</v>
      </c>
      <c r="E664">
        <v>16</v>
      </c>
      <c r="F664">
        <v>27</v>
      </c>
      <c r="G664">
        <v>3</v>
      </c>
      <c r="H664">
        <v>11</v>
      </c>
      <c r="I664">
        <f>Cocina[[#This Row],[Precio Unitario]]*Cocina[[#This Row],[Cantidad Ordenada]]</f>
        <v>81</v>
      </c>
      <c r="J664">
        <f>(Cocina[[#This Row],[Precio Unitario]]-Cocina[[#This Row],[Costo Unitario]])*Cocina[[#This Row],[Cantidad Ordenada]]</f>
        <v>33</v>
      </c>
      <c r="K664" s="4">
        <f>Cocina[[#This Row],[Ganancia neta]]/_xlfn.XLOOKUP(Cocina[[#This Row],[Número de Orden]],Sala[Número de Orden],Sala[Monto total],"fracaso",0,1)</f>
        <v>0.40740740740740738</v>
      </c>
      <c r="L664" t="s">
        <v>608</v>
      </c>
    </row>
    <row r="665" spans="1:12" x14ac:dyDescent="0.25">
      <c r="A665">
        <v>260</v>
      </c>
      <c r="B665">
        <v>20</v>
      </c>
      <c r="C665" t="s">
        <v>200</v>
      </c>
      <c r="D665" t="s">
        <v>633</v>
      </c>
      <c r="E665">
        <v>14</v>
      </c>
      <c r="F665">
        <v>23</v>
      </c>
      <c r="G665">
        <v>3</v>
      </c>
      <c r="H665">
        <v>49</v>
      </c>
      <c r="I665">
        <f>Cocina[[#This Row],[Precio Unitario]]*Cocina[[#This Row],[Cantidad Ordenada]]</f>
        <v>69</v>
      </c>
      <c r="J665">
        <f>(Cocina[[#This Row],[Precio Unitario]]-Cocina[[#This Row],[Costo Unitario]])*Cocina[[#This Row],[Cantidad Ordenada]]</f>
        <v>27</v>
      </c>
      <c r="K665" s="4">
        <f>Cocina[[#This Row],[Ganancia neta]]/_xlfn.XLOOKUP(Cocina[[#This Row],[Número de Orden]],Sala[Número de Orden],Sala[Monto total],"fracaso",0,1)</f>
        <v>0.39130434782608697</v>
      </c>
      <c r="L665" t="s">
        <v>608</v>
      </c>
    </row>
    <row r="666" spans="1:12" x14ac:dyDescent="0.25">
      <c r="A666">
        <v>261</v>
      </c>
      <c r="B666">
        <v>8</v>
      </c>
      <c r="C666" t="s">
        <v>247</v>
      </c>
      <c r="D666" t="s">
        <v>629</v>
      </c>
      <c r="E666">
        <v>19</v>
      </c>
      <c r="F666">
        <v>32</v>
      </c>
      <c r="G666">
        <v>3</v>
      </c>
      <c r="H666">
        <v>19</v>
      </c>
      <c r="I666">
        <f>Cocina[[#This Row],[Precio Unitario]]*Cocina[[#This Row],[Cantidad Ordenada]]</f>
        <v>96</v>
      </c>
      <c r="J666">
        <f>(Cocina[[#This Row],[Precio Unitario]]-Cocina[[#This Row],[Costo Unitario]])*Cocina[[#This Row],[Cantidad Ordenada]]</f>
        <v>39</v>
      </c>
      <c r="K666" s="4">
        <f>Cocina[[#This Row],[Ganancia neta]]/_xlfn.XLOOKUP(Cocina[[#This Row],[Número de Orden]],Sala[Número de Orden],Sala[Monto total],"fracaso",0,1)</f>
        <v>0.25324675324675322</v>
      </c>
      <c r="L666" t="s">
        <v>608</v>
      </c>
    </row>
    <row r="667" spans="1:12" x14ac:dyDescent="0.25">
      <c r="A667">
        <v>261</v>
      </c>
      <c r="B667">
        <v>8</v>
      </c>
      <c r="C667" t="s">
        <v>38</v>
      </c>
      <c r="D667" t="s">
        <v>624</v>
      </c>
      <c r="E667">
        <v>17</v>
      </c>
      <c r="F667">
        <v>29</v>
      </c>
      <c r="G667">
        <v>2</v>
      </c>
      <c r="H667">
        <v>36</v>
      </c>
      <c r="I667">
        <f>Cocina[[#This Row],[Precio Unitario]]*Cocina[[#This Row],[Cantidad Ordenada]]</f>
        <v>58</v>
      </c>
      <c r="J667">
        <f>(Cocina[[#This Row],[Precio Unitario]]-Cocina[[#This Row],[Costo Unitario]])*Cocina[[#This Row],[Cantidad Ordenada]]</f>
        <v>24</v>
      </c>
      <c r="K667" s="4">
        <f>Cocina[[#This Row],[Ganancia neta]]/_xlfn.XLOOKUP(Cocina[[#This Row],[Número de Orden]],Sala[Número de Orden],Sala[Monto total],"fracaso",0,1)</f>
        <v>0.15584415584415584</v>
      </c>
      <c r="L667" t="s">
        <v>608</v>
      </c>
    </row>
    <row r="668" spans="1:12" x14ac:dyDescent="0.25">
      <c r="A668">
        <v>262</v>
      </c>
      <c r="B668">
        <v>18</v>
      </c>
      <c r="C668" t="s">
        <v>203</v>
      </c>
      <c r="D668" t="s">
        <v>630</v>
      </c>
      <c r="E668">
        <v>13</v>
      </c>
      <c r="F668">
        <v>22</v>
      </c>
      <c r="G668">
        <v>1</v>
      </c>
      <c r="H668">
        <v>28</v>
      </c>
      <c r="I668">
        <f>Cocina[[#This Row],[Precio Unitario]]*Cocina[[#This Row],[Cantidad Ordenada]]</f>
        <v>22</v>
      </c>
      <c r="J668">
        <f>(Cocina[[#This Row],[Precio Unitario]]-Cocina[[#This Row],[Costo Unitario]])*Cocina[[#This Row],[Cantidad Ordenada]]</f>
        <v>9</v>
      </c>
      <c r="K668" s="4">
        <f>Cocina[[#This Row],[Ganancia neta]]/_xlfn.XLOOKUP(Cocina[[#This Row],[Número de Orden]],Sala[Número de Orden],Sala[Monto total],"fracaso",0,1)</f>
        <v>7.8260869565217397E-2</v>
      </c>
      <c r="L668" t="s">
        <v>608</v>
      </c>
    </row>
    <row r="669" spans="1:12" x14ac:dyDescent="0.25">
      <c r="A669">
        <v>262</v>
      </c>
      <c r="B669">
        <v>18</v>
      </c>
      <c r="C669" t="s">
        <v>116</v>
      </c>
      <c r="D669" t="s">
        <v>620</v>
      </c>
      <c r="E669">
        <v>19</v>
      </c>
      <c r="F669">
        <v>31</v>
      </c>
      <c r="G669">
        <v>3</v>
      </c>
      <c r="H669">
        <v>20</v>
      </c>
      <c r="I669">
        <f>Cocina[[#This Row],[Precio Unitario]]*Cocina[[#This Row],[Cantidad Ordenada]]</f>
        <v>93</v>
      </c>
      <c r="J669">
        <f>(Cocina[[#This Row],[Precio Unitario]]-Cocina[[#This Row],[Costo Unitario]])*Cocina[[#This Row],[Cantidad Ordenada]]</f>
        <v>36</v>
      </c>
      <c r="K669" s="4">
        <f>Cocina[[#This Row],[Ganancia neta]]/_xlfn.XLOOKUP(Cocina[[#This Row],[Número de Orden]],Sala[Número de Orden],Sala[Monto total],"fracaso",0,1)</f>
        <v>0.31304347826086959</v>
      </c>
      <c r="L669" t="s">
        <v>608</v>
      </c>
    </row>
    <row r="670" spans="1:12" x14ac:dyDescent="0.25">
      <c r="A670">
        <v>263</v>
      </c>
      <c r="B670">
        <v>5</v>
      </c>
      <c r="C670" t="s">
        <v>247</v>
      </c>
      <c r="D670" t="s">
        <v>629</v>
      </c>
      <c r="E670">
        <v>19</v>
      </c>
      <c r="F670">
        <v>32</v>
      </c>
      <c r="G670">
        <v>1</v>
      </c>
      <c r="H670">
        <v>37</v>
      </c>
      <c r="I670">
        <f>Cocina[[#This Row],[Precio Unitario]]*Cocina[[#This Row],[Cantidad Ordenada]]</f>
        <v>32</v>
      </c>
      <c r="J670">
        <f>(Cocina[[#This Row],[Precio Unitario]]-Cocina[[#This Row],[Costo Unitario]])*Cocina[[#This Row],[Cantidad Ordenada]]</f>
        <v>13</v>
      </c>
      <c r="K670" s="4">
        <f>Cocina[[#This Row],[Ganancia neta]]/_xlfn.XLOOKUP(Cocina[[#This Row],[Número de Orden]],Sala[Número de Orden],Sala[Monto total],"fracaso",0,1)</f>
        <v>0.10743801652892562</v>
      </c>
      <c r="L670" t="s">
        <v>608</v>
      </c>
    </row>
    <row r="671" spans="1:12" x14ac:dyDescent="0.25">
      <c r="A671">
        <v>263</v>
      </c>
      <c r="B671">
        <v>5</v>
      </c>
      <c r="C671" t="s">
        <v>26</v>
      </c>
      <c r="D671" t="s">
        <v>628</v>
      </c>
      <c r="E671">
        <v>21</v>
      </c>
      <c r="F671">
        <v>35</v>
      </c>
      <c r="G671">
        <v>1</v>
      </c>
      <c r="H671">
        <v>30</v>
      </c>
      <c r="I671">
        <f>Cocina[[#This Row],[Precio Unitario]]*Cocina[[#This Row],[Cantidad Ordenada]]</f>
        <v>35</v>
      </c>
      <c r="J671">
        <f>(Cocina[[#This Row],[Precio Unitario]]-Cocina[[#This Row],[Costo Unitario]])*Cocina[[#This Row],[Cantidad Ordenada]]</f>
        <v>14</v>
      </c>
      <c r="K671" s="4">
        <f>Cocina[[#This Row],[Ganancia neta]]/_xlfn.XLOOKUP(Cocina[[#This Row],[Número de Orden]],Sala[Número de Orden],Sala[Monto total],"fracaso",0,1)</f>
        <v>0.11570247933884298</v>
      </c>
      <c r="L671" t="s">
        <v>608</v>
      </c>
    </row>
    <row r="672" spans="1:12" x14ac:dyDescent="0.25">
      <c r="A672">
        <v>263</v>
      </c>
      <c r="B672">
        <v>5</v>
      </c>
      <c r="C672" t="s">
        <v>68</v>
      </c>
      <c r="D672" t="s">
        <v>619</v>
      </c>
      <c r="E672">
        <v>18</v>
      </c>
      <c r="F672">
        <v>30</v>
      </c>
      <c r="G672">
        <v>1</v>
      </c>
      <c r="H672">
        <v>42</v>
      </c>
      <c r="I672">
        <f>Cocina[[#This Row],[Precio Unitario]]*Cocina[[#This Row],[Cantidad Ordenada]]</f>
        <v>30</v>
      </c>
      <c r="J672">
        <f>(Cocina[[#This Row],[Precio Unitario]]-Cocina[[#This Row],[Costo Unitario]])*Cocina[[#This Row],[Cantidad Ordenada]]</f>
        <v>12</v>
      </c>
      <c r="K672" s="4">
        <f>Cocina[[#This Row],[Ganancia neta]]/_xlfn.XLOOKUP(Cocina[[#This Row],[Número de Orden]],Sala[Número de Orden],Sala[Monto total],"fracaso",0,1)</f>
        <v>9.9173553719008267E-2</v>
      </c>
      <c r="L672" t="s">
        <v>607</v>
      </c>
    </row>
    <row r="673" spans="1:12" x14ac:dyDescent="0.25">
      <c r="A673">
        <v>263</v>
      </c>
      <c r="B673">
        <v>5</v>
      </c>
      <c r="C673" t="s">
        <v>158</v>
      </c>
      <c r="D673" t="s">
        <v>617</v>
      </c>
      <c r="E673">
        <v>14</v>
      </c>
      <c r="F673">
        <v>24</v>
      </c>
      <c r="G673">
        <v>1</v>
      </c>
      <c r="H673">
        <v>40</v>
      </c>
      <c r="I673">
        <f>Cocina[[#This Row],[Precio Unitario]]*Cocina[[#This Row],[Cantidad Ordenada]]</f>
        <v>24</v>
      </c>
      <c r="J673">
        <f>(Cocina[[#This Row],[Precio Unitario]]-Cocina[[#This Row],[Costo Unitario]])*Cocina[[#This Row],[Cantidad Ordenada]]</f>
        <v>10</v>
      </c>
      <c r="K673" s="4">
        <f>Cocina[[#This Row],[Ganancia neta]]/_xlfn.XLOOKUP(Cocina[[#This Row],[Número de Orden]],Sala[Número de Orden],Sala[Monto total],"fracaso",0,1)</f>
        <v>8.2644628099173556E-2</v>
      </c>
      <c r="L673" t="s">
        <v>608</v>
      </c>
    </row>
    <row r="674" spans="1:12" x14ac:dyDescent="0.25">
      <c r="A674">
        <v>264</v>
      </c>
      <c r="B674">
        <v>2</v>
      </c>
      <c r="C674" t="s">
        <v>26</v>
      </c>
      <c r="D674" t="s">
        <v>628</v>
      </c>
      <c r="E674">
        <v>21</v>
      </c>
      <c r="F674">
        <v>35</v>
      </c>
      <c r="G674">
        <v>2</v>
      </c>
      <c r="H674">
        <v>39</v>
      </c>
      <c r="I674">
        <f>Cocina[[#This Row],[Precio Unitario]]*Cocina[[#This Row],[Cantidad Ordenada]]</f>
        <v>70</v>
      </c>
      <c r="J674">
        <f>(Cocina[[#This Row],[Precio Unitario]]-Cocina[[#This Row],[Costo Unitario]])*Cocina[[#This Row],[Cantidad Ordenada]]</f>
        <v>28</v>
      </c>
      <c r="K674" s="4">
        <f>Cocina[[#This Row],[Ganancia neta]]/_xlfn.XLOOKUP(Cocina[[#This Row],[Número de Orden]],Sala[Número de Orden],Sala[Monto total],"fracaso",0,1)</f>
        <v>0.15384615384615385</v>
      </c>
      <c r="L674" t="s">
        <v>608</v>
      </c>
    </row>
    <row r="675" spans="1:12" x14ac:dyDescent="0.25">
      <c r="A675">
        <v>264</v>
      </c>
      <c r="B675">
        <v>2</v>
      </c>
      <c r="C675" t="s">
        <v>247</v>
      </c>
      <c r="D675" t="s">
        <v>629</v>
      </c>
      <c r="E675">
        <v>19</v>
      </c>
      <c r="F675">
        <v>32</v>
      </c>
      <c r="G675">
        <v>1</v>
      </c>
      <c r="H675">
        <v>27</v>
      </c>
      <c r="I675">
        <f>Cocina[[#This Row],[Precio Unitario]]*Cocina[[#This Row],[Cantidad Ordenada]]</f>
        <v>32</v>
      </c>
      <c r="J675">
        <f>(Cocina[[#This Row],[Precio Unitario]]-Cocina[[#This Row],[Costo Unitario]])*Cocina[[#This Row],[Cantidad Ordenada]]</f>
        <v>13</v>
      </c>
      <c r="K675" s="4">
        <f>Cocina[[#This Row],[Ganancia neta]]/_xlfn.XLOOKUP(Cocina[[#This Row],[Número de Orden]],Sala[Número de Orden],Sala[Monto total],"fracaso",0,1)</f>
        <v>7.1428571428571425E-2</v>
      </c>
      <c r="L675" t="s">
        <v>608</v>
      </c>
    </row>
    <row r="676" spans="1:12" x14ac:dyDescent="0.25">
      <c r="A676">
        <v>264</v>
      </c>
      <c r="B676">
        <v>2</v>
      </c>
      <c r="C676" t="s">
        <v>68</v>
      </c>
      <c r="D676" t="s">
        <v>619</v>
      </c>
      <c r="E676">
        <v>18</v>
      </c>
      <c r="F676">
        <v>30</v>
      </c>
      <c r="G676">
        <v>1</v>
      </c>
      <c r="H676">
        <v>37</v>
      </c>
      <c r="I676">
        <f>Cocina[[#This Row],[Precio Unitario]]*Cocina[[#This Row],[Cantidad Ordenada]]</f>
        <v>30</v>
      </c>
      <c r="J676">
        <f>(Cocina[[#This Row],[Precio Unitario]]-Cocina[[#This Row],[Costo Unitario]])*Cocina[[#This Row],[Cantidad Ordenada]]</f>
        <v>12</v>
      </c>
      <c r="K676" s="4">
        <f>Cocina[[#This Row],[Ganancia neta]]/_xlfn.XLOOKUP(Cocina[[#This Row],[Número de Orden]],Sala[Número de Orden],Sala[Monto total],"fracaso",0,1)</f>
        <v>6.5934065934065936E-2</v>
      </c>
      <c r="L676" t="s">
        <v>607</v>
      </c>
    </row>
    <row r="677" spans="1:12" x14ac:dyDescent="0.25">
      <c r="A677">
        <v>264</v>
      </c>
      <c r="B677">
        <v>2</v>
      </c>
      <c r="C677" t="s">
        <v>122</v>
      </c>
      <c r="D677" t="s">
        <v>637</v>
      </c>
      <c r="E677">
        <v>15</v>
      </c>
      <c r="F677">
        <v>25</v>
      </c>
      <c r="G677">
        <v>2</v>
      </c>
      <c r="H677">
        <v>14</v>
      </c>
      <c r="I677">
        <f>Cocina[[#This Row],[Precio Unitario]]*Cocina[[#This Row],[Cantidad Ordenada]]</f>
        <v>50</v>
      </c>
      <c r="J677">
        <f>(Cocina[[#This Row],[Precio Unitario]]-Cocina[[#This Row],[Costo Unitario]])*Cocina[[#This Row],[Cantidad Ordenada]]</f>
        <v>20</v>
      </c>
      <c r="K677" s="4">
        <f>Cocina[[#This Row],[Ganancia neta]]/_xlfn.XLOOKUP(Cocina[[#This Row],[Número de Orden]],Sala[Número de Orden],Sala[Monto total],"fracaso",0,1)</f>
        <v>0.10989010989010989</v>
      </c>
      <c r="L677" t="s">
        <v>607</v>
      </c>
    </row>
    <row r="678" spans="1:12" x14ac:dyDescent="0.25">
      <c r="A678">
        <v>265</v>
      </c>
      <c r="B678">
        <v>6</v>
      </c>
      <c r="C678" t="s">
        <v>200</v>
      </c>
      <c r="D678" t="s">
        <v>633</v>
      </c>
      <c r="E678">
        <v>14</v>
      </c>
      <c r="F678">
        <v>23</v>
      </c>
      <c r="G678">
        <v>1</v>
      </c>
      <c r="H678">
        <v>12</v>
      </c>
      <c r="I678">
        <f>Cocina[[#This Row],[Precio Unitario]]*Cocina[[#This Row],[Cantidad Ordenada]]</f>
        <v>23</v>
      </c>
      <c r="J678">
        <f>(Cocina[[#This Row],[Precio Unitario]]-Cocina[[#This Row],[Costo Unitario]])*Cocina[[#This Row],[Cantidad Ordenada]]</f>
        <v>9</v>
      </c>
      <c r="K678" s="4">
        <f>Cocina[[#This Row],[Ganancia neta]]/_xlfn.XLOOKUP(Cocina[[#This Row],[Número de Orden]],Sala[Número de Orden],Sala[Monto total],"fracaso",0,1)</f>
        <v>5.2631578947368418E-2</v>
      </c>
      <c r="L678" t="s">
        <v>607</v>
      </c>
    </row>
    <row r="679" spans="1:12" x14ac:dyDescent="0.25">
      <c r="A679">
        <v>265</v>
      </c>
      <c r="B679">
        <v>6</v>
      </c>
      <c r="C679" t="s">
        <v>116</v>
      </c>
      <c r="D679" t="s">
        <v>620</v>
      </c>
      <c r="E679">
        <v>19</v>
      </c>
      <c r="F679">
        <v>31</v>
      </c>
      <c r="G679">
        <v>1</v>
      </c>
      <c r="H679">
        <v>17</v>
      </c>
      <c r="I679">
        <f>Cocina[[#This Row],[Precio Unitario]]*Cocina[[#This Row],[Cantidad Ordenada]]</f>
        <v>31</v>
      </c>
      <c r="J679">
        <f>(Cocina[[#This Row],[Precio Unitario]]-Cocina[[#This Row],[Costo Unitario]])*Cocina[[#This Row],[Cantidad Ordenada]]</f>
        <v>12</v>
      </c>
      <c r="K679" s="4">
        <f>Cocina[[#This Row],[Ganancia neta]]/_xlfn.XLOOKUP(Cocina[[#This Row],[Número de Orden]],Sala[Número de Orden],Sala[Monto total],"fracaso",0,1)</f>
        <v>7.0175438596491224E-2</v>
      </c>
      <c r="L679" t="s">
        <v>608</v>
      </c>
    </row>
    <row r="680" spans="1:12" x14ac:dyDescent="0.25">
      <c r="A680">
        <v>265</v>
      </c>
      <c r="B680">
        <v>6</v>
      </c>
      <c r="C680" t="s">
        <v>106</v>
      </c>
      <c r="D680" t="s">
        <v>621</v>
      </c>
      <c r="E680">
        <v>16</v>
      </c>
      <c r="F680">
        <v>27</v>
      </c>
      <c r="G680">
        <v>1</v>
      </c>
      <c r="H680">
        <v>56</v>
      </c>
      <c r="I680">
        <f>Cocina[[#This Row],[Precio Unitario]]*Cocina[[#This Row],[Cantidad Ordenada]]</f>
        <v>27</v>
      </c>
      <c r="J680">
        <f>(Cocina[[#This Row],[Precio Unitario]]-Cocina[[#This Row],[Costo Unitario]])*Cocina[[#This Row],[Cantidad Ordenada]]</f>
        <v>11</v>
      </c>
      <c r="K680" s="4">
        <f>Cocina[[#This Row],[Ganancia neta]]/_xlfn.XLOOKUP(Cocina[[#This Row],[Número de Orden]],Sala[Número de Orden],Sala[Monto total],"fracaso",0,1)</f>
        <v>6.4327485380116955E-2</v>
      </c>
      <c r="L680" t="s">
        <v>607</v>
      </c>
    </row>
    <row r="681" spans="1:12" x14ac:dyDescent="0.25">
      <c r="A681">
        <v>265</v>
      </c>
      <c r="B681">
        <v>6</v>
      </c>
      <c r="C681" t="s">
        <v>68</v>
      </c>
      <c r="D681" t="s">
        <v>619</v>
      </c>
      <c r="E681">
        <v>18</v>
      </c>
      <c r="F681">
        <v>30</v>
      </c>
      <c r="G681">
        <v>3</v>
      </c>
      <c r="H681">
        <v>50</v>
      </c>
      <c r="I681">
        <f>Cocina[[#This Row],[Precio Unitario]]*Cocina[[#This Row],[Cantidad Ordenada]]</f>
        <v>90</v>
      </c>
      <c r="J681">
        <f>(Cocina[[#This Row],[Precio Unitario]]-Cocina[[#This Row],[Costo Unitario]])*Cocina[[#This Row],[Cantidad Ordenada]]</f>
        <v>36</v>
      </c>
      <c r="K681" s="4">
        <f>Cocina[[#This Row],[Ganancia neta]]/_xlfn.XLOOKUP(Cocina[[#This Row],[Número de Orden]],Sala[Número de Orden],Sala[Monto total],"fracaso",0,1)</f>
        <v>0.21052631578947367</v>
      </c>
      <c r="L681" t="s">
        <v>608</v>
      </c>
    </row>
    <row r="682" spans="1:12" x14ac:dyDescent="0.25">
      <c r="A682">
        <v>266</v>
      </c>
      <c r="B682">
        <v>4</v>
      </c>
      <c r="C682" t="s">
        <v>158</v>
      </c>
      <c r="D682" t="s">
        <v>617</v>
      </c>
      <c r="E682">
        <v>14</v>
      </c>
      <c r="F682">
        <v>24</v>
      </c>
      <c r="G682">
        <v>1</v>
      </c>
      <c r="H682">
        <v>53</v>
      </c>
      <c r="I682">
        <f>Cocina[[#This Row],[Precio Unitario]]*Cocina[[#This Row],[Cantidad Ordenada]]</f>
        <v>24</v>
      </c>
      <c r="J682">
        <f>(Cocina[[#This Row],[Precio Unitario]]-Cocina[[#This Row],[Costo Unitario]])*Cocina[[#This Row],[Cantidad Ordenada]]</f>
        <v>10</v>
      </c>
      <c r="K682" s="4">
        <f>Cocina[[#This Row],[Ganancia neta]]/_xlfn.XLOOKUP(Cocina[[#This Row],[Número de Orden]],Sala[Número de Orden],Sala[Monto total],"fracaso",0,1)</f>
        <v>0.10101010101010101</v>
      </c>
      <c r="L682" t="s">
        <v>607</v>
      </c>
    </row>
    <row r="683" spans="1:12" x14ac:dyDescent="0.25">
      <c r="A683">
        <v>266</v>
      </c>
      <c r="B683">
        <v>4</v>
      </c>
      <c r="C683" t="s">
        <v>122</v>
      </c>
      <c r="D683" t="s">
        <v>637</v>
      </c>
      <c r="E683">
        <v>15</v>
      </c>
      <c r="F683">
        <v>25</v>
      </c>
      <c r="G683">
        <v>3</v>
      </c>
      <c r="H683">
        <v>53</v>
      </c>
      <c r="I683">
        <f>Cocina[[#This Row],[Precio Unitario]]*Cocina[[#This Row],[Cantidad Ordenada]]</f>
        <v>75</v>
      </c>
      <c r="J683">
        <f>(Cocina[[#This Row],[Precio Unitario]]-Cocina[[#This Row],[Costo Unitario]])*Cocina[[#This Row],[Cantidad Ordenada]]</f>
        <v>30</v>
      </c>
      <c r="K683" s="4">
        <f>Cocina[[#This Row],[Ganancia neta]]/_xlfn.XLOOKUP(Cocina[[#This Row],[Número de Orden]],Sala[Número de Orden],Sala[Monto total],"fracaso",0,1)</f>
        <v>0.30303030303030304</v>
      </c>
      <c r="L683" t="s">
        <v>607</v>
      </c>
    </row>
    <row r="684" spans="1:12" x14ac:dyDescent="0.25">
      <c r="A684">
        <v>267</v>
      </c>
      <c r="B684">
        <v>7</v>
      </c>
      <c r="C684" t="s">
        <v>247</v>
      </c>
      <c r="D684" t="s">
        <v>629</v>
      </c>
      <c r="E684">
        <v>19</v>
      </c>
      <c r="F684">
        <v>32</v>
      </c>
      <c r="G684">
        <v>1</v>
      </c>
      <c r="H684">
        <v>45</v>
      </c>
      <c r="I684">
        <f>Cocina[[#This Row],[Precio Unitario]]*Cocina[[#This Row],[Cantidad Ordenada]]</f>
        <v>32</v>
      </c>
      <c r="J684">
        <f>(Cocina[[#This Row],[Precio Unitario]]-Cocina[[#This Row],[Costo Unitario]])*Cocina[[#This Row],[Cantidad Ordenada]]</f>
        <v>13</v>
      </c>
      <c r="K684" s="4">
        <f>Cocina[[#This Row],[Ganancia neta]]/_xlfn.XLOOKUP(Cocina[[#This Row],[Número de Orden]],Sala[Número de Orden],Sala[Monto total],"fracaso",0,1)</f>
        <v>0.11016949152542373</v>
      </c>
      <c r="L684" t="s">
        <v>608</v>
      </c>
    </row>
    <row r="685" spans="1:12" x14ac:dyDescent="0.25">
      <c r="A685">
        <v>267</v>
      </c>
      <c r="B685">
        <v>7</v>
      </c>
      <c r="C685" t="s">
        <v>42</v>
      </c>
      <c r="D685" t="s">
        <v>626</v>
      </c>
      <c r="E685">
        <v>16</v>
      </c>
      <c r="F685">
        <v>28</v>
      </c>
      <c r="G685">
        <v>2</v>
      </c>
      <c r="H685">
        <v>23</v>
      </c>
      <c r="I685">
        <f>Cocina[[#This Row],[Precio Unitario]]*Cocina[[#This Row],[Cantidad Ordenada]]</f>
        <v>56</v>
      </c>
      <c r="J685">
        <f>(Cocina[[#This Row],[Precio Unitario]]-Cocina[[#This Row],[Costo Unitario]])*Cocina[[#This Row],[Cantidad Ordenada]]</f>
        <v>24</v>
      </c>
      <c r="K685" s="4">
        <f>Cocina[[#This Row],[Ganancia neta]]/_xlfn.XLOOKUP(Cocina[[#This Row],[Número de Orden]],Sala[Número de Orden],Sala[Monto total],"fracaso",0,1)</f>
        <v>0.20338983050847459</v>
      </c>
      <c r="L685" t="s">
        <v>607</v>
      </c>
    </row>
    <row r="686" spans="1:12" x14ac:dyDescent="0.25">
      <c r="A686">
        <v>267</v>
      </c>
      <c r="B686">
        <v>7</v>
      </c>
      <c r="C686" t="s">
        <v>68</v>
      </c>
      <c r="D686" t="s">
        <v>619</v>
      </c>
      <c r="E686">
        <v>18</v>
      </c>
      <c r="F686">
        <v>30</v>
      </c>
      <c r="G686">
        <v>1</v>
      </c>
      <c r="H686">
        <v>28</v>
      </c>
      <c r="I686">
        <f>Cocina[[#This Row],[Precio Unitario]]*Cocina[[#This Row],[Cantidad Ordenada]]</f>
        <v>30</v>
      </c>
      <c r="J686">
        <f>(Cocina[[#This Row],[Precio Unitario]]-Cocina[[#This Row],[Costo Unitario]])*Cocina[[#This Row],[Cantidad Ordenada]]</f>
        <v>12</v>
      </c>
      <c r="K686" s="4">
        <f>Cocina[[#This Row],[Ganancia neta]]/_xlfn.XLOOKUP(Cocina[[#This Row],[Número de Orden]],Sala[Número de Orden],Sala[Monto total],"fracaso",0,1)</f>
        <v>0.10169491525423729</v>
      </c>
      <c r="L686" t="s">
        <v>608</v>
      </c>
    </row>
    <row r="687" spans="1:12" x14ac:dyDescent="0.25">
      <c r="A687">
        <v>268</v>
      </c>
      <c r="B687">
        <v>14</v>
      </c>
      <c r="C687" t="s">
        <v>158</v>
      </c>
      <c r="D687" t="s">
        <v>617</v>
      </c>
      <c r="E687">
        <v>14</v>
      </c>
      <c r="F687">
        <v>24</v>
      </c>
      <c r="G687">
        <v>1</v>
      </c>
      <c r="H687">
        <v>39</v>
      </c>
      <c r="I687">
        <f>Cocina[[#This Row],[Precio Unitario]]*Cocina[[#This Row],[Cantidad Ordenada]]</f>
        <v>24</v>
      </c>
      <c r="J687">
        <f>(Cocina[[#This Row],[Precio Unitario]]-Cocina[[#This Row],[Costo Unitario]])*Cocina[[#This Row],[Cantidad Ordenada]]</f>
        <v>10</v>
      </c>
      <c r="K687" s="4">
        <f>Cocina[[#This Row],[Ganancia neta]]/_xlfn.XLOOKUP(Cocina[[#This Row],[Número de Orden]],Sala[Número de Orden],Sala[Monto total],"fracaso",0,1)</f>
        <v>0.14705882352941177</v>
      </c>
      <c r="L687" t="s">
        <v>608</v>
      </c>
    </row>
    <row r="688" spans="1:12" x14ac:dyDescent="0.25">
      <c r="A688">
        <v>268</v>
      </c>
      <c r="B688">
        <v>14</v>
      </c>
      <c r="C688" t="s">
        <v>203</v>
      </c>
      <c r="D688" t="s">
        <v>630</v>
      </c>
      <c r="E688">
        <v>13</v>
      </c>
      <c r="F688">
        <v>22</v>
      </c>
      <c r="G688">
        <v>2</v>
      </c>
      <c r="H688">
        <v>44</v>
      </c>
      <c r="I688">
        <f>Cocina[[#This Row],[Precio Unitario]]*Cocina[[#This Row],[Cantidad Ordenada]]</f>
        <v>44</v>
      </c>
      <c r="J688">
        <f>(Cocina[[#This Row],[Precio Unitario]]-Cocina[[#This Row],[Costo Unitario]])*Cocina[[#This Row],[Cantidad Ordenada]]</f>
        <v>18</v>
      </c>
      <c r="K688" s="4">
        <f>Cocina[[#This Row],[Ganancia neta]]/_xlfn.XLOOKUP(Cocina[[#This Row],[Número de Orden]],Sala[Número de Orden],Sala[Monto total],"fracaso",0,1)</f>
        <v>0.26470588235294118</v>
      </c>
      <c r="L688" t="s">
        <v>608</v>
      </c>
    </row>
    <row r="689" spans="1:12" x14ac:dyDescent="0.25">
      <c r="A689">
        <v>269</v>
      </c>
      <c r="B689">
        <v>11</v>
      </c>
      <c r="C689" t="s">
        <v>73</v>
      </c>
      <c r="D689" t="s">
        <v>623</v>
      </c>
      <c r="E689">
        <v>22</v>
      </c>
      <c r="F689">
        <v>36</v>
      </c>
      <c r="G689">
        <v>3</v>
      </c>
      <c r="H689">
        <v>13</v>
      </c>
      <c r="I689">
        <f>Cocina[[#This Row],[Precio Unitario]]*Cocina[[#This Row],[Cantidad Ordenada]]</f>
        <v>108</v>
      </c>
      <c r="J689">
        <f>(Cocina[[#This Row],[Precio Unitario]]-Cocina[[#This Row],[Costo Unitario]])*Cocina[[#This Row],[Cantidad Ordenada]]</f>
        <v>42</v>
      </c>
      <c r="K689" s="4">
        <f>Cocina[[#This Row],[Ganancia neta]]/_xlfn.XLOOKUP(Cocina[[#This Row],[Número de Orden]],Sala[Número de Orden],Sala[Monto total],"fracaso",0,1)</f>
        <v>0.16800000000000001</v>
      </c>
      <c r="L689" t="s">
        <v>607</v>
      </c>
    </row>
    <row r="690" spans="1:12" x14ac:dyDescent="0.25">
      <c r="A690">
        <v>269</v>
      </c>
      <c r="B690">
        <v>11</v>
      </c>
      <c r="C690" t="s">
        <v>48</v>
      </c>
      <c r="D690" t="s">
        <v>622</v>
      </c>
      <c r="E690">
        <v>25</v>
      </c>
      <c r="F690">
        <v>40</v>
      </c>
      <c r="G690">
        <v>1</v>
      </c>
      <c r="H690">
        <v>58</v>
      </c>
      <c r="I690">
        <f>Cocina[[#This Row],[Precio Unitario]]*Cocina[[#This Row],[Cantidad Ordenada]]</f>
        <v>40</v>
      </c>
      <c r="J690">
        <f>(Cocina[[#This Row],[Precio Unitario]]-Cocina[[#This Row],[Costo Unitario]])*Cocina[[#This Row],[Cantidad Ordenada]]</f>
        <v>15</v>
      </c>
      <c r="K690" s="4">
        <f>Cocina[[#This Row],[Ganancia neta]]/_xlfn.XLOOKUP(Cocina[[#This Row],[Número de Orden]],Sala[Número de Orden],Sala[Monto total],"fracaso",0,1)</f>
        <v>0.06</v>
      </c>
      <c r="L690" t="s">
        <v>608</v>
      </c>
    </row>
    <row r="691" spans="1:12" x14ac:dyDescent="0.25">
      <c r="A691">
        <v>269</v>
      </c>
      <c r="B691">
        <v>11</v>
      </c>
      <c r="C691" t="s">
        <v>55</v>
      </c>
      <c r="D691" t="s">
        <v>631</v>
      </c>
      <c r="E691">
        <v>20</v>
      </c>
      <c r="F691">
        <v>34</v>
      </c>
      <c r="G691">
        <v>3</v>
      </c>
      <c r="H691">
        <v>30</v>
      </c>
      <c r="I691">
        <f>Cocina[[#This Row],[Precio Unitario]]*Cocina[[#This Row],[Cantidad Ordenada]]</f>
        <v>102</v>
      </c>
      <c r="J691">
        <f>(Cocina[[#This Row],[Precio Unitario]]-Cocina[[#This Row],[Costo Unitario]])*Cocina[[#This Row],[Cantidad Ordenada]]</f>
        <v>42</v>
      </c>
      <c r="K691" s="4">
        <f>Cocina[[#This Row],[Ganancia neta]]/_xlfn.XLOOKUP(Cocina[[#This Row],[Número de Orden]],Sala[Número de Orden],Sala[Monto total],"fracaso",0,1)</f>
        <v>0.16800000000000001</v>
      </c>
      <c r="L691" t="s">
        <v>608</v>
      </c>
    </row>
    <row r="692" spans="1:12" x14ac:dyDescent="0.25">
      <c r="A692">
        <v>270</v>
      </c>
      <c r="B692">
        <v>10</v>
      </c>
      <c r="C692" t="s">
        <v>55</v>
      </c>
      <c r="D692" t="s">
        <v>631</v>
      </c>
      <c r="E692">
        <v>20</v>
      </c>
      <c r="F692">
        <v>34</v>
      </c>
      <c r="G692">
        <v>3</v>
      </c>
      <c r="H692">
        <v>26</v>
      </c>
      <c r="I692">
        <f>Cocina[[#This Row],[Precio Unitario]]*Cocina[[#This Row],[Cantidad Ordenada]]</f>
        <v>102</v>
      </c>
      <c r="J692">
        <f>(Cocina[[#This Row],[Precio Unitario]]-Cocina[[#This Row],[Costo Unitario]])*Cocina[[#This Row],[Cantidad Ordenada]]</f>
        <v>42</v>
      </c>
      <c r="K692" s="4">
        <f>Cocina[[#This Row],[Ganancia neta]]/_xlfn.XLOOKUP(Cocina[[#This Row],[Número de Orden]],Sala[Número de Orden],Sala[Monto total],"fracaso",0,1)</f>
        <v>0.41176470588235292</v>
      </c>
      <c r="L692" t="s">
        <v>607</v>
      </c>
    </row>
    <row r="693" spans="1:12" x14ac:dyDescent="0.25">
      <c r="A693">
        <v>271</v>
      </c>
      <c r="B693">
        <v>3</v>
      </c>
      <c r="C693" t="s">
        <v>203</v>
      </c>
      <c r="D693" t="s">
        <v>630</v>
      </c>
      <c r="E693">
        <v>13</v>
      </c>
      <c r="F693">
        <v>22</v>
      </c>
      <c r="G693">
        <v>2</v>
      </c>
      <c r="H693">
        <v>55</v>
      </c>
      <c r="I693">
        <f>Cocina[[#This Row],[Precio Unitario]]*Cocina[[#This Row],[Cantidad Ordenada]]</f>
        <v>44</v>
      </c>
      <c r="J693">
        <f>(Cocina[[#This Row],[Precio Unitario]]-Cocina[[#This Row],[Costo Unitario]])*Cocina[[#This Row],[Cantidad Ordenada]]</f>
        <v>18</v>
      </c>
      <c r="K693" s="4">
        <f>Cocina[[#This Row],[Ganancia neta]]/_xlfn.XLOOKUP(Cocina[[#This Row],[Número de Orden]],Sala[Número de Orden],Sala[Monto total],"fracaso",0,1)</f>
        <v>0.40909090909090912</v>
      </c>
      <c r="L693" t="s">
        <v>608</v>
      </c>
    </row>
    <row r="694" spans="1:12" x14ac:dyDescent="0.25">
      <c r="A694">
        <v>272</v>
      </c>
      <c r="B694">
        <v>7</v>
      </c>
      <c r="C694" t="s">
        <v>158</v>
      </c>
      <c r="D694" t="s">
        <v>617</v>
      </c>
      <c r="E694">
        <v>14</v>
      </c>
      <c r="F694">
        <v>24</v>
      </c>
      <c r="G694">
        <v>2</v>
      </c>
      <c r="H694">
        <v>36</v>
      </c>
      <c r="I694">
        <f>Cocina[[#This Row],[Precio Unitario]]*Cocina[[#This Row],[Cantidad Ordenada]]</f>
        <v>48</v>
      </c>
      <c r="J694">
        <f>(Cocina[[#This Row],[Precio Unitario]]-Cocina[[#This Row],[Costo Unitario]])*Cocina[[#This Row],[Cantidad Ordenada]]</f>
        <v>20</v>
      </c>
      <c r="K694" s="4">
        <f>Cocina[[#This Row],[Ganancia neta]]/_xlfn.XLOOKUP(Cocina[[#This Row],[Número de Orden]],Sala[Número de Orden],Sala[Monto total],"fracaso",0,1)</f>
        <v>0.24096385542168675</v>
      </c>
      <c r="L694" t="s">
        <v>607</v>
      </c>
    </row>
    <row r="695" spans="1:12" x14ac:dyDescent="0.25">
      <c r="A695">
        <v>272</v>
      </c>
      <c r="B695">
        <v>7</v>
      </c>
      <c r="C695" t="s">
        <v>26</v>
      </c>
      <c r="D695" t="s">
        <v>628</v>
      </c>
      <c r="E695">
        <v>21</v>
      </c>
      <c r="F695">
        <v>35</v>
      </c>
      <c r="G695">
        <v>1</v>
      </c>
      <c r="H695">
        <v>47</v>
      </c>
      <c r="I695">
        <f>Cocina[[#This Row],[Precio Unitario]]*Cocina[[#This Row],[Cantidad Ordenada]]</f>
        <v>35</v>
      </c>
      <c r="J695">
        <f>(Cocina[[#This Row],[Precio Unitario]]-Cocina[[#This Row],[Costo Unitario]])*Cocina[[#This Row],[Cantidad Ordenada]]</f>
        <v>14</v>
      </c>
      <c r="K695" s="4">
        <f>Cocina[[#This Row],[Ganancia neta]]/_xlfn.XLOOKUP(Cocina[[#This Row],[Número de Orden]],Sala[Número de Orden],Sala[Monto total],"fracaso",0,1)</f>
        <v>0.16867469879518071</v>
      </c>
      <c r="L695" t="s">
        <v>608</v>
      </c>
    </row>
    <row r="696" spans="1:12" x14ac:dyDescent="0.25">
      <c r="A696">
        <v>273</v>
      </c>
      <c r="B696">
        <v>20</v>
      </c>
      <c r="C696" t="s">
        <v>247</v>
      </c>
      <c r="D696" t="s">
        <v>629</v>
      </c>
      <c r="E696">
        <v>19</v>
      </c>
      <c r="F696">
        <v>32</v>
      </c>
      <c r="G696">
        <v>1</v>
      </c>
      <c r="H696">
        <v>22</v>
      </c>
      <c r="I696">
        <f>Cocina[[#This Row],[Precio Unitario]]*Cocina[[#This Row],[Cantidad Ordenada]]</f>
        <v>32</v>
      </c>
      <c r="J696">
        <f>(Cocina[[#This Row],[Precio Unitario]]-Cocina[[#This Row],[Costo Unitario]])*Cocina[[#This Row],[Cantidad Ordenada]]</f>
        <v>13</v>
      </c>
      <c r="K696" s="4">
        <f>Cocina[[#This Row],[Ganancia neta]]/_xlfn.XLOOKUP(Cocina[[#This Row],[Número de Orden]],Sala[Número de Orden],Sala[Monto total],"fracaso",0,1)</f>
        <v>0.10569105691056911</v>
      </c>
      <c r="L696" t="s">
        <v>608</v>
      </c>
    </row>
    <row r="697" spans="1:12" x14ac:dyDescent="0.25">
      <c r="A697">
        <v>273</v>
      </c>
      <c r="B697">
        <v>20</v>
      </c>
      <c r="C697" t="s">
        <v>203</v>
      </c>
      <c r="D697" t="s">
        <v>630</v>
      </c>
      <c r="E697">
        <v>13</v>
      </c>
      <c r="F697">
        <v>22</v>
      </c>
      <c r="G697">
        <v>3</v>
      </c>
      <c r="H697">
        <v>40</v>
      </c>
      <c r="I697">
        <f>Cocina[[#This Row],[Precio Unitario]]*Cocina[[#This Row],[Cantidad Ordenada]]</f>
        <v>66</v>
      </c>
      <c r="J697">
        <f>(Cocina[[#This Row],[Precio Unitario]]-Cocina[[#This Row],[Costo Unitario]])*Cocina[[#This Row],[Cantidad Ordenada]]</f>
        <v>27</v>
      </c>
      <c r="K697" s="4">
        <f>Cocina[[#This Row],[Ganancia neta]]/_xlfn.XLOOKUP(Cocina[[#This Row],[Número de Orden]],Sala[Número de Orden],Sala[Monto total],"fracaso",0,1)</f>
        <v>0.21951219512195122</v>
      </c>
      <c r="L697" t="s">
        <v>607</v>
      </c>
    </row>
    <row r="698" spans="1:12" x14ac:dyDescent="0.25">
      <c r="A698">
        <v>273</v>
      </c>
      <c r="B698">
        <v>20</v>
      </c>
      <c r="C698" t="s">
        <v>122</v>
      </c>
      <c r="D698" t="s">
        <v>637</v>
      </c>
      <c r="E698">
        <v>15</v>
      </c>
      <c r="F698">
        <v>25</v>
      </c>
      <c r="G698">
        <v>1</v>
      </c>
      <c r="H698">
        <v>5</v>
      </c>
      <c r="I698">
        <f>Cocina[[#This Row],[Precio Unitario]]*Cocina[[#This Row],[Cantidad Ordenada]]</f>
        <v>25</v>
      </c>
      <c r="J698">
        <f>(Cocina[[#This Row],[Precio Unitario]]-Cocina[[#This Row],[Costo Unitario]])*Cocina[[#This Row],[Cantidad Ordenada]]</f>
        <v>10</v>
      </c>
      <c r="K698" s="4">
        <f>Cocina[[#This Row],[Ganancia neta]]/_xlfn.XLOOKUP(Cocina[[#This Row],[Número de Orden]],Sala[Número de Orden],Sala[Monto total],"fracaso",0,1)</f>
        <v>8.1300813008130079E-2</v>
      </c>
      <c r="L698" t="s">
        <v>608</v>
      </c>
    </row>
    <row r="699" spans="1:12" x14ac:dyDescent="0.25">
      <c r="A699">
        <v>274</v>
      </c>
      <c r="B699">
        <v>7</v>
      </c>
      <c r="C699" t="s">
        <v>155</v>
      </c>
      <c r="D699" t="s">
        <v>636</v>
      </c>
      <c r="E699">
        <v>15</v>
      </c>
      <c r="F699">
        <v>26</v>
      </c>
      <c r="G699">
        <v>3</v>
      </c>
      <c r="H699">
        <v>33</v>
      </c>
      <c r="I699">
        <f>Cocina[[#This Row],[Precio Unitario]]*Cocina[[#This Row],[Cantidad Ordenada]]</f>
        <v>78</v>
      </c>
      <c r="J699">
        <f>(Cocina[[#This Row],[Precio Unitario]]-Cocina[[#This Row],[Costo Unitario]])*Cocina[[#This Row],[Cantidad Ordenada]]</f>
        <v>33</v>
      </c>
      <c r="K699" s="4">
        <f>Cocina[[#This Row],[Ganancia neta]]/_xlfn.XLOOKUP(Cocina[[#This Row],[Número de Orden]],Sala[Número de Orden],Sala[Monto total],"fracaso",0,1)</f>
        <v>0.28448275862068967</v>
      </c>
      <c r="L699" t="s">
        <v>607</v>
      </c>
    </row>
    <row r="700" spans="1:12" x14ac:dyDescent="0.25">
      <c r="A700">
        <v>274</v>
      </c>
      <c r="B700">
        <v>7</v>
      </c>
      <c r="C700" t="s">
        <v>112</v>
      </c>
      <c r="D700" t="s">
        <v>627</v>
      </c>
      <c r="E700">
        <v>11</v>
      </c>
      <c r="F700">
        <v>19</v>
      </c>
      <c r="G700">
        <v>2</v>
      </c>
      <c r="H700">
        <v>42</v>
      </c>
      <c r="I700">
        <f>Cocina[[#This Row],[Precio Unitario]]*Cocina[[#This Row],[Cantidad Ordenada]]</f>
        <v>38</v>
      </c>
      <c r="J700">
        <f>(Cocina[[#This Row],[Precio Unitario]]-Cocina[[#This Row],[Costo Unitario]])*Cocina[[#This Row],[Cantidad Ordenada]]</f>
        <v>16</v>
      </c>
      <c r="K700" s="4">
        <f>Cocina[[#This Row],[Ganancia neta]]/_xlfn.XLOOKUP(Cocina[[#This Row],[Número de Orden]],Sala[Número de Orden],Sala[Monto total],"fracaso",0,1)</f>
        <v>0.13793103448275862</v>
      </c>
      <c r="L700" t="s">
        <v>608</v>
      </c>
    </row>
    <row r="701" spans="1:12" x14ac:dyDescent="0.25">
      <c r="A701">
        <v>275</v>
      </c>
      <c r="B701">
        <v>5</v>
      </c>
      <c r="C701" t="s">
        <v>261</v>
      </c>
      <c r="D701" t="s">
        <v>625</v>
      </c>
      <c r="E701">
        <v>20</v>
      </c>
      <c r="F701">
        <v>33</v>
      </c>
      <c r="G701">
        <v>1</v>
      </c>
      <c r="H701">
        <v>32</v>
      </c>
      <c r="I701">
        <f>Cocina[[#This Row],[Precio Unitario]]*Cocina[[#This Row],[Cantidad Ordenada]]</f>
        <v>33</v>
      </c>
      <c r="J701">
        <f>(Cocina[[#This Row],[Precio Unitario]]-Cocina[[#This Row],[Costo Unitario]])*Cocina[[#This Row],[Cantidad Ordenada]]</f>
        <v>13</v>
      </c>
      <c r="K701" s="4">
        <f>Cocina[[#This Row],[Ganancia neta]]/_xlfn.XLOOKUP(Cocina[[#This Row],[Número de Orden]],Sala[Número de Orden],Sala[Monto total],"fracaso",0,1)</f>
        <v>0.10743801652892562</v>
      </c>
      <c r="L701" t="s">
        <v>608</v>
      </c>
    </row>
    <row r="702" spans="1:12" x14ac:dyDescent="0.25">
      <c r="A702">
        <v>275</v>
      </c>
      <c r="B702">
        <v>5</v>
      </c>
      <c r="C702" t="s">
        <v>116</v>
      </c>
      <c r="D702" t="s">
        <v>620</v>
      </c>
      <c r="E702">
        <v>19</v>
      </c>
      <c r="F702">
        <v>31</v>
      </c>
      <c r="G702">
        <v>2</v>
      </c>
      <c r="H702">
        <v>32</v>
      </c>
      <c r="I702">
        <f>Cocina[[#This Row],[Precio Unitario]]*Cocina[[#This Row],[Cantidad Ordenada]]</f>
        <v>62</v>
      </c>
      <c r="J702">
        <f>(Cocina[[#This Row],[Precio Unitario]]-Cocina[[#This Row],[Costo Unitario]])*Cocina[[#This Row],[Cantidad Ordenada]]</f>
        <v>24</v>
      </c>
      <c r="K702" s="4">
        <f>Cocina[[#This Row],[Ganancia neta]]/_xlfn.XLOOKUP(Cocina[[#This Row],[Número de Orden]],Sala[Número de Orden],Sala[Monto total],"fracaso",0,1)</f>
        <v>0.19834710743801653</v>
      </c>
      <c r="L702" t="s">
        <v>607</v>
      </c>
    </row>
    <row r="703" spans="1:12" x14ac:dyDescent="0.25">
      <c r="A703">
        <v>275</v>
      </c>
      <c r="B703">
        <v>5</v>
      </c>
      <c r="C703" t="s">
        <v>155</v>
      </c>
      <c r="D703" t="s">
        <v>636</v>
      </c>
      <c r="E703">
        <v>15</v>
      </c>
      <c r="F703">
        <v>26</v>
      </c>
      <c r="G703">
        <v>1</v>
      </c>
      <c r="H703">
        <v>58</v>
      </c>
      <c r="I703">
        <f>Cocina[[#This Row],[Precio Unitario]]*Cocina[[#This Row],[Cantidad Ordenada]]</f>
        <v>26</v>
      </c>
      <c r="J703">
        <f>(Cocina[[#This Row],[Precio Unitario]]-Cocina[[#This Row],[Costo Unitario]])*Cocina[[#This Row],[Cantidad Ordenada]]</f>
        <v>11</v>
      </c>
      <c r="K703" s="4">
        <f>Cocina[[#This Row],[Ganancia neta]]/_xlfn.XLOOKUP(Cocina[[#This Row],[Número de Orden]],Sala[Número de Orden],Sala[Monto total],"fracaso",0,1)</f>
        <v>9.0909090909090912E-2</v>
      </c>
      <c r="L703" t="s">
        <v>607</v>
      </c>
    </row>
    <row r="704" spans="1:12" x14ac:dyDescent="0.25">
      <c r="A704">
        <v>276</v>
      </c>
      <c r="B704">
        <v>15</v>
      </c>
      <c r="C704" t="s">
        <v>203</v>
      </c>
      <c r="D704" t="s">
        <v>630</v>
      </c>
      <c r="E704">
        <v>13</v>
      </c>
      <c r="F704">
        <v>22</v>
      </c>
      <c r="G704">
        <v>2</v>
      </c>
      <c r="H704">
        <v>49</v>
      </c>
      <c r="I704">
        <f>Cocina[[#This Row],[Precio Unitario]]*Cocina[[#This Row],[Cantidad Ordenada]]</f>
        <v>44</v>
      </c>
      <c r="J704">
        <f>(Cocina[[#This Row],[Precio Unitario]]-Cocina[[#This Row],[Costo Unitario]])*Cocina[[#This Row],[Cantidad Ordenada]]</f>
        <v>18</v>
      </c>
      <c r="K704" s="4">
        <f>Cocina[[#This Row],[Ganancia neta]]/_xlfn.XLOOKUP(Cocina[[#This Row],[Número de Orden]],Sala[Número de Orden],Sala[Monto total],"fracaso",0,1)</f>
        <v>0.25714285714285712</v>
      </c>
      <c r="L704" t="s">
        <v>607</v>
      </c>
    </row>
    <row r="705" spans="1:12" x14ac:dyDescent="0.25">
      <c r="A705">
        <v>276</v>
      </c>
      <c r="B705">
        <v>15</v>
      </c>
      <c r="C705" t="s">
        <v>155</v>
      </c>
      <c r="D705" t="s">
        <v>636</v>
      </c>
      <c r="E705">
        <v>15</v>
      </c>
      <c r="F705">
        <v>26</v>
      </c>
      <c r="G705">
        <v>1</v>
      </c>
      <c r="H705">
        <v>36</v>
      </c>
      <c r="I705">
        <f>Cocina[[#This Row],[Precio Unitario]]*Cocina[[#This Row],[Cantidad Ordenada]]</f>
        <v>26</v>
      </c>
      <c r="J705">
        <f>(Cocina[[#This Row],[Precio Unitario]]-Cocina[[#This Row],[Costo Unitario]])*Cocina[[#This Row],[Cantidad Ordenada]]</f>
        <v>11</v>
      </c>
      <c r="K705" s="4">
        <f>Cocina[[#This Row],[Ganancia neta]]/_xlfn.XLOOKUP(Cocina[[#This Row],[Número de Orden]],Sala[Número de Orden],Sala[Monto total],"fracaso",0,1)</f>
        <v>0.15714285714285714</v>
      </c>
      <c r="L705" t="s">
        <v>608</v>
      </c>
    </row>
    <row r="706" spans="1:12" x14ac:dyDescent="0.25">
      <c r="A706">
        <v>277</v>
      </c>
      <c r="B706">
        <v>4</v>
      </c>
      <c r="C706" t="s">
        <v>116</v>
      </c>
      <c r="D706" t="s">
        <v>620</v>
      </c>
      <c r="E706">
        <v>19</v>
      </c>
      <c r="F706">
        <v>31</v>
      </c>
      <c r="G706">
        <v>3</v>
      </c>
      <c r="H706">
        <v>29</v>
      </c>
      <c r="I706">
        <f>Cocina[[#This Row],[Precio Unitario]]*Cocina[[#This Row],[Cantidad Ordenada]]</f>
        <v>93</v>
      </c>
      <c r="J706">
        <f>(Cocina[[#This Row],[Precio Unitario]]-Cocina[[#This Row],[Costo Unitario]])*Cocina[[#This Row],[Cantidad Ordenada]]</f>
        <v>36</v>
      </c>
      <c r="K706" s="4">
        <f>Cocina[[#This Row],[Ganancia neta]]/_xlfn.XLOOKUP(Cocina[[#This Row],[Número de Orden]],Sala[Número de Orden],Sala[Monto total],"fracaso",0,1)</f>
        <v>0.38709677419354838</v>
      </c>
      <c r="L706" t="s">
        <v>607</v>
      </c>
    </row>
    <row r="707" spans="1:12" x14ac:dyDescent="0.25">
      <c r="A707">
        <v>278</v>
      </c>
      <c r="B707">
        <v>5</v>
      </c>
      <c r="C707" t="s">
        <v>116</v>
      </c>
      <c r="D707" t="s">
        <v>620</v>
      </c>
      <c r="E707">
        <v>19</v>
      </c>
      <c r="F707">
        <v>31</v>
      </c>
      <c r="G707">
        <v>3</v>
      </c>
      <c r="H707">
        <v>33</v>
      </c>
      <c r="I707">
        <f>Cocina[[#This Row],[Precio Unitario]]*Cocina[[#This Row],[Cantidad Ordenada]]</f>
        <v>93</v>
      </c>
      <c r="J707">
        <f>(Cocina[[#This Row],[Precio Unitario]]-Cocina[[#This Row],[Costo Unitario]])*Cocina[[#This Row],[Cantidad Ordenada]]</f>
        <v>36</v>
      </c>
      <c r="K707" s="4">
        <f>Cocina[[#This Row],[Ganancia neta]]/_xlfn.XLOOKUP(Cocina[[#This Row],[Número de Orden]],Sala[Número de Orden],Sala[Monto total],"fracaso",0,1)</f>
        <v>0.25531914893617019</v>
      </c>
      <c r="L707" t="s">
        <v>607</v>
      </c>
    </row>
    <row r="708" spans="1:12" x14ac:dyDescent="0.25">
      <c r="A708">
        <v>278</v>
      </c>
      <c r="B708">
        <v>5</v>
      </c>
      <c r="C708" t="s">
        <v>158</v>
      </c>
      <c r="D708" t="s">
        <v>617</v>
      </c>
      <c r="E708">
        <v>14</v>
      </c>
      <c r="F708">
        <v>24</v>
      </c>
      <c r="G708">
        <v>2</v>
      </c>
      <c r="H708">
        <v>28</v>
      </c>
      <c r="I708">
        <f>Cocina[[#This Row],[Precio Unitario]]*Cocina[[#This Row],[Cantidad Ordenada]]</f>
        <v>48</v>
      </c>
      <c r="J708">
        <f>(Cocina[[#This Row],[Precio Unitario]]-Cocina[[#This Row],[Costo Unitario]])*Cocina[[#This Row],[Cantidad Ordenada]]</f>
        <v>20</v>
      </c>
      <c r="K708" s="4">
        <f>Cocina[[#This Row],[Ganancia neta]]/_xlfn.XLOOKUP(Cocina[[#This Row],[Número de Orden]],Sala[Número de Orden],Sala[Monto total],"fracaso",0,1)</f>
        <v>0.14184397163120568</v>
      </c>
      <c r="L708" t="s">
        <v>608</v>
      </c>
    </row>
    <row r="709" spans="1:12" x14ac:dyDescent="0.25">
      <c r="A709">
        <v>279</v>
      </c>
      <c r="B709">
        <v>11</v>
      </c>
      <c r="C709" t="s">
        <v>48</v>
      </c>
      <c r="D709" t="s">
        <v>622</v>
      </c>
      <c r="E709">
        <v>25</v>
      </c>
      <c r="F709">
        <v>40</v>
      </c>
      <c r="G709">
        <v>3</v>
      </c>
      <c r="H709">
        <v>48</v>
      </c>
      <c r="I709">
        <f>Cocina[[#This Row],[Precio Unitario]]*Cocina[[#This Row],[Cantidad Ordenada]]</f>
        <v>120</v>
      </c>
      <c r="J709">
        <f>(Cocina[[#This Row],[Precio Unitario]]-Cocina[[#This Row],[Costo Unitario]])*Cocina[[#This Row],[Cantidad Ordenada]]</f>
        <v>45</v>
      </c>
      <c r="K709" s="4">
        <f>Cocina[[#This Row],[Ganancia neta]]/_xlfn.XLOOKUP(Cocina[[#This Row],[Número de Orden]],Sala[Número de Orden],Sala[Monto total],"fracaso",0,1)</f>
        <v>0.22388059701492538</v>
      </c>
      <c r="L709" t="s">
        <v>608</v>
      </c>
    </row>
    <row r="710" spans="1:12" x14ac:dyDescent="0.25">
      <c r="A710">
        <v>279</v>
      </c>
      <c r="B710">
        <v>11</v>
      </c>
      <c r="C710" t="s">
        <v>26</v>
      </c>
      <c r="D710" t="s">
        <v>628</v>
      </c>
      <c r="E710">
        <v>21</v>
      </c>
      <c r="F710">
        <v>35</v>
      </c>
      <c r="G710">
        <v>1</v>
      </c>
      <c r="H710">
        <v>28</v>
      </c>
      <c r="I710">
        <f>Cocina[[#This Row],[Precio Unitario]]*Cocina[[#This Row],[Cantidad Ordenada]]</f>
        <v>35</v>
      </c>
      <c r="J710">
        <f>(Cocina[[#This Row],[Precio Unitario]]-Cocina[[#This Row],[Costo Unitario]])*Cocina[[#This Row],[Cantidad Ordenada]]</f>
        <v>14</v>
      </c>
      <c r="K710" s="4">
        <f>Cocina[[#This Row],[Ganancia neta]]/_xlfn.XLOOKUP(Cocina[[#This Row],[Número de Orden]],Sala[Número de Orden],Sala[Monto total],"fracaso",0,1)</f>
        <v>6.965174129353234E-2</v>
      </c>
      <c r="L710" t="s">
        <v>607</v>
      </c>
    </row>
    <row r="711" spans="1:12" x14ac:dyDescent="0.25">
      <c r="A711">
        <v>279</v>
      </c>
      <c r="B711">
        <v>11</v>
      </c>
      <c r="C711" t="s">
        <v>79</v>
      </c>
      <c r="D711" t="s">
        <v>635</v>
      </c>
      <c r="E711">
        <v>10</v>
      </c>
      <c r="F711">
        <v>18</v>
      </c>
      <c r="G711">
        <v>1</v>
      </c>
      <c r="H711">
        <v>58</v>
      </c>
      <c r="I711">
        <f>Cocina[[#This Row],[Precio Unitario]]*Cocina[[#This Row],[Cantidad Ordenada]]</f>
        <v>18</v>
      </c>
      <c r="J711">
        <f>(Cocina[[#This Row],[Precio Unitario]]-Cocina[[#This Row],[Costo Unitario]])*Cocina[[#This Row],[Cantidad Ordenada]]</f>
        <v>8</v>
      </c>
      <c r="K711" s="4">
        <f>Cocina[[#This Row],[Ganancia neta]]/_xlfn.XLOOKUP(Cocina[[#This Row],[Número de Orden]],Sala[Número de Orden],Sala[Monto total],"fracaso",0,1)</f>
        <v>3.9800995024875621E-2</v>
      </c>
      <c r="L711" t="s">
        <v>607</v>
      </c>
    </row>
    <row r="712" spans="1:12" x14ac:dyDescent="0.25">
      <c r="A712">
        <v>279</v>
      </c>
      <c r="B712">
        <v>11</v>
      </c>
      <c r="C712" t="s">
        <v>42</v>
      </c>
      <c r="D712" t="s">
        <v>626</v>
      </c>
      <c r="E712">
        <v>16</v>
      </c>
      <c r="F712">
        <v>28</v>
      </c>
      <c r="G712">
        <v>1</v>
      </c>
      <c r="H712">
        <v>8</v>
      </c>
      <c r="I712">
        <f>Cocina[[#This Row],[Precio Unitario]]*Cocina[[#This Row],[Cantidad Ordenada]]</f>
        <v>28</v>
      </c>
      <c r="J712">
        <f>(Cocina[[#This Row],[Precio Unitario]]-Cocina[[#This Row],[Costo Unitario]])*Cocina[[#This Row],[Cantidad Ordenada]]</f>
        <v>12</v>
      </c>
      <c r="K712" s="4">
        <f>Cocina[[#This Row],[Ganancia neta]]/_xlfn.XLOOKUP(Cocina[[#This Row],[Número de Orden]],Sala[Número de Orden],Sala[Monto total],"fracaso",0,1)</f>
        <v>5.9701492537313432E-2</v>
      </c>
      <c r="L712" t="s">
        <v>607</v>
      </c>
    </row>
    <row r="713" spans="1:12" x14ac:dyDescent="0.25">
      <c r="A713">
        <v>280</v>
      </c>
      <c r="B713">
        <v>14</v>
      </c>
      <c r="C713" t="s">
        <v>158</v>
      </c>
      <c r="D713" t="s">
        <v>617</v>
      </c>
      <c r="E713">
        <v>14</v>
      </c>
      <c r="F713">
        <v>24</v>
      </c>
      <c r="G713">
        <v>2</v>
      </c>
      <c r="H713">
        <v>52</v>
      </c>
      <c r="I713">
        <f>Cocina[[#This Row],[Precio Unitario]]*Cocina[[#This Row],[Cantidad Ordenada]]</f>
        <v>48</v>
      </c>
      <c r="J713">
        <f>(Cocina[[#This Row],[Precio Unitario]]-Cocina[[#This Row],[Costo Unitario]])*Cocina[[#This Row],[Cantidad Ordenada]]</f>
        <v>20</v>
      </c>
      <c r="K713" s="4">
        <f>Cocina[[#This Row],[Ganancia neta]]/_xlfn.XLOOKUP(Cocina[[#This Row],[Número de Orden]],Sala[Número de Orden],Sala[Monto total],"fracaso",0,1)</f>
        <v>0.17094017094017094</v>
      </c>
      <c r="L713" t="s">
        <v>607</v>
      </c>
    </row>
    <row r="714" spans="1:12" x14ac:dyDescent="0.25">
      <c r="A714">
        <v>280</v>
      </c>
      <c r="B714">
        <v>14</v>
      </c>
      <c r="C714" t="s">
        <v>200</v>
      </c>
      <c r="D714" t="s">
        <v>633</v>
      </c>
      <c r="E714">
        <v>14</v>
      </c>
      <c r="F714">
        <v>23</v>
      </c>
      <c r="G714">
        <v>3</v>
      </c>
      <c r="H714">
        <v>34</v>
      </c>
      <c r="I714">
        <f>Cocina[[#This Row],[Precio Unitario]]*Cocina[[#This Row],[Cantidad Ordenada]]</f>
        <v>69</v>
      </c>
      <c r="J714">
        <f>(Cocina[[#This Row],[Precio Unitario]]-Cocina[[#This Row],[Costo Unitario]])*Cocina[[#This Row],[Cantidad Ordenada]]</f>
        <v>27</v>
      </c>
      <c r="K714" s="4">
        <f>Cocina[[#This Row],[Ganancia neta]]/_xlfn.XLOOKUP(Cocina[[#This Row],[Número de Orden]],Sala[Número de Orden],Sala[Monto total],"fracaso",0,1)</f>
        <v>0.23076923076923078</v>
      </c>
      <c r="L714" t="s">
        <v>607</v>
      </c>
    </row>
    <row r="715" spans="1:12" x14ac:dyDescent="0.25">
      <c r="A715">
        <v>281</v>
      </c>
      <c r="B715">
        <v>18</v>
      </c>
      <c r="C715" t="s">
        <v>261</v>
      </c>
      <c r="D715" t="s">
        <v>625</v>
      </c>
      <c r="E715">
        <v>20</v>
      </c>
      <c r="F715">
        <v>33</v>
      </c>
      <c r="G715">
        <v>2</v>
      </c>
      <c r="H715">
        <v>9</v>
      </c>
      <c r="I715">
        <f>Cocina[[#This Row],[Precio Unitario]]*Cocina[[#This Row],[Cantidad Ordenada]]</f>
        <v>66</v>
      </c>
      <c r="J715">
        <f>(Cocina[[#This Row],[Precio Unitario]]-Cocina[[#This Row],[Costo Unitario]])*Cocina[[#This Row],[Cantidad Ordenada]]</f>
        <v>26</v>
      </c>
      <c r="K715" s="4">
        <f>Cocina[[#This Row],[Ganancia neta]]/_xlfn.XLOOKUP(Cocina[[#This Row],[Número de Orden]],Sala[Número de Orden],Sala[Monto total],"fracaso",0,1)</f>
        <v>0.39393939393939392</v>
      </c>
      <c r="L715" t="s">
        <v>608</v>
      </c>
    </row>
    <row r="716" spans="1:12" x14ac:dyDescent="0.25">
      <c r="A716">
        <v>282</v>
      </c>
      <c r="B716">
        <v>6</v>
      </c>
      <c r="C716" t="s">
        <v>79</v>
      </c>
      <c r="D716" t="s">
        <v>635</v>
      </c>
      <c r="E716">
        <v>10</v>
      </c>
      <c r="F716">
        <v>18</v>
      </c>
      <c r="G716">
        <v>3</v>
      </c>
      <c r="H716">
        <v>57</v>
      </c>
      <c r="I716">
        <f>Cocina[[#This Row],[Precio Unitario]]*Cocina[[#This Row],[Cantidad Ordenada]]</f>
        <v>54</v>
      </c>
      <c r="J716">
        <f>(Cocina[[#This Row],[Precio Unitario]]-Cocina[[#This Row],[Costo Unitario]])*Cocina[[#This Row],[Cantidad Ordenada]]</f>
        <v>24</v>
      </c>
      <c r="K716" s="4">
        <f>Cocina[[#This Row],[Ganancia neta]]/_xlfn.XLOOKUP(Cocina[[#This Row],[Número de Orden]],Sala[Número de Orden],Sala[Monto total],"fracaso",0,1)</f>
        <v>0.32432432432432434</v>
      </c>
      <c r="L716" t="s">
        <v>608</v>
      </c>
    </row>
    <row r="717" spans="1:12" x14ac:dyDescent="0.25">
      <c r="A717">
        <v>282</v>
      </c>
      <c r="B717">
        <v>6</v>
      </c>
      <c r="C717" t="s">
        <v>146</v>
      </c>
      <c r="D717" t="s">
        <v>632</v>
      </c>
      <c r="E717">
        <v>12</v>
      </c>
      <c r="F717">
        <v>20</v>
      </c>
      <c r="G717">
        <v>1</v>
      </c>
      <c r="H717">
        <v>57</v>
      </c>
      <c r="I717">
        <f>Cocina[[#This Row],[Precio Unitario]]*Cocina[[#This Row],[Cantidad Ordenada]]</f>
        <v>20</v>
      </c>
      <c r="J717">
        <f>(Cocina[[#This Row],[Precio Unitario]]-Cocina[[#This Row],[Costo Unitario]])*Cocina[[#This Row],[Cantidad Ordenada]]</f>
        <v>8</v>
      </c>
      <c r="K717" s="4">
        <f>Cocina[[#This Row],[Ganancia neta]]/_xlfn.XLOOKUP(Cocina[[#This Row],[Número de Orden]],Sala[Número de Orden],Sala[Monto total],"fracaso",0,1)</f>
        <v>0.10810810810810811</v>
      </c>
      <c r="L717" t="s">
        <v>608</v>
      </c>
    </row>
    <row r="718" spans="1:12" x14ac:dyDescent="0.25">
      <c r="A718">
        <v>283</v>
      </c>
      <c r="B718">
        <v>19</v>
      </c>
      <c r="C718" t="s">
        <v>155</v>
      </c>
      <c r="D718" t="s">
        <v>636</v>
      </c>
      <c r="E718">
        <v>15</v>
      </c>
      <c r="F718">
        <v>26</v>
      </c>
      <c r="G718">
        <v>3</v>
      </c>
      <c r="H718">
        <v>6</v>
      </c>
      <c r="I718">
        <f>Cocina[[#This Row],[Precio Unitario]]*Cocina[[#This Row],[Cantidad Ordenada]]</f>
        <v>78</v>
      </c>
      <c r="J718">
        <f>(Cocina[[#This Row],[Precio Unitario]]-Cocina[[#This Row],[Costo Unitario]])*Cocina[[#This Row],[Cantidad Ordenada]]</f>
        <v>33</v>
      </c>
      <c r="K718" s="4">
        <f>Cocina[[#This Row],[Ganancia neta]]/_xlfn.XLOOKUP(Cocina[[#This Row],[Número de Orden]],Sala[Número de Orden],Sala[Monto total],"fracaso",0,1)</f>
        <v>0.42307692307692307</v>
      </c>
      <c r="L718" t="s">
        <v>607</v>
      </c>
    </row>
    <row r="719" spans="1:12" x14ac:dyDescent="0.25">
      <c r="A719">
        <v>284</v>
      </c>
      <c r="B719">
        <v>11</v>
      </c>
      <c r="C719" t="s">
        <v>146</v>
      </c>
      <c r="D719" t="s">
        <v>632</v>
      </c>
      <c r="E719">
        <v>12</v>
      </c>
      <c r="F719">
        <v>20</v>
      </c>
      <c r="G719">
        <v>3</v>
      </c>
      <c r="H719">
        <v>45</v>
      </c>
      <c r="I719">
        <f>Cocina[[#This Row],[Precio Unitario]]*Cocina[[#This Row],[Cantidad Ordenada]]</f>
        <v>60</v>
      </c>
      <c r="J719">
        <f>(Cocina[[#This Row],[Precio Unitario]]-Cocina[[#This Row],[Costo Unitario]])*Cocina[[#This Row],[Cantidad Ordenada]]</f>
        <v>24</v>
      </c>
      <c r="K719" s="4">
        <f>Cocina[[#This Row],[Ganancia neta]]/_xlfn.XLOOKUP(Cocina[[#This Row],[Número de Orden]],Sala[Número de Orden],Sala[Monto total],"fracaso",0,1)</f>
        <v>0.15189873417721519</v>
      </c>
      <c r="L719" t="s">
        <v>607</v>
      </c>
    </row>
    <row r="720" spans="1:12" x14ac:dyDescent="0.25">
      <c r="A720">
        <v>284</v>
      </c>
      <c r="B720">
        <v>11</v>
      </c>
      <c r="C720" t="s">
        <v>106</v>
      </c>
      <c r="D720" t="s">
        <v>621</v>
      </c>
      <c r="E720">
        <v>16</v>
      </c>
      <c r="F720">
        <v>27</v>
      </c>
      <c r="G720">
        <v>1</v>
      </c>
      <c r="H720">
        <v>59</v>
      </c>
      <c r="I720">
        <f>Cocina[[#This Row],[Precio Unitario]]*Cocina[[#This Row],[Cantidad Ordenada]]</f>
        <v>27</v>
      </c>
      <c r="J720">
        <f>(Cocina[[#This Row],[Precio Unitario]]-Cocina[[#This Row],[Costo Unitario]])*Cocina[[#This Row],[Cantidad Ordenada]]</f>
        <v>11</v>
      </c>
      <c r="K720" s="4">
        <f>Cocina[[#This Row],[Ganancia neta]]/_xlfn.XLOOKUP(Cocina[[#This Row],[Número de Orden]],Sala[Número de Orden],Sala[Monto total],"fracaso",0,1)</f>
        <v>6.9620253164556958E-2</v>
      </c>
      <c r="L720" t="s">
        <v>607</v>
      </c>
    </row>
    <row r="721" spans="1:12" x14ac:dyDescent="0.25">
      <c r="A721">
        <v>284</v>
      </c>
      <c r="B721">
        <v>11</v>
      </c>
      <c r="C721" t="s">
        <v>112</v>
      </c>
      <c r="D721" t="s">
        <v>627</v>
      </c>
      <c r="E721">
        <v>11</v>
      </c>
      <c r="F721">
        <v>19</v>
      </c>
      <c r="G721">
        <v>2</v>
      </c>
      <c r="H721">
        <v>41</v>
      </c>
      <c r="I721">
        <f>Cocina[[#This Row],[Precio Unitario]]*Cocina[[#This Row],[Cantidad Ordenada]]</f>
        <v>38</v>
      </c>
      <c r="J721">
        <f>(Cocina[[#This Row],[Precio Unitario]]-Cocina[[#This Row],[Costo Unitario]])*Cocina[[#This Row],[Cantidad Ordenada]]</f>
        <v>16</v>
      </c>
      <c r="K721" s="4">
        <f>Cocina[[#This Row],[Ganancia neta]]/_xlfn.XLOOKUP(Cocina[[#This Row],[Número de Orden]],Sala[Número de Orden],Sala[Monto total],"fracaso",0,1)</f>
        <v>0.10126582278481013</v>
      </c>
      <c r="L721" t="s">
        <v>607</v>
      </c>
    </row>
    <row r="722" spans="1:12" x14ac:dyDescent="0.25">
      <c r="A722">
        <v>284</v>
      </c>
      <c r="B722">
        <v>11</v>
      </c>
      <c r="C722" t="s">
        <v>261</v>
      </c>
      <c r="D722" t="s">
        <v>625</v>
      </c>
      <c r="E722">
        <v>20</v>
      </c>
      <c r="F722">
        <v>33</v>
      </c>
      <c r="G722">
        <v>1</v>
      </c>
      <c r="H722">
        <v>50</v>
      </c>
      <c r="I722">
        <f>Cocina[[#This Row],[Precio Unitario]]*Cocina[[#This Row],[Cantidad Ordenada]]</f>
        <v>33</v>
      </c>
      <c r="J722">
        <f>(Cocina[[#This Row],[Precio Unitario]]-Cocina[[#This Row],[Costo Unitario]])*Cocina[[#This Row],[Cantidad Ordenada]]</f>
        <v>13</v>
      </c>
      <c r="K722" s="4">
        <f>Cocina[[#This Row],[Ganancia neta]]/_xlfn.XLOOKUP(Cocina[[#This Row],[Número de Orden]],Sala[Número de Orden],Sala[Monto total],"fracaso",0,1)</f>
        <v>8.2278481012658222E-2</v>
      </c>
      <c r="L722" t="s">
        <v>608</v>
      </c>
    </row>
    <row r="723" spans="1:12" x14ac:dyDescent="0.25">
      <c r="A723">
        <v>285</v>
      </c>
      <c r="B723">
        <v>18</v>
      </c>
      <c r="C723" t="s">
        <v>70</v>
      </c>
      <c r="D723" t="s">
        <v>634</v>
      </c>
      <c r="E723">
        <v>13</v>
      </c>
      <c r="F723">
        <v>21</v>
      </c>
      <c r="G723">
        <v>2</v>
      </c>
      <c r="H723">
        <v>12</v>
      </c>
      <c r="I723">
        <f>Cocina[[#This Row],[Precio Unitario]]*Cocina[[#This Row],[Cantidad Ordenada]]</f>
        <v>42</v>
      </c>
      <c r="J723">
        <f>(Cocina[[#This Row],[Precio Unitario]]-Cocina[[#This Row],[Costo Unitario]])*Cocina[[#This Row],[Cantidad Ordenada]]</f>
        <v>16</v>
      </c>
      <c r="K723" s="4">
        <f>Cocina[[#This Row],[Ganancia neta]]/_xlfn.XLOOKUP(Cocina[[#This Row],[Número de Orden]],Sala[Número de Orden],Sala[Monto total],"fracaso",0,1)</f>
        <v>0.38095238095238093</v>
      </c>
      <c r="L723" t="s">
        <v>608</v>
      </c>
    </row>
    <row r="724" spans="1:12" x14ac:dyDescent="0.25">
      <c r="A724">
        <v>286</v>
      </c>
      <c r="B724">
        <v>15</v>
      </c>
      <c r="C724" t="s">
        <v>55</v>
      </c>
      <c r="D724" t="s">
        <v>631</v>
      </c>
      <c r="E724">
        <v>20</v>
      </c>
      <c r="F724">
        <v>34</v>
      </c>
      <c r="G724">
        <v>2</v>
      </c>
      <c r="H724">
        <v>25</v>
      </c>
      <c r="I724">
        <f>Cocina[[#This Row],[Precio Unitario]]*Cocina[[#This Row],[Cantidad Ordenada]]</f>
        <v>68</v>
      </c>
      <c r="J724">
        <f>(Cocina[[#This Row],[Precio Unitario]]-Cocina[[#This Row],[Costo Unitario]])*Cocina[[#This Row],[Cantidad Ordenada]]</f>
        <v>28</v>
      </c>
      <c r="K724" s="4">
        <f>Cocina[[#This Row],[Ganancia neta]]/_xlfn.XLOOKUP(Cocina[[#This Row],[Número de Orden]],Sala[Número de Orden],Sala[Monto total],"fracaso",0,1)</f>
        <v>0.41176470588235292</v>
      </c>
      <c r="L724" t="s">
        <v>607</v>
      </c>
    </row>
    <row r="725" spans="1:12" x14ac:dyDescent="0.25">
      <c r="A725">
        <v>287</v>
      </c>
      <c r="B725">
        <v>20</v>
      </c>
      <c r="C725" t="s">
        <v>247</v>
      </c>
      <c r="D725" t="s">
        <v>629</v>
      </c>
      <c r="E725">
        <v>19</v>
      </c>
      <c r="F725">
        <v>32</v>
      </c>
      <c r="G725">
        <v>3</v>
      </c>
      <c r="H725">
        <v>46</v>
      </c>
      <c r="I725">
        <f>Cocina[[#This Row],[Precio Unitario]]*Cocina[[#This Row],[Cantidad Ordenada]]</f>
        <v>96</v>
      </c>
      <c r="J725">
        <f>(Cocina[[#This Row],[Precio Unitario]]-Cocina[[#This Row],[Costo Unitario]])*Cocina[[#This Row],[Cantidad Ordenada]]</f>
        <v>39</v>
      </c>
      <c r="K725" s="4">
        <f>Cocina[[#This Row],[Ganancia neta]]/_xlfn.XLOOKUP(Cocina[[#This Row],[Número de Orden]],Sala[Número de Orden],Sala[Monto total],"fracaso",0,1)</f>
        <v>0.19306930693069307</v>
      </c>
      <c r="L725" t="s">
        <v>607</v>
      </c>
    </row>
    <row r="726" spans="1:12" x14ac:dyDescent="0.25">
      <c r="A726">
        <v>287</v>
      </c>
      <c r="B726">
        <v>20</v>
      </c>
      <c r="C726" t="s">
        <v>200</v>
      </c>
      <c r="D726" t="s">
        <v>633</v>
      </c>
      <c r="E726">
        <v>14</v>
      </c>
      <c r="F726">
        <v>23</v>
      </c>
      <c r="G726">
        <v>2</v>
      </c>
      <c r="H726">
        <v>58</v>
      </c>
      <c r="I726">
        <f>Cocina[[#This Row],[Precio Unitario]]*Cocina[[#This Row],[Cantidad Ordenada]]</f>
        <v>46</v>
      </c>
      <c r="J726">
        <f>(Cocina[[#This Row],[Precio Unitario]]-Cocina[[#This Row],[Costo Unitario]])*Cocina[[#This Row],[Cantidad Ordenada]]</f>
        <v>18</v>
      </c>
      <c r="K726" s="4">
        <f>Cocina[[#This Row],[Ganancia neta]]/_xlfn.XLOOKUP(Cocina[[#This Row],[Número de Orden]],Sala[Número de Orden],Sala[Monto total],"fracaso",0,1)</f>
        <v>8.9108910891089105E-2</v>
      </c>
      <c r="L726" t="s">
        <v>607</v>
      </c>
    </row>
    <row r="727" spans="1:12" x14ac:dyDescent="0.25">
      <c r="A727">
        <v>287</v>
      </c>
      <c r="B727">
        <v>20</v>
      </c>
      <c r="C727" t="s">
        <v>68</v>
      </c>
      <c r="D727" t="s">
        <v>619</v>
      </c>
      <c r="E727">
        <v>18</v>
      </c>
      <c r="F727">
        <v>30</v>
      </c>
      <c r="G727">
        <v>2</v>
      </c>
      <c r="H727">
        <v>17</v>
      </c>
      <c r="I727">
        <f>Cocina[[#This Row],[Precio Unitario]]*Cocina[[#This Row],[Cantidad Ordenada]]</f>
        <v>60</v>
      </c>
      <c r="J727">
        <f>(Cocina[[#This Row],[Precio Unitario]]-Cocina[[#This Row],[Costo Unitario]])*Cocina[[#This Row],[Cantidad Ordenada]]</f>
        <v>24</v>
      </c>
      <c r="K727" s="4">
        <f>Cocina[[#This Row],[Ganancia neta]]/_xlfn.XLOOKUP(Cocina[[#This Row],[Número de Orden]],Sala[Número de Orden],Sala[Monto total],"fracaso",0,1)</f>
        <v>0.11881188118811881</v>
      </c>
      <c r="L727" t="s">
        <v>608</v>
      </c>
    </row>
    <row r="728" spans="1:12" x14ac:dyDescent="0.25">
      <c r="A728">
        <v>288</v>
      </c>
      <c r="B728">
        <v>15</v>
      </c>
      <c r="C728" t="s">
        <v>158</v>
      </c>
      <c r="D728" t="s">
        <v>617</v>
      </c>
      <c r="E728">
        <v>14</v>
      </c>
      <c r="F728">
        <v>24</v>
      </c>
      <c r="G728">
        <v>2</v>
      </c>
      <c r="H728">
        <v>6</v>
      </c>
      <c r="I728">
        <f>Cocina[[#This Row],[Precio Unitario]]*Cocina[[#This Row],[Cantidad Ordenada]]</f>
        <v>48</v>
      </c>
      <c r="J728">
        <f>(Cocina[[#This Row],[Precio Unitario]]-Cocina[[#This Row],[Costo Unitario]])*Cocina[[#This Row],[Cantidad Ordenada]]</f>
        <v>20</v>
      </c>
      <c r="K728" s="4">
        <f>Cocina[[#This Row],[Ganancia neta]]/_xlfn.XLOOKUP(Cocina[[#This Row],[Número de Orden]],Sala[Número de Orden],Sala[Monto total],"fracaso",0,1)</f>
        <v>0.23255813953488372</v>
      </c>
      <c r="L728" t="s">
        <v>608</v>
      </c>
    </row>
    <row r="729" spans="1:12" x14ac:dyDescent="0.25">
      <c r="A729">
        <v>288</v>
      </c>
      <c r="B729">
        <v>15</v>
      </c>
      <c r="C729" t="s">
        <v>112</v>
      </c>
      <c r="D729" t="s">
        <v>627</v>
      </c>
      <c r="E729">
        <v>11</v>
      </c>
      <c r="F729">
        <v>19</v>
      </c>
      <c r="G729">
        <v>2</v>
      </c>
      <c r="H729">
        <v>32</v>
      </c>
      <c r="I729">
        <f>Cocina[[#This Row],[Precio Unitario]]*Cocina[[#This Row],[Cantidad Ordenada]]</f>
        <v>38</v>
      </c>
      <c r="J729">
        <f>(Cocina[[#This Row],[Precio Unitario]]-Cocina[[#This Row],[Costo Unitario]])*Cocina[[#This Row],[Cantidad Ordenada]]</f>
        <v>16</v>
      </c>
      <c r="K729" s="4">
        <f>Cocina[[#This Row],[Ganancia neta]]/_xlfn.XLOOKUP(Cocina[[#This Row],[Número de Orden]],Sala[Número de Orden],Sala[Monto total],"fracaso",0,1)</f>
        <v>0.18604651162790697</v>
      </c>
      <c r="L729" t="s">
        <v>607</v>
      </c>
    </row>
    <row r="730" spans="1:12" x14ac:dyDescent="0.25">
      <c r="A730">
        <v>289</v>
      </c>
      <c r="B730">
        <v>15</v>
      </c>
      <c r="C730" t="s">
        <v>146</v>
      </c>
      <c r="D730" t="s">
        <v>632</v>
      </c>
      <c r="E730">
        <v>12</v>
      </c>
      <c r="F730">
        <v>20</v>
      </c>
      <c r="G730">
        <v>3</v>
      </c>
      <c r="H730">
        <v>20</v>
      </c>
      <c r="I730">
        <f>Cocina[[#This Row],[Precio Unitario]]*Cocina[[#This Row],[Cantidad Ordenada]]</f>
        <v>60</v>
      </c>
      <c r="J730">
        <f>(Cocina[[#This Row],[Precio Unitario]]-Cocina[[#This Row],[Costo Unitario]])*Cocina[[#This Row],[Cantidad Ordenada]]</f>
        <v>24</v>
      </c>
      <c r="K730" s="4">
        <f>Cocina[[#This Row],[Ganancia neta]]/_xlfn.XLOOKUP(Cocina[[#This Row],[Número de Orden]],Sala[Número de Orden],Sala[Monto total],"fracaso",0,1)</f>
        <v>0.17391304347826086</v>
      </c>
      <c r="L730" t="s">
        <v>607</v>
      </c>
    </row>
    <row r="731" spans="1:12" x14ac:dyDescent="0.25">
      <c r="A731">
        <v>289</v>
      </c>
      <c r="B731">
        <v>15</v>
      </c>
      <c r="C731" t="s">
        <v>155</v>
      </c>
      <c r="D731" t="s">
        <v>636</v>
      </c>
      <c r="E731">
        <v>15</v>
      </c>
      <c r="F731">
        <v>26</v>
      </c>
      <c r="G731">
        <v>3</v>
      </c>
      <c r="H731">
        <v>48</v>
      </c>
      <c r="I731">
        <f>Cocina[[#This Row],[Precio Unitario]]*Cocina[[#This Row],[Cantidad Ordenada]]</f>
        <v>78</v>
      </c>
      <c r="J731">
        <f>(Cocina[[#This Row],[Precio Unitario]]-Cocina[[#This Row],[Costo Unitario]])*Cocina[[#This Row],[Cantidad Ordenada]]</f>
        <v>33</v>
      </c>
      <c r="K731" s="4">
        <f>Cocina[[#This Row],[Ganancia neta]]/_xlfn.XLOOKUP(Cocina[[#This Row],[Número de Orden]],Sala[Número de Orden],Sala[Monto total],"fracaso",0,1)</f>
        <v>0.2391304347826087</v>
      </c>
      <c r="L731" t="s">
        <v>608</v>
      </c>
    </row>
    <row r="732" spans="1:12" x14ac:dyDescent="0.25">
      <c r="A732">
        <v>290</v>
      </c>
      <c r="B732">
        <v>19</v>
      </c>
      <c r="C732" t="s">
        <v>48</v>
      </c>
      <c r="D732" t="s">
        <v>622</v>
      </c>
      <c r="E732">
        <v>25</v>
      </c>
      <c r="F732">
        <v>40</v>
      </c>
      <c r="G732">
        <v>1</v>
      </c>
      <c r="H732">
        <v>57</v>
      </c>
      <c r="I732">
        <f>Cocina[[#This Row],[Precio Unitario]]*Cocina[[#This Row],[Cantidad Ordenada]]</f>
        <v>40</v>
      </c>
      <c r="J732">
        <f>(Cocina[[#This Row],[Precio Unitario]]-Cocina[[#This Row],[Costo Unitario]])*Cocina[[#This Row],[Cantidad Ordenada]]</f>
        <v>15</v>
      </c>
      <c r="K732" s="4">
        <f>Cocina[[#This Row],[Ganancia neta]]/_xlfn.XLOOKUP(Cocina[[#This Row],[Número de Orden]],Sala[Número de Orden],Sala[Monto total],"fracaso",0,1)</f>
        <v>0.375</v>
      </c>
      <c r="L732" t="s">
        <v>607</v>
      </c>
    </row>
    <row r="733" spans="1:12" x14ac:dyDescent="0.25">
      <c r="A733">
        <v>291</v>
      </c>
      <c r="B733">
        <v>2</v>
      </c>
      <c r="C733" t="s">
        <v>55</v>
      </c>
      <c r="D733" t="s">
        <v>631</v>
      </c>
      <c r="E733">
        <v>20</v>
      </c>
      <c r="F733">
        <v>34</v>
      </c>
      <c r="G733">
        <v>2</v>
      </c>
      <c r="H733">
        <v>28</v>
      </c>
      <c r="I733">
        <f>Cocina[[#This Row],[Precio Unitario]]*Cocina[[#This Row],[Cantidad Ordenada]]</f>
        <v>68</v>
      </c>
      <c r="J733">
        <f>(Cocina[[#This Row],[Precio Unitario]]-Cocina[[#This Row],[Costo Unitario]])*Cocina[[#This Row],[Cantidad Ordenada]]</f>
        <v>28</v>
      </c>
      <c r="K733" s="4">
        <f>Cocina[[#This Row],[Ganancia neta]]/_xlfn.XLOOKUP(Cocina[[#This Row],[Número de Orden]],Sala[Número de Orden],Sala[Monto total],"fracaso",0,1)</f>
        <v>0.1076923076923077</v>
      </c>
      <c r="L733" t="s">
        <v>608</v>
      </c>
    </row>
    <row r="734" spans="1:12" x14ac:dyDescent="0.25">
      <c r="A734">
        <v>291</v>
      </c>
      <c r="B734">
        <v>2</v>
      </c>
      <c r="C734" t="s">
        <v>122</v>
      </c>
      <c r="D734" t="s">
        <v>637</v>
      </c>
      <c r="E734">
        <v>15</v>
      </c>
      <c r="F734">
        <v>25</v>
      </c>
      <c r="G734">
        <v>1</v>
      </c>
      <c r="H734">
        <v>41</v>
      </c>
      <c r="I734">
        <f>Cocina[[#This Row],[Precio Unitario]]*Cocina[[#This Row],[Cantidad Ordenada]]</f>
        <v>25</v>
      </c>
      <c r="J734">
        <f>(Cocina[[#This Row],[Precio Unitario]]-Cocina[[#This Row],[Costo Unitario]])*Cocina[[#This Row],[Cantidad Ordenada]]</f>
        <v>10</v>
      </c>
      <c r="K734" s="4">
        <f>Cocina[[#This Row],[Ganancia neta]]/_xlfn.XLOOKUP(Cocina[[#This Row],[Número de Orden]],Sala[Número de Orden],Sala[Monto total],"fracaso",0,1)</f>
        <v>3.8461538461538464E-2</v>
      </c>
      <c r="L734" t="s">
        <v>607</v>
      </c>
    </row>
    <row r="735" spans="1:12" x14ac:dyDescent="0.25">
      <c r="A735">
        <v>291</v>
      </c>
      <c r="B735">
        <v>2</v>
      </c>
      <c r="C735" t="s">
        <v>26</v>
      </c>
      <c r="D735" t="s">
        <v>628</v>
      </c>
      <c r="E735">
        <v>21</v>
      </c>
      <c r="F735">
        <v>35</v>
      </c>
      <c r="G735">
        <v>3</v>
      </c>
      <c r="H735">
        <v>12</v>
      </c>
      <c r="I735">
        <f>Cocina[[#This Row],[Precio Unitario]]*Cocina[[#This Row],[Cantidad Ordenada]]</f>
        <v>105</v>
      </c>
      <c r="J735">
        <f>(Cocina[[#This Row],[Precio Unitario]]-Cocina[[#This Row],[Costo Unitario]])*Cocina[[#This Row],[Cantidad Ordenada]]</f>
        <v>42</v>
      </c>
      <c r="K735" s="4">
        <f>Cocina[[#This Row],[Ganancia neta]]/_xlfn.XLOOKUP(Cocina[[#This Row],[Número de Orden]],Sala[Número de Orden],Sala[Monto total],"fracaso",0,1)</f>
        <v>0.16153846153846155</v>
      </c>
      <c r="L735" t="s">
        <v>608</v>
      </c>
    </row>
    <row r="736" spans="1:12" x14ac:dyDescent="0.25">
      <c r="A736">
        <v>291</v>
      </c>
      <c r="B736">
        <v>2</v>
      </c>
      <c r="C736" t="s">
        <v>116</v>
      </c>
      <c r="D736" t="s">
        <v>620</v>
      </c>
      <c r="E736">
        <v>19</v>
      </c>
      <c r="F736">
        <v>31</v>
      </c>
      <c r="G736">
        <v>2</v>
      </c>
      <c r="H736">
        <v>14</v>
      </c>
      <c r="I736">
        <f>Cocina[[#This Row],[Precio Unitario]]*Cocina[[#This Row],[Cantidad Ordenada]]</f>
        <v>62</v>
      </c>
      <c r="J736">
        <f>(Cocina[[#This Row],[Precio Unitario]]-Cocina[[#This Row],[Costo Unitario]])*Cocina[[#This Row],[Cantidad Ordenada]]</f>
        <v>24</v>
      </c>
      <c r="K736" s="4">
        <f>Cocina[[#This Row],[Ganancia neta]]/_xlfn.XLOOKUP(Cocina[[#This Row],[Número de Orden]],Sala[Número de Orden],Sala[Monto total],"fracaso",0,1)</f>
        <v>9.2307692307692313E-2</v>
      </c>
      <c r="L736" t="s">
        <v>607</v>
      </c>
    </row>
    <row r="737" spans="1:12" x14ac:dyDescent="0.25">
      <c r="A737">
        <v>292</v>
      </c>
      <c r="B737">
        <v>10</v>
      </c>
      <c r="C737" t="s">
        <v>42</v>
      </c>
      <c r="D737" t="s">
        <v>626</v>
      </c>
      <c r="E737">
        <v>16</v>
      </c>
      <c r="F737">
        <v>28</v>
      </c>
      <c r="G737">
        <v>3</v>
      </c>
      <c r="H737">
        <v>23</v>
      </c>
      <c r="I737">
        <f>Cocina[[#This Row],[Precio Unitario]]*Cocina[[#This Row],[Cantidad Ordenada]]</f>
        <v>84</v>
      </c>
      <c r="J737">
        <f>(Cocina[[#This Row],[Precio Unitario]]-Cocina[[#This Row],[Costo Unitario]])*Cocina[[#This Row],[Cantidad Ordenada]]</f>
        <v>36</v>
      </c>
      <c r="K737" s="4">
        <f>Cocina[[#This Row],[Ganancia neta]]/_xlfn.XLOOKUP(Cocina[[#This Row],[Número de Orden]],Sala[Número de Orden],Sala[Monto total],"fracaso",0,1)</f>
        <v>0.42857142857142855</v>
      </c>
      <c r="L737" t="s">
        <v>608</v>
      </c>
    </row>
    <row r="738" spans="1:12" x14ac:dyDescent="0.25">
      <c r="A738">
        <v>293</v>
      </c>
      <c r="B738">
        <v>16</v>
      </c>
      <c r="C738" t="s">
        <v>42</v>
      </c>
      <c r="D738" t="s">
        <v>626</v>
      </c>
      <c r="E738">
        <v>16</v>
      </c>
      <c r="F738">
        <v>28</v>
      </c>
      <c r="G738">
        <v>3</v>
      </c>
      <c r="H738">
        <v>44</v>
      </c>
      <c r="I738">
        <f>Cocina[[#This Row],[Precio Unitario]]*Cocina[[#This Row],[Cantidad Ordenada]]</f>
        <v>84</v>
      </c>
      <c r="J738">
        <f>(Cocina[[#This Row],[Precio Unitario]]-Cocina[[#This Row],[Costo Unitario]])*Cocina[[#This Row],[Cantidad Ordenada]]</f>
        <v>36</v>
      </c>
      <c r="K738" s="4">
        <f>Cocina[[#This Row],[Ganancia neta]]/_xlfn.XLOOKUP(Cocina[[#This Row],[Número de Orden]],Sala[Número de Orden],Sala[Monto total],"fracaso",0,1)</f>
        <v>0.16666666666666666</v>
      </c>
      <c r="L738" t="s">
        <v>607</v>
      </c>
    </row>
    <row r="739" spans="1:12" x14ac:dyDescent="0.25">
      <c r="A739">
        <v>293</v>
      </c>
      <c r="B739">
        <v>16</v>
      </c>
      <c r="C739" t="s">
        <v>68</v>
      </c>
      <c r="D739" t="s">
        <v>619</v>
      </c>
      <c r="E739">
        <v>18</v>
      </c>
      <c r="F739">
        <v>30</v>
      </c>
      <c r="G739">
        <v>2</v>
      </c>
      <c r="H739">
        <v>29</v>
      </c>
      <c r="I739">
        <f>Cocina[[#This Row],[Precio Unitario]]*Cocina[[#This Row],[Cantidad Ordenada]]</f>
        <v>60</v>
      </c>
      <c r="J739">
        <f>(Cocina[[#This Row],[Precio Unitario]]-Cocina[[#This Row],[Costo Unitario]])*Cocina[[#This Row],[Cantidad Ordenada]]</f>
        <v>24</v>
      </c>
      <c r="K739" s="4">
        <f>Cocina[[#This Row],[Ganancia neta]]/_xlfn.XLOOKUP(Cocina[[#This Row],[Número de Orden]],Sala[Número de Orden],Sala[Monto total],"fracaso",0,1)</f>
        <v>0.1111111111111111</v>
      </c>
      <c r="L739" t="s">
        <v>607</v>
      </c>
    </row>
    <row r="740" spans="1:12" x14ac:dyDescent="0.25">
      <c r="A740">
        <v>293</v>
      </c>
      <c r="B740">
        <v>16</v>
      </c>
      <c r="C740" t="s">
        <v>73</v>
      </c>
      <c r="D740" t="s">
        <v>623</v>
      </c>
      <c r="E740">
        <v>22</v>
      </c>
      <c r="F740">
        <v>36</v>
      </c>
      <c r="G740">
        <v>2</v>
      </c>
      <c r="H740">
        <v>47</v>
      </c>
      <c r="I740">
        <f>Cocina[[#This Row],[Precio Unitario]]*Cocina[[#This Row],[Cantidad Ordenada]]</f>
        <v>72</v>
      </c>
      <c r="J740">
        <f>(Cocina[[#This Row],[Precio Unitario]]-Cocina[[#This Row],[Costo Unitario]])*Cocina[[#This Row],[Cantidad Ordenada]]</f>
        <v>28</v>
      </c>
      <c r="K740" s="4">
        <f>Cocina[[#This Row],[Ganancia neta]]/_xlfn.XLOOKUP(Cocina[[#This Row],[Número de Orden]],Sala[Número de Orden],Sala[Monto total],"fracaso",0,1)</f>
        <v>0.12962962962962962</v>
      </c>
      <c r="L740" t="s">
        <v>607</v>
      </c>
    </row>
    <row r="741" spans="1:12" x14ac:dyDescent="0.25">
      <c r="A741">
        <v>294</v>
      </c>
      <c r="B741">
        <v>17</v>
      </c>
      <c r="C741" t="s">
        <v>116</v>
      </c>
      <c r="D741" t="s">
        <v>620</v>
      </c>
      <c r="E741">
        <v>19</v>
      </c>
      <c r="F741">
        <v>31</v>
      </c>
      <c r="G741">
        <v>2</v>
      </c>
      <c r="H741">
        <v>31</v>
      </c>
      <c r="I741">
        <f>Cocina[[#This Row],[Precio Unitario]]*Cocina[[#This Row],[Cantidad Ordenada]]</f>
        <v>62</v>
      </c>
      <c r="J741">
        <f>(Cocina[[#This Row],[Precio Unitario]]-Cocina[[#This Row],[Costo Unitario]])*Cocina[[#This Row],[Cantidad Ordenada]]</f>
        <v>24</v>
      </c>
      <c r="K741" s="4">
        <f>Cocina[[#This Row],[Ganancia neta]]/_xlfn.XLOOKUP(Cocina[[#This Row],[Número de Orden]],Sala[Número de Orden],Sala[Monto total],"fracaso",0,1)</f>
        <v>7.3619631901840496E-2</v>
      </c>
      <c r="L741" t="s">
        <v>608</v>
      </c>
    </row>
    <row r="742" spans="1:12" x14ac:dyDescent="0.25">
      <c r="A742">
        <v>294</v>
      </c>
      <c r="B742">
        <v>17</v>
      </c>
      <c r="C742" t="s">
        <v>73</v>
      </c>
      <c r="D742" t="s">
        <v>623</v>
      </c>
      <c r="E742">
        <v>22</v>
      </c>
      <c r="F742">
        <v>36</v>
      </c>
      <c r="G742">
        <v>3</v>
      </c>
      <c r="H742">
        <v>13</v>
      </c>
      <c r="I742">
        <f>Cocina[[#This Row],[Precio Unitario]]*Cocina[[#This Row],[Cantidad Ordenada]]</f>
        <v>108</v>
      </c>
      <c r="J742">
        <f>(Cocina[[#This Row],[Precio Unitario]]-Cocina[[#This Row],[Costo Unitario]])*Cocina[[#This Row],[Cantidad Ordenada]]</f>
        <v>42</v>
      </c>
      <c r="K742" s="4">
        <f>Cocina[[#This Row],[Ganancia neta]]/_xlfn.XLOOKUP(Cocina[[#This Row],[Número de Orden]],Sala[Número de Orden],Sala[Monto total],"fracaso",0,1)</f>
        <v>0.12883435582822086</v>
      </c>
      <c r="L742" t="s">
        <v>607</v>
      </c>
    </row>
    <row r="743" spans="1:12" x14ac:dyDescent="0.25">
      <c r="A743">
        <v>294</v>
      </c>
      <c r="B743">
        <v>17</v>
      </c>
      <c r="C743" t="s">
        <v>79</v>
      </c>
      <c r="D743" t="s">
        <v>635</v>
      </c>
      <c r="E743">
        <v>10</v>
      </c>
      <c r="F743">
        <v>18</v>
      </c>
      <c r="G743">
        <v>3</v>
      </c>
      <c r="H743">
        <v>33</v>
      </c>
      <c r="I743">
        <f>Cocina[[#This Row],[Precio Unitario]]*Cocina[[#This Row],[Cantidad Ordenada]]</f>
        <v>54</v>
      </c>
      <c r="J743">
        <f>(Cocina[[#This Row],[Precio Unitario]]-Cocina[[#This Row],[Costo Unitario]])*Cocina[[#This Row],[Cantidad Ordenada]]</f>
        <v>24</v>
      </c>
      <c r="K743" s="4">
        <f>Cocina[[#This Row],[Ganancia neta]]/_xlfn.XLOOKUP(Cocina[[#This Row],[Número de Orden]],Sala[Número de Orden],Sala[Monto total],"fracaso",0,1)</f>
        <v>7.3619631901840496E-2</v>
      </c>
      <c r="L743" t="s">
        <v>607</v>
      </c>
    </row>
    <row r="744" spans="1:12" x14ac:dyDescent="0.25">
      <c r="A744">
        <v>294</v>
      </c>
      <c r="B744">
        <v>17</v>
      </c>
      <c r="C744" t="s">
        <v>55</v>
      </c>
      <c r="D744" t="s">
        <v>631</v>
      </c>
      <c r="E744">
        <v>20</v>
      </c>
      <c r="F744">
        <v>34</v>
      </c>
      <c r="G744">
        <v>3</v>
      </c>
      <c r="H744">
        <v>9</v>
      </c>
      <c r="I744">
        <f>Cocina[[#This Row],[Precio Unitario]]*Cocina[[#This Row],[Cantidad Ordenada]]</f>
        <v>102</v>
      </c>
      <c r="J744">
        <f>(Cocina[[#This Row],[Precio Unitario]]-Cocina[[#This Row],[Costo Unitario]])*Cocina[[#This Row],[Cantidad Ordenada]]</f>
        <v>42</v>
      </c>
      <c r="K744" s="4">
        <f>Cocina[[#This Row],[Ganancia neta]]/_xlfn.XLOOKUP(Cocina[[#This Row],[Número de Orden]],Sala[Número de Orden],Sala[Monto total],"fracaso",0,1)</f>
        <v>0.12883435582822086</v>
      </c>
      <c r="L744" t="s">
        <v>608</v>
      </c>
    </row>
    <row r="745" spans="1:12" x14ac:dyDescent="0.25">
      <c r="A745">
        <v>295</v>
      </c>
      <c r="B745">
        <v>3</v>
      </c>
      <c r="C745" t="s">
        <v>247</v>
      </c>
      <c r="D745" t="s">
        <v>629</v>
      </c>
      <c r="E745">
        <v>19</v>
      </c>
      <c r="F745">
        <v>32</v>
      </c>
      <c r="G745">
        <v>1</v>
      </c>
      <c r="H745">
        <v>44</v>
      </c>
      <c r="I745">
        <f>Cocina[[#This Row],[Precio Unitario]]*Cocina[[#This Row],[Cantidad Ordenada]]</f>
        <v>32</v>
      </c>
      <c r="J745">
        <f>(Cocina[[#This Row],[Precio Unitario]]-Cocina[[#This Row],[Costo Unitario]])*Cocina[[#This Row],[Cantidad Ordenada]]</f>
        <v>13</v>
      </c>
      <c r="K745" s="4">
        <f>Cocina[[#This Row],[Ganancia neta]]/_xlfn.XLOOKUP(Cocina[[#This Row],[Número de Orden]],Sala[Número de Orden],Sala[Monto total],"fracaso",0,1)</f>
        <v>5.2631578947368418E-2</v>
      </c>
      <c r="L745" t="s">
        <v>608</v>
      </c>
    </row>
    <row r="746" spans="1:12" x14ac:dyDescent="0.25">
      <c r="A746">
        <v>295</v>
      </c>
      <c r="B746">
        <v>3</v>
      </c>
      <c r="C746" t="s">
        <v>68</v>
      </c>
      <c r="D746" t="s">
        <v>619</v>
      </c>
      <c r="E746">
        <v>18</v>
      </c>
      <c r="F746">
        <v>30</v>
      </c>
      <c r="G746">
        <v>3</v>
      </c>
      <c r="H746">
        <v>35</v>
      </c>
      <c r="I746">
        <f>Cocina[[#This Row],[Precio Unitario]]*Cocina[[#This Row],[Cantidad Ordenada]]</f>
        <v>90</v>
      </c>
      <c r="J746">
        <f>(Cocina[[#This Row],[Precio Unitario]]-Cocina[[#This Row],[Costo Unitario]])*Cocina[[#This Row],[Cantidad Ordenada]]</f>
        <v>36</v>
      </c>
      <c r="K746" s="4">
        <f>Cocina[[#This Row],[Ganancia neta]]/_xlfn.XLOOKUP(Cocina[[#This Row],[Número de Orden]],Sala[Número de Orden],Sala[Monto total],"fracaso",0,1)</f>
        <v>0.145748987854251</v>
      </c>
      <c r="L746" t="s">
        <v>607</v>
      </c>
    </row>
    <row r="747" spans="1:12" x14ac:dyDescent="0.25">
      <c r="A747">
        <v>295</v>
      </c>
      <c r="B747">
        <v>3</v>
      </c>
      <c r="C747" t="s">
        <v>116</v>
      </c>
      <c r="D747" t="s">
        <v>620</v>
      </c>
      <c r="E747">
        <v>19</v>
      </c>
      <c r="F747">
        <v>31</v>
      </c>
      <c r="G747">
        <v>2</v>
      </c>
      <c r="H747">
        <v>39</v>
      </c>
      <c r="I747">
        <f>Cocina[[#This Row],[Precio Unitario]]*Cocina[[#This Row],[Cantidad Ordenada]]</f>
        <v>62</v>
      </c>
      <c r="J747">
        <f>(Cocina[[#This Row],[Precio Unitario]]-Cocina[[#This Row],[Costo Unitario]])*Cocina[[#This Row],[Cantidad Ordenada]]</f>
        <v>24</v>
      </c>
      <c r="K747" s="4">
        <f>Cocina[[#This Row],[Ganancia neta]]/_xlfn.XLOOKUP(Cocina[[#This Row],[Número de Orden]],Sala[Número de Orden],Sala[Monto total],"fracaso",0,1)</f>
        <v>9.7165991902834009E-2</v>
      </c>
      <c r="L747" t="s">
        <v>608</v>
      </c>
    </row>
    <row r="748" spans="1:12" x14ac:dyDescent="0.25">
      <c r="A748">
        <v>295</v>
      </c>
      <c r="B748">
        <v>3</v>
      </c>
      <c r="C748" t="s">
        <v>70</v>
      </c>
      <c r="D748" t="s">
        <v>634</v>
      </c>
      <c r="E748">
        <v>13</v>
      </c>
      <c r="F748">
        <v>21</v>
      </c>
      <c r="G748">
        <v>3</v>
      </c>
      <c r="H748">
        <v>59</v>
      </c>
      <c r="I748">
        <f>Cocina[[#This Row],[Precio Unitario]]*Cocina[[#This Row],[Cantidad Ordenada]]</f>
        <v>63</v>
      </c>
      <c r="J748">
        <f>(Cocina[[#This Row],[Precio Unitario]]-Cocina[[#This Row],[Costo Unitario]])*Cocina[[#This Row],[Cantidad Ordenada]]</f>
        <v>24</v>
      </c>
      <c r="K748" s="4">
        <f>Cocina[[#This Row],[Ganancia neta]]/_xlfn.XLOOKUP(Cocina[[#This Row],[Número de Orden]],Sala[Número de Orden],Sala[Monto total],"fracaso",0,1)</f>
        <v>9.7165991902834009E-2</v>
      </c>
      <c r="L748" t="s">
        <v>607</v>
      </c>
    </row>
    <row r="749" spans="1:12" x14ac:dyDescent="0.25">
      <c r="A749">
        <v>296</v>
      </c>
      <c r="B749">
        <v>14</v>
      </c>
      <c r="C749" t="s">
        <v>200</v>
      </c>
      <c r="D749" t="s">
        <v>633</v>
      </c>
      <c r="E749">
        <v>14</v>
      </c>
      <c r="F749">
        <v>23</v>
      </c>
      <c r="G749">
        <v>1</v>
      </c>
      <c r="H749">
        <v>20</v>
      </c>
      <c r="I749">
        <f>Cocina[[#This Row],[Precio Unitario]]*Cocina[[#This Row],[Cantidad Ordenada]]</f>
        <v>23</v>
      </c>
      <c r="J749">
        <f>(Cocina[[#This Row],[Precio Unitario]]-Cocina[[#This Row],[Costo Unitario]])*Cocina[[#This Row],[Cantidad Ordenada]]</f>
        <v>9</v>
      </c>
      <c r="K749" s="4">
        <f>Cocina[[#This Row],[Ganancia neta]]/_xlfn.XLOOKUP(Cocina[[#This Row],[Número de Orden]],Sala[Número de Orden],Sala[Monto total],"fracaso",0,1)</f>
        <v>0.15254237288135594</v>
      </c>
      <c r="L749" t="s">
        <v>607</v>
      </c>
    </row>
    <row r="750" spans="1:12" x14ac:dyDescent="0.25">
      <c r="A750">
        <v>296</v>
      </c>
      <c r="B750">
        <v>14</v>
      </c>
      <c r="C750" t="s">
        <v>73</v>
      </c>
      <c r="D750" t="s">
        <v>623</v>
      </c>
      <c r="E750">
        <v>22</v>
      </c>
      <c r="F750">
        <v>36</v>
      </c>
      <c r="G750">
        <v>1</v>
      </c>
      <c r="H750">
        <v>26</v>
      </c>
      <c r="I750">
        <f>Cocina[[#This Row],[Precio Unitario]]*Cocina[[#This Row],[Cantidad Ordenada]]</f>
        <v>36</v>
      </c>
      <c r="J750">
        <f>(Cocina[[#This Row],[Precio Unitario]]-Cocina[[#This Row],[Costo Unitario]])*Cocina[[#This Row],[Cantidad Ordenada]]</f>
        <v>14</v>
      </c>
      <c r="K750" s="4">
        <f>Cocina[[#This Row],[Ganancia neta]]/_xlfn.XLOOKUP(Cocina[[#This Row],[Número de Orden]],Sala[Número de Orden],Sala[Monto total],"fracaso",0,1)</f>
        <v>0.23728813559322035</v>
      </c>
      <c r="L750" t="s">
        <v>608</v>
      </c>
    </row>
    <row r="751" spans="1:12" x14ac:dyDescent="0.25">
      <c r="A751">
        <v>297</v>
      </c>
      <c r="B751">
        <v>4</v>
      </c>
      <c r="C751" t="s">
        <v>38</v>
      </c>
      <c r="D751" t="s">
        <v>624</v>
      </c>
      <c r="E751">
        <v>17</v>
      </c>
      <c r="F751">
        <v>29</v>
      </c>
      <c r="G751">
        <v>2</v>
      </c>
      <c r="H751">
        <v>59</v>
      </c>
      <c r="I751">
        <f>Cocina[[#This Row],[Precio Unitario]]*Cocina[[#This Row],[Cantidad Ordenada]]</f>
        <v>58</v>
      </c>
      <c r="J751">
        <f>(Cocina[[#This Row],[Precio Unitario]]-Cocina[[#This Row],[Costo Unitario]])*Cocina[[#This Row],[Cantidad Ordenada]]</f>
        <v>24</v>
      </c>
      <c r="K751" s="4">
        <f>Cocina[[#This Row],[Ganancia neta]]/_xlfn.XLOOKUP(Cocina[[#This Row],[Número de Orden]],Sala[Número de Orden],Sala[Monto total],"fracaso",0,1)</f>
        <v>0.13714285714285715</v>
      </c>
      <c r="L751" t="s">
        <v>608</v>
      </c>
    </row>
    <row r="752" spans="1:12" x14ac:dyDescent="0.25">
      <c r="A752">
        <v>297</v>
      </c>
      <c r="B752">
        <v>4</v>
      </c>
      <c r="C752" t="s">
        <v>79</v>
      </c>
      <c r="D752" t="s">
        <v>635</v>
      </c>
      <c r="E752">
        <v>10</v>
      </c>
      <c r="F752">
        <v>18</v>
      </c>
      <c r="G752">
        <v>3</v>
      </c>
      <c r="H752">
        <v>13</v>
      </c>
      <c r="I752">
        <f>Cocina[[#This Row],[Precio Unitario]]*Cocina[[#This Row],[Cantidad Ordenada]]</f>
        <v>54</v>
      </c>
      <c r="J752">
        <f>(Cocina[[#This Row],[Precio Unitario]]-Cocina[[#This Row],[Costo Unitario]])*Cocina[[#This Row],[Cantidad Ordenada]]</f>
        <v>24</v>
      </c>
      <c r="K752" s="4">
        <f>Cocina[[#This Row],[Ganancia neta]]/_xlfn.XLOOKUP(Cocina[[#This Row],[Número de Orden]],Sala[Número de Orden],Sala[Monto total],"fracaso",0,1)</f>
        <v>0.13714285714285715</v>
      </c>
      <c r="L752" t="s">
        <v>608</v>
      </c>
    </row>
    <row r="753" spans="1:12" x14ac:dyDescent="0.25">
      <c r="A753">
        <v>297</v>
      </c>
      <c r="B753">
        <v>4</v>
      </c>
      <c r="C753" t="s">
        <v>70</v>
      </c>
      <c r="D753" t="s">
        <v>634</v>
      </c>
      <c r="E753">
        <v>13</v>
      </c>
      <c r="F753">
        <v>21</v>
      </c>
      <c r="G753">
        <v>3</v>
      </c>
      <c r="H753">
        <v>40</v>
      </c>
      <c r="I753">
        <f>Cocina[[#This Row],[Precio Unitario]]*Cocina[[#This Row],[Cantidad Ordenada]]</f>
        <v>63</v>
      </c>
      <c r="J753">
        <f>(Cocina[[#This Row],[Precio Unitario]]-Cocina[[#This Row],[Costo Unitario]])*Cocina[[#This Row],[Cantidad Ordenada]]</f>
        <v>24</v>
      </c>
      <c r="K753" s="4">
        <f>Cocina[[#This Row],[Ganancia neta]]/_xlfn.XLOOKUP(Cocina[[#This Row],[Número de Orden]],Sala[Número de Orden],Sala[Monto total],"fracaso",0,1)</f>
        <v>0.13714285714285715</v>
      </c>
      <c r="L753" t="s">
        <v>608</v>
      </c>
    </row>
    <row r="754" spans="1:12" x14ac:dyDescent="0.25">
      <c r="A754">
        <v>298</v>
      </c>
      <c r="B754">
        <v>11</v>
      </c>
      <c r="C754" t="s">
        <v>106</v>
      </c>
      <c r="D754" t="s">
        <v>621</v>
      </c>
      <c r="E754">
        <v>16</v>
      </c>
      <c r="F754">
        <v>27</v>
      </c>
      <c r="G754">
        <v>3</v>
      </c>
      <c r="H754">
        <v>46</v>
      </c>
      <c r="I754">
        <f>Cocina[[#This Row],[Precio Unitario]]*Cocina[[#This Row],[Cantidad Ordenada]]</f>
        <v>81</v>
      </c>
      <c r="J754">
        <f>(Cocina[[#This Row],[Precio Unitario]]-Cocina[[#This Row],[Costo Unitario]])*Cocina[[#This Row],[Cantidad Ordenada]]</f>
        <v>33</v>
      </c>
      <c r="K754" s="4">
        <f>Cocina[[#This Row],[Ganancia neta]]/_xlfn.XLOOKUP(Cocina[[#This Row],[Número de Orden]],Sala[Número de Orden],Sala[Monto total],"fracaso",0,1)</f>
        <v>0.12941176470588237</v>
      </c>
      <c r="L754" t="s">
        <v>607</v>
      </c>
    </row>
    <row r="755" spans="1:12" x14ac:dyDescent="0.25">
      <c r="A755">
        <v>298</v>
      </c>
      <c r="B755">
        <v>11</v>
      </c>
      <c r="C755" t="s">
        <v>73</v>
      </c>
      <c r="D755" t="s">
        <v>623</v>
      </c>
      <c r="E755">
        <v>22</v>
      </c>
      <c r="F755">
        <v>36</v>
      </c>
      <c r="G755">
        <v>3</v>
      </c>
      <c r="H755">
        <v>49</v>
      </c>
      <c r="I755">
        <f>Cocina[[#This Row],[Precio Unitario]]*Cocina[[#This Row],[Cantidad Ordenada]]</f>
        <v>108</v>
      </c>
      <c r="J755">
        <f>(Cocina[[#This Row],[Precio Unitario]]-Cocina[[#This Row],[Costo Unitario]])*Cocina[[#This Row],[Cantidad Ordenada]]</f>
        <v>42</v>
      </c>
      <c r="K755" s="4">
        <f>Cocina[[#This Row],[Ganancia neta]]/_xlfn.XLOOKUP(Cocina[[#This Row],[Número de Orden]],Sala[Número de Orden],Sala[Monto total],"fracaso",0,1)</f>
        <v>0.16470588235294117</v>
      </c>
      <c r="L755" t="s">
        <v>607</v>
      </c>
    </row>
    <row r="756" spans="1:12" x14ac:dyDescent="0.25">
      <c r="A756">
        <v>298</v>
      </c>
      <c r="B756">
        <v>11</v>
      </c>
      <c r="C756" t="s">
        <v>203</v>
      </c>
      <c r="D756" t="s">
        <v>630</v>
      </c>
      <c r="E756">
        <v>13</v>
      </c>
      <c r="F756">
        <v>22</v>
      </c>
      <c r="G756">
        <v>3</v>
      </c>
      <c r="H756">
        <v>46</v>
      </c>
      <c r="I756">
        <f>Cocina[[#This Row],[Precio Unitario]]*Cocina[[#This Row],[Cantidad Ordenada]]</f>
        <v>66</v>
      </c>
      <c r="J756">
        <f>(Cocina[[#This Row],[Precio Unitario]]-Cocina[[#This Row],[Costo Unitario]])*Cocina[[#This Row],[Cantidad Ordenada]]</f>
        <v>27</v>
      </c>
      <c r="K756" s="4">
        <f>Cocina[[#This Row],[Ganancia neta]]/_xlfn.XLOOKUP(Cocina[[#This Row],[Número de Orden]],Sala[Número de Orden],Sala[Monto total],"fracaso",0,1)</f>
        <v>0.10588235294117647</v>
      </c>
      <c r="L756" t="s">
        <v>608</v>
      </c>
    </row>
    <row r="757" spans="1:12" x14ac:dyDescent="0.25">
      <c r="A757">
        <v>299</v>
      </c>
      <c r="B757">
        <v>6</v>
      </c>
      <c r="C757" t="s">
        <v>146</v>
      </c>
      <c r="D757" t="s">
        <v>632</v>
      </c>
      <c r="E757">
        <v>12</v>
      </c>
      <c r="F757">
        <v>20</v>
      </c>
      <c r="G757">
        <v>1</v>
      </c>
      <c r="H757">
        <v>17</v>
      </c>
      <c r="I757">
        <f>Cocina[[#This Row],[Precio Unitario]]*Cocina[[#This Row],[Cantidad Ordenada]]</f>
        <v>20</v>
      </c>
      <c r="J757">
        <f>(Cocina[[#This Row],[Precio Unitario]]-Cocina[[#This Row],[Costo Unitario]])*Cocina[[#This Row],[Cantidad Ordenada]]</f>
        <v>8</v>
      </c>
      <c r="K757" s="4">
        <f>Cocina[[#This Row],[Ganancia neta]]/_xlfn.XLOOKUP(Cocina[[#This Row],[Número de Orden]],Sala[Número de Orden],Sala[Monto total],"fracaso",0,1)</f>
        <v>4.3956043956043959E-2</v>
      </c>
      <c r="L757" t="s">
        <v>607</v>
      </c>
    </row>
    <row r="758" spans="1:12" x14ac:dyDescent="0.25">
      <c r="A758">
        <v>299</v>
      </c>
      <c r="B758">
        <v>6</v>
      </c>
      <c r="C758" t="s">
        <v>73</v>
      </c>
      <c r="D758" t="s">
        <v>623</v>
      </c>
      <c r="E758">
        <v>22</v>
      </c>
      <c r="F758">
        <v>36</v>
      </c>
      <c r="G758">
        <v>2</v>
      </c>
      <c r="H758">
        <v>55</v>
      </c>
      <c r="I758">
        <f>Cocina[[#This Row],[Precio Unitario]]*Cocina[[#This Row],[Cantidad Ordenada]]</f>
        <v>72</v>
      </c>
      <c r="J758">
        <f>(Cocina[[#This Row],[Precio Unitario]]-Cocina[[#This Row],[Costo Unitario]])*Cocina[[#This Row],[Cantidad Ordenada]]</f>
        <v>28</v>
      </c>
      <c r="K758" s="4">
        <f>Cocina[[#This Row],[Ganancia neta]]/_xlfn.XLOOKUP(Cocina[[#This Row],[Número de Orden]],Sala[Número de Orden],Sala[Monto total],"fracaso",0,1)</f>
        <v>0.15384615384615385</v>
      </c>
      <c r="L758" t="s">
        <v>607</v>
      </c>
    </row>
    <row r="759" spans="1:12" x14ac:dyDescent="0.25">
      <c r="A759">
        <v>299</v>
      </c>
      <c r="B759">
        <v>6</v>
      </c>
      <c r="C759" t="s">
        <v>158</v>
      </c>
      <c r="D759" t="s">
        <v>617</v>
      </c>
      <c r="E759">
        <v>14</v>
      </c>
      <c r="F759">
        <v>24</v>
      </c>
      <c r="G759">
        <v>3</v>
      </c>
      <c r="H759">
        <v>15</v>
      </c>
      <c r="I759">
        <f>Cocina[[#This Row],[Precio Unitario]]*Cocina[[#This Row],[Cantidad Ordenada]]</f>
        <v>72</v>
      </c>
      <c r="J759">
        <f>(Cocina[[#This Row],[Precio Unitario]]-Cocina[[#This Row],[Costo Unitario]])*Cocina[[#This Row],[Cantidad Ordenada]]</f>
        <v>30</v>
      </c>
      <c r="K759" s="4">
        <f>Cocina[[#This Row],[Ganancia neta]]/_xlfn.XLOOKUP(Cocina[[#This Row],[Número de Orden]],Sala[Número de Orden],Sala[Monto total],"fracaso",0,1)</f>
        <v>0.16483516483516483</v>
      </c>
      <c r="L759" t="s">
        <v>608</v>
      </c>
    </row>
    <row r="760" spans="1:12" x14ac:dyDescent="0.25">
      <c r="A760">
        <v>299</v>
      </c>
      <c r="B760">
        <v>6</v>
      </c>
      <c r="C760" t="s">
        <v>79</v>
      </c>
      <c r="D760" t="s">
        <v>635</v>
      </c>
      <c r="E760">
        <v>10</v>
      </c>
      <c r="F760">
        <v>18</v>
      </c>
      <c r="G760">
        <v>1</v>
      </c>
      <c r="H760">
        <v>26</v>
      </c>
      <c r="I760">
        <f>Cocina[[#This Row],[Precio Unitario]]*Cocina[[#This Row],[Cantidad Ordenada]]</f>
        <v>18</v>
      </c>
      <c r="J760">
        <f>(Cocina[[#This Row],[Precio Unitario]]-Cocina[[#This Row],[Costo Unitario]])*Cocina[[#This Row],[Cantidad Ordenada]]</f>
        <v>8</v>
      </c>
      <c r="K760" s="4">
        <f>Cocina[[#This Row],[Ganancia neta]]/_xlfn.XLOOKUP(Cocina[[#This Row],[Número de Orden]],Sala[Número de Orden],Sala[Monto total],"fracaso",0,1)</f>
        <v>4.3956043956043959E-2</v>
      </c>
      <c r="L760" t="s">
        <v>607</v>
      </c>
    </row>
    <row r="761" spans="1:12" x14ac:dyDescent="0.25">
      <c r="A761">
        <v>300</v>
      </c>
      <c r="B761">
        <v>18</v>
      </c>
      <c r="C761" t="s">
        <v>48</v>
      </c>
      <c r="D761" t="s">
        <v>622</v>
      </c>
      <c r="E761">
        <v>25</v>
      </c>
      <c r="F761">
        <v>40</v>
      </c>
      <c r="G761">
        <v>3</v>
      </c>
      <c r="H761">
        <v>54</v>
      </c>
      <c r="I761">
        <f>Cocina[[#This Row],[Precio Unitario]]*Cocina[[#This Row],[Cantidad Ordenada]]</f>
        <v>120</v>
      </c>
      <c r="J761">
        <f>(Cocina[[#This Row],[Precio Unitario]]-Cocina[[#This Row],[Costo Unitario]])*Cocina[[#This Row],[Cantidad Ordenada]]</f>
        <v>45</v>
      </c>
      <c r="K761" s="4">
        <f>Cocina[[#This Row],[Ganancia neta]]/_xlfn.XLOOKUP(Cocina[[#This Row],[Número de Orden]],Sala[Número de Orden],Sala[Monto total],"fracaso",0,1)</f>
        <v>0.15517241379310345</v>
      </c>
      <c r="L761" t="s">
        <v>608</v>
      </c>
    </row>
    <row r="762" spans="1:12" x14ac:dyDescent="0.25">
      <c r="A762">
        <v>300</v>
      </c>
      <c r="B762">
        <v>18</v>
      </c>
      <c r="C762" t="s">
        <v>79</v>
      </c>
      <c r="D762" t="s">
        <v>635</v>
      </c>
      <c r="E762">
        <v>10</v>
      </c>
      <c r="F762">
        <v>18</v>
      </c>
      <c r="G762">
        <v>3</v>
      </c>
      <c r="H762">
        <v>14</v>
      </c>
      <c r="I762">
        <f>Cocina[[#This Row],[Precio Unitario]]*Cocina[[#This Row],[Cantidad Ordenada]]</f>
        <v>54</v>
      </c>
      <c r="J762">
        <f>(Cocina[[#This Row],[Precio Unitario]]-Cocina[[#This Row],[Costo Unitario]])*Cocina[[#This Row],[Cantidad Ordenada]]</f>
        <v>24</v>
      </c>
      <c r="K762" s="4">
        <f>Cocina[[#This Row],[Ganancia neta]]/_xlfn.XLOOKUP(Cocina[[#This Row],[Número de Orden]],Sala[Número de Orden],Sala[Monto total],"fracaso",0,1)</f>
        <v>8.2758620689655171E-2</v>
      </c>
      <c r="L762" t="s">
        <v>607</v>
      </c>
    </row>
    <row r="763" spans="1:12" x14ac:dyDescent="0.25">
      <c r="A763">
        <v>300</v>
      </c>
      <c r="B763">
        <v>18</v>
      </c>
      <c r="C763" t="s">
        <v>155</v>
      </c>
      <c r="D763" t="s">
        <v>636</v>
      </c>
      <c r="E763">
        <v>15</v>
      </c>
      <c r="F763">
        <v>26</v>
      </c>
      <c r="G763">
        <v>1</v>
      </c>
      <c r="H763">
        <v>22</v>
      </c>
      <c r="I763">
        <f>Cocina[[#This Row],[Precio Unitario]]*Cocina[[#This Row],[Cantidad Ordenada]]</f>
        <v>26</v>
      </c>
      <c r="J763">
        <f>(Cocina[[#This Row],[Precio Unitario]]-Cocina[[#This Row],[Costo Unitario]])*Cocina[[#This Row],[Cantidad Ordenada]]</f>
        <v>11</v>
      </c>
      <c r="K763" s="4">
        <f>Cocina[[#This Row],[Ganancia neta]]/_xlfn.XLOOKUP(Cocina[[#This Row],[Número de Orden]],Sala[Número de Orden],Sala[Monto total],"fracaso",0,1)</f>
        <v>3.793103448275862E-2</v>
      </c>
      <c r="L763" t="s">
        <v>608</v>
      </c>
    </row>
    <row r="764" spans="1:12" x14ac:dyDescent="0.25">
      <c r="A764">
        <v>300</v>
      </c>
      <c r="B764">
        <v>18</v>
      </c>
      <c r="C764" t="s">
        <v>68</v>
      </c>
      <c r="D764" t="s">
        <v>619</v>
      </c>
      <c r="E764">
        <v>18</v>
      </c>
      <c r="F764">
        <v>30</v>
      </c>
      <c r="G764">
        <v>3</v>
      </c>
      <c r="H764">
        <v>28</v>
      </c>
      <c r="I764">
        <f>Cocina[[#This Row],[Precio Unitario]]*Cocina[[#This Row],[Cantidad Ordenada]]</f>
        <v>90</v>
      </c>
      <c r="J764">
        <f>(Cocina[[#This Row],[Precio Unitario]]-Cocina[[#This Row],[Costo Unitario]])*Cocina[[#This Row],[Cantidad Ordenada]]</f>
        <v>36</v>
      </c>
      <c r="K764" s="4">
        <f>Cocina[[#This Row],[Ganancia neta]]/_xlfn.XLOOKUP(Cocina[[#This Row],[Número de Orden]],Sala[Número de Orden],Sala[Monto total],"fracaso",0,1)</f>
        <v>0.12413793103448276</v>
      </c>
      <c r="L764" t="s">
        <v>607</v>
      </c>
    </row>
    <row r="765" spans="1:12" x14ac:dyDescent="0.25">
      <c r="A765">
        <v>301</v>
      </c>
      <c r="B765">
        <v>8</v>
      </c>
      <c r="C765" t="s">
        <v>116</v>
      </c>
      <c r="D765" t="s">
        <v>620</v>
      </c>
      <c r="E765">
        <v>19</v>
      </c>
      <c r="F765">
        <v>31</v>
      </c>
      <c r="G765">
        <v>3</v>
      </c>
      <c r="H765">
        <v>23</v>
      </c>
      <c r="I765">
        <f>Cocina[[#This Row],[Precio Unitario]]*Cocina[[#This Row],[Cantidad Ordenada]]</f>
        <v>93</v>
      </c>
      <c r="J765">
        <f>(Cocina[[#This Row],[Precio Unitario]]-Cocina[[#This Row],[Costo Unitario]])*Cocina[[#This Row],[Cantidad Ordenada]]</f>
        <v>36</v>
      </c>
      <c r="K765" s="4">
        <f>Cocina[[#This Row],[Ganancia neta]]/_xlfn.XLOOKUP(Cocina[[#This Row],[Número de Orden]],Sala[Número de Orden],Sala[Monto total],"fracaso",0,1)</f>
        <v>0.16143497757847533</v>
      </c>
      <c r="L765" t="s">
        <v>608</v>
      </c>
    </row>
    <row r="766" spans="1:12" x14ac:dyDescent="0.25">
      <c r="A766">
        <v>301</v>
      </c>
      <c r="B766">
        <v>8</v>
      </c>
      <c r="C766" t="s">
        <v>155</v>
      </c>
      <c r="D766" t="s">
        <v>636</v>
      </c>
      <c r="E766">
        <v>15</v>
      </c>
      <c r="F766">
        <v>26</v>
      </c>
      <c r="G766">
        <v>2</v>
      </c>
      <c r="H766">
        <v>57</v>
      </c>
      <c r="I766">
        <f>Cocina[[#This Row],[Precio Unitario]]*Cocina[[#This Row],[Cantidad Ordenada]]</f>
        <v>52</v>
      </c>
      <c r="J766">
        <f>(Cocina[[#This Row],[Precio Unitario]]-Cocina[[#This Row],[Costo Unitario]])*Cocina[[#This Row],[Cantidad Ordenada]]</f>
        <v>22</v>
      </c>
      <c r="K766" s="4">
        <f>Cocina[[#This Row],[Ganancia neta]]/_xlfn.XLOOKUP(Cocina[[#This Row],[Número de Orden]],Sala[Número de Orden],Sala[Monto total],"fracaso",0,1)</f>
        <v>9.8654708520179366E-2</v>
      </c>
      <c r="L766" t="s">
        <v>608</v>
      </c>
    </row>
    <row r="767" spans="1:12" x14ac:dyDescent="0.25">
      <c r="A767">
        <v>301</v>
      </c>
      <c r="B767">
        <v>8</v>
      </c>
      <c r="C767" t="s">
        <v>38</v>
      </c>
      <c r="D767" t="s">
        <v>624</v>
      </c>
      <c r="E767">
        <v>17</v>
      </c>
      <c r="F767">
        <v>29</v>
      </c>
      <c r="G767">
        <v>2</v>
      </c>
      <c r="H767">
        <v>49</v>
      </c>
      <c r="I767">
        <f>Cocina[[#This Row],[Precio Unitario]]*Cocina[[#This Row],[Cantidad Ordenada]]</f>
        <v>58</v>
      </c>
      <c r="J767">
        <f>(Cocina[[#This Row],[Precio Unitario]]-Cocina[[#This Row],[Costo Unitario]])*Cocina[[#This Row],[Cantidad Ordenada]]</f>
        <v>24</v>
      </c>
      <c r="K767" s="4">
        <f>Cocina[[#This Row],[Ganancia neta]]/_xlfn.XLOOKUP(Cocina[[#This Row],[Número de Orden]],Sala[Número de Orden],Sala[Monto total],"fracaso",0,1)</f>
        <v>0.10762331838565023</v>
      </c>
      <c r="L767" t="s">
        <v>607</v>
      </c>
    </row>
    <row r="768" spans="1:12" x14ac:dyDescent="0.25">
      <c r="A768">
        <v>301</v>
      </c>
      <c r="B768">
        <v>8</v>
      </c>
      <c r="C768" t="s">
        <v>146</v>
      </c>
      <c r="D768" t="s">
        <v>632</v>
      </c>
      <c r="E768">
        <v>12</v>
      </c>
      <c r="F768">
        <v>20</v>
      </c>
      <c r="G768">
        <v>1</v>
      </c>
      <c r="H768">
        <v>54</v>
      </c>
      <c r="I768">
        <f>Cocina[[#This Row],[Precio Unitario]]*Cocina[[#This Row],[Cantidad Ordenada]]</f>
        <v>20</v>
      </c>
      <c r="J768">
        <f>(Cocina[[#This Row],[Precio Unitario]]-Cocina[[#This Row],[Costo Unitario]])*Cocina[[#This Row],[Cantidad Ordenada]]</f>
        <v>8</v>
      </c>
      <c r="K768" s="4">
        <f>Cocina[[#This Row],[Ganancia neta]]/_xlfn.XLOOKUP(Cocina[[#This Row],[Número de Orden]],Sala[Número de Orden],Sala[Monto total],"fracaso",0,1)</f>
        <v>3.5874439461883408E-2</v>
      </c>
      <c r="L768" t="s">
        <v>607</v>
      </c>
    </row>
    <row r="769" spans="1:12" x14ac:dyDescent="0.25">
      <c r="A769">
        <v>302</v>
      </c>
      <c r="B769">
        <v>5</v>
      </c>
      <c r="C769" t="s">
        <v>247</v>
      </c>
      <c r="D769" t="s">
        <v>629</v>
      </c>
      <c r="E769">
        <v>19</v>
      </c>
      <c r="F769">
        <v>32</v>
      </c>
      <c r="G769">
        <v>3</v>
      </c>
      <c r="H769">
        <v>15</v>
      </c>
      <c r="I769">
        <f>Cocina[[#This Row],[Precio Unitario]]*Cocina[[#This Row],[Cantidad Ordenada]]</f>
        <v>96</v>
      </c>
      <c r="J769">
        <f>(Cocina[[#This Row],[Precio Unitario]]-Cocina[[#This Row],[Costo Unitario]])*Cocina[[#This Row],[Cantidad Ordenada]]</f>
        <v>39</v>
      </c>
      <c r="K769" s="4">
        <f>Cocina[[#This Row],[Ganancia neta]]/_xlfn.XLOOKUP(Cocina[[#This Row],[Número de Orden]],Sala[Número de Orden],Sala[Monto total],"fracaso",0,1)</f>
        <v>0.40625</v>
      </c>
      <c r="L769" t="s">
        <v>607</v>
      </c>
    </row>
    <row r="770" spans="1:12" x14ac:dyDescent="0.25">
      <c r="A770">
        <v>303</v>
      </c>
      <c r="B770">
        <v>14</v>
      </c>
      <c r="C770" t="s">
        <v>146</v>
      </c>
      <c r="D770" t="s">
        <v>632</v>
      </c>
      <c r="E770">
        <v>12</v>
      </c>
      <c r="F770">
        <v>20</v>
      </c>
      <c r="G770">
        <v>2</v>
      </c>
      <c r="H770">
        <v>13</v>
      </c>
      <c r="I770">
        <f>Cocina[[#This Row],[Precio Unitario]]*Cocina[[#This Row],[Cantidad Ordenada]]</f>
        <v>40</v>
      </c>
      <c r="J770">
        <f>(Cocina[[#This Row],[Precio Unitario]]-Cocina[[#This Row],[Costo Unitario]])*Cocina[[#This Row],[Cantidad Ordenada]]</f>
        <v>16</v>
      </c>
      <c r="K770" s="4">
        <f>Cocina[[#This Row],[Ganancia neta]]/_xlfn.XLOOKUP(Cocina[[#This Row],[Número de Orden]],Sala[Número de Orden],Sala[Monto total],"fracaso",0,1)</f>
        <v>7.6190476190476197E-2</v>
      </c>
      <c r="L770" t="s">
        <v>607</v>
      </c>
    </row>
    <row r="771" spans="1:12" x14ac:dyDescent="0.25">
      <c r="A771">
        <v>303</v>
      </c>
      <c r="B771">
        <v>14</v>
      </c>
      <c r="C771" t="s">
        <v>48</v>
      </c>
      <c r="D771" t="s">
        <v>622</v>
      </c>
      <c r="E771">
        <v>25</v>
      </c>
      <c r="F771">
        <v>40</v>
      </c>
      <c r="G771">
        <v>3</v>
      </c>
      <c r="H771">
        <v>16</v>
      </c>
      <c r="I771">
        <f>Cocina[[#This Row],[Precio Unitario]]*Cocina[[#This Row],[Cantidad Ordenada]]</f>
        <v>120</v>
      </c>
      <c r="J771">
        <f>(Cocina[[#This Row],[Precio Unitario]]-Cocina[[#This Row],[Costo Unitario]])*Cocina[[#This Row],[Cantidad Ordenada]]</f>
        <v>45</v>
      </c>
      <c r="K771" s="4">
        <f>Cocina[[#This Row],[Ganancia neta]]/_xlfn.XLOOKUP(Cocina[[#This Row],[Número de Orden]],Sala[Número de Orden],Sala[Monto total],"fracaso",0,1)</f>
        <v>0.21428571428571427</v>
      </c>
      <c r="L771" t="s">
        <v>607</v>
      </c>
    </row>
    <row r="772" spans="1:12" x14ac:dyDescent="0.25">
      <c r="A772">
        <v>303</v>
      </c>
      <c r="B772">
        <v>14</v>
      </c>
      <c r="C772" t="s">
        <v>155</v>
      </c>
      <c r="D772" t="s">
        <v>636</v>
      </c>
      <c r="E772">
        <v>15</v>
      </c>
      <c r="F772">
        <v>26</v>
      </c>
      <c r="G772">
        <v>1</v>
      </c>
      <c r="H772">
        <v>56</v>
      </c>
      <c r="I772">
        <f>Cocina[[#This Row],[Precio Unitario]]*Cocina[[#This Row],[Cantidad Ordenada]]</f>
        <v>26</v>
      </c>
      <c r="J772">
        <f>(Cocina[[#This Row],[Precio Unitario]]-Cocina[[#This Row],[Costo Unitario]])*Cocina[[#This Row],[Cantidad Ordenada]]</f>
        <v>11</v>
      </c>
      <c r="K772" s="4">
        <f>Cocina[[#This Row],[Ganancia neta]]/_xlfn.XLOOKUP(Cocina[[#This Row],[Número de Orden]],Sala[Número de Orden],Sala[Monto total],"fracaso",0,1)</f>
        <v>5.2380952380952382E-2</v>
      </c>
      <c r="L772" t="s">
        <v>608</v>
      </c>
    </row>
    <row r="773" spans="1:12" x14ac:dyDescent="0.25">
      <c r="A773">
        <v>303</v>
      </c>
      <c r="B773">
        <v>14</v>
      </c>
      <c r="C773" t="s">
        <v>158</v>
      </c>
      <c r="D773" t="s">
        <v>617</v>
      </c>
      <c r="E773">
        <v>14</v>
      </c>
      <c r="F773">
        <v>24</v>
      </c>
      <c r="G773">
        <v>1</v>
      </c>
      <c r="H773">
        <v>7</v>
      </c>
      <c r="I773">
        <f>Cocina[[#This Row],[Precio Unitario]]*Cocina[[#This Row],[Cantidad Ordenada]]</f>
        <v>24</v>
      </c>
      <c r="J773">
        <f>(Cocina[[#This Row],[Precio Unitario]]-Cocina[[#This Row],[Costo Unitario]])*Cocina[[#This Row],[Cantidad Ordenada]]</f>
        <v>10</v>
      </c>
      <c r="K773" s="4">
        <f>Cocina[[#This Row],[Ganancia neta]]/_xlfn.XLOOKUP(Cocina[[#This Row],[Número de Orden]],Sala[Número de Orden],Sala[Monto total],"fracaso",0,1)</f>
        <v>4.7619047619047616E-2</v>
      </c>
      <c r="L773" t="s">
        <v>607</v>
      </c>
    </row>
    <row r="774" spans="1:12" x14ac:dyDescent="0.25">
      <c r="A774">
        <v>304</v>
      </c>
      <c r="B774">
        <v>6</v>
      </c>
      <c r="C774" t="s">
        <v>247</v>
      </c>
      <c r="D774" t="s">
        <v>629</v>
      </c>
      <c r="E774">
        <v>19</v>
      </c>
      <c r="F774">
        <v>32</v>
      </c>
      <c r="G774">
        <v>2</v>
      </c>
      <c r="H774">
        <v>9</v>
      </c>
      <c r="I774">
        <f>Cocina[[#This Row],[Precio Unitario]]*Cocina[[#This Row],[Cantidad Ordenada]]</f>
        <v>64</v>
      </c>
      <c r="J774">
        <f>(Cocina[[#This Row],[Precio Unitario]]-Cocina[[#This Row],[Costo Unitario]])*Cocina[[#This Row],[Cantidad Ordenada]]</f>
        <v>26</v>
      </c>
      <c r="K774" s="4">
        <f>Cocina[[#This Row],[Ganancia neta]]/_xlfn.XLOOKUP(Cocina[[#This Row],[Número de Orden]],Sala[Número de Orden],Sala[Monto total],"fracaso",0,1)</f>
        <v>9.3189964157706098E-2</v>
      </c>
      <c r="L774" t="s">
        <v>607</v>
      </c>
    </row>
    <row r="775" spans="1:12" x14ac:dyDescent="0.25">
      <c r="A775">
        <v>304</v>
      </c>
      <c r="B775">
        <v>6</v>
      </c>
      <c r="C775" t="s">
        <v>70</v>
      </c>
      <c r="D775" t="s">
        <v>634</v>
      </c>
      <c r="E775">
        <v>13</v>
      </c>
      <c r="F775">
        <v>21</v>
      </c>
      <c r="G775">
        <v>2</v>
      </c>
      <c r="H775">
        <v>7</v>
      </c>
      <c r="I775">
        <f>Cocina[[#This Row],[Precio Unitario]]*Cocina[[#This Row],[Cantidad Ordenada]]</f>
        <v>42</v>
      </c>
      <c r="J775">
        <f>(Cocina[[#This Row],[Precio Unitario]]-Cocina[[#This Row],[Costo Unitario]])*Cocina[[#This Row],[Cantidad Ordenada]]</f>
        <v>16</v>
      </c>
      <c r="K775" s="4">
        <f>Cocina[[#This Row],[Ganancia neta]]/_xlfn.XLOOKUP(Cocina[[#This Row],[Número de Orden]],Sala[Número de Orden],Sala[Monto total],"fracaso",0,1)</f>
        <v>5.7347670250896057E-2</v>
      </c>
      <c r="L775" t="s">
        <v>608</v>
      </c>
    </row>
    <row r="776" spans="1:12" x14ac:dyDescent="0.25">
      <c r="A776">
        <v>304</v>
      </c>
      <c r="B776">
        <v>6</v>
      </c>
      <c r="C776" t="s">
        <v>48</v>
      </c>
      <c r="D776" t="s">
        <v>622</v>
      </c>
      <c r="E776">
        <v>25</v>
      </c>
      <c r="F776">
        <v>40</v>
      </c>
      <c r="G776">
        <v>2</v>
      </c>
      <c r="H776">
        <v>48</v>
      </c>
      <c r="I776">
        <f>Cocina[[#This Row],[Precio Unitario]]*Cocina[[#This Row],[Cantidad Ordenada]]</f>
        <v>80</v>
      </c>
      <c r="J776">
        <f>(Cocina[[#This Row],[Precio Unitario]]-Cocina[[#This Row],[Costo Unitario]])*Cocina[[#This Row],[Cantidad Ordenada]]</f>
        <v>30</v>
      </c>
      <c r="K776" s="4">
        <f>Cocina[[#This Row],[Ganancia neta]]/_xlfn.XLOOKUP(Cocina[[#This Row],[Número de Orden]],Sala[Número de Orden],Sala[Monto total],"fracaso",0,1)</f>
        <v>0.10752688172043011</v>
      </c>
      <c r="L776" t="s">
        <v>607</v>
      </c>
    </row>
    <row r="777" spans="1:12" x14ac:dyDescent="0.25">
      <c r="A777">
        <v>304</v>
      </c>
      <c r="B777">
        <v>6</v>
      </c>
      <c r="C777" t="s">
        <v>116</v>
      </c>
      <c r="D777" t="s">
        <v>620</v>
      </c>
      <c r="E777">
        <v>19</v>
      </c>
      <c r="F777">
        <v>31</v>
      </c>
      <c r="G777">
        <v>3</v>
      </c>
      <c r="H777">
        <v>21</v>
      </c>
      <c r="I777">
        <f>Cocina[[#This Row],[Precio Unitario]]*Cocina[[#This Row],[Cantidad Ordenada]]</f>
        <v>93</v>
      </c>
      <c r="J777">
        <f>(Cocina[[#This Row],[Precio Unitario]]-Cocina[[#This Row],[Costo Unitario]])*Cocina[[#This Row],[Cantidad Ordenada]]</f>
        <v>36</v>
      </c>
      <c r="K777" s="4">
        <f>Cocina[[#This Row],[Ganancia neta]]/_xlfn.XLOOKUP(Cocina[[#This Row],[Número de Orden]],Sala[Número de Orden],Sala[Monto total],"fracaso",0,1)</f>
        <v>0.12903225806451613</v>
      </c>
      <c r="L777" t="s">
        <v>607</v>
      </c>
    </row>
    <row r="778" spans="1:12" x14ac:dyDescent="0.25">
      <c r="A778">
        <v>305</v>
      </c>
      <c r="B778">
        <v>1</v>
      </c>
      <c r="C778" t="s">
        <v>26</v>
      </c>
      <c r="D778" t="s">
        <v>628</v>
      </c>
      <c r="E778">
        <v>21</v>
      </c>
      <c r="F778">
        <v>35</v>
      </c>
      <c r="G778">
        <v>3</v>
      </c>
      <c r="H778">
        <v>17</v>
      </c>
      <c r="I778">
        <f>Cocina[[#This Row],[Precio Unitario]]*Cocina[[#This Row],[Cantidad Ordenada]]</f>
        <v>105</v>
      </c>
      <c r="J778">
        <f>(Cocina[[#This Row],[Precio Unitario]]-Cocina[[#This Row],[Costo Unitario]])*Cocina[[#This Row],[Cantidad Ordenada]]</f>
        <v>42</v>
      </c>
      <c r="K778" s="4">
        <f>Cocina[[#This Row],[Ganancia neta]]/_xlfn.XLOOKUP(Cocina[[#This Row],[Número de Orden]],Sala[Número de Orden],Sala[Monto total],"fracaso",0,1)</f>
        <v>0.328125</v>
      </c>
      <c r="L778" t="s">
        <v>607</v>
      </c>
    </row>
    <row r="779" spans="1:12" x14ac:dyDescent="0.25">
      <c r="A779">
        <v>305</v>
      </c>
      <c r="B779">
        <v>1</v>
      </c>
      <c r="C779" t="s">
        <v>200</v>
      </c>
      <c r="D779" t="s">
        <v>633</v>
      </c>
      <c r="E779">
        <v>14</v>
      </c>
      <c r="F779">
        <v>23</v>
      </c>
      <c r="G779">
        <v>1</v>
      </c>
      <c r="H779">
        <v>48</v>
      </c>
      <c r="I779">
        <f>Cocina[[#This Row],[Precio Unitario]]*Cocina[[#This Row],[Cantidad Ordenada]]</f>
        <v>23</v>
      </c>
      <c r="J779">
        <f>(Cocina[[#This Row],[Precio Unitario]]-Cocina[[#This Row],[Costo Unitario]])*Cocina[[#This Row],[Cantidad Ordenada]]</f>
        <v>9</v>
      </c>
      <c r="K779" s="4">
        <f>Cocina[[#This Row],[Ganancia neta]]/_xlfn.XLOOKUP(Cocina[[#This Row],[Número de Orden]],Sala[Número de Orden],Sala[Monto total],"fracaso",0,1)</f>
        <v>7.03125E-2</v>
      </c>
      <c r="L779" t="s">
        <v>607</v>
      </c>
    </row>
    <row r="780" spans="1:12" x14ac:dyDescent="0.25">
      <c r="A780">
        <v>306</v>
      </c>
      <c r="B780">
        <v>7</v>
      </c>
      <c r="C780" t="s">
        <v>247</v>
      </c>
      <c r="D780" t="s">
        <v>629</v>
      </c>
      <c r="E780">
        <v>19</v>
      </c>
      <c r="F780">
        <v>32</v>
      </c>
      <c r="G780">
        <v>1</v>
      </c>
      <c r="H780">
        <v>21</v>
      </c>
      <c r="I780">
        <f>Cocina[[#This Row],[Precio Unitario]]*Cocina[[#This Row],[Cantidad Ordenada]]</f>
        <v>32</v>
      </c>
      <c r="J780">
        <f>(Cocina[[#This Row],[Precio Unitario]]-Cocina[[#This Row],[Costo Unitario]])*Cocina[[#This Row],[Cantidad Ordenada]]</f>
        <v>13</v>
      </c>
      <c r="K780" s="4">
        <f>Cocina[[#This Row],[Ganancia neta]]/_xlfn.XLOOKUP(Cocina[[#This Row],[Número de Orden]],Sala[Número de Orden],Sala[Monto total],"fracaso",0,1)</f>
        <v>0.40625</v>
      </c>
      <c r="L780" t="s">
        <v>608</v>
      </c>
    </row>
    <row r="781" spans="1:12" x14ac:dyDescent="0.25">
      <c r="A781">
        <v>307</v>
      </c>
      <c r="B781">
        <v>20</v>
      </c>
      <c r="C781" t="s">
        <v>70</v>
      </c>
      <c r="D781" t="s">
        <v>634</v>
      </c>
      <c r="E781">
        <v>13</v>
      </c>
      <c r="F781">
        <v>21</v>
      </c>
      <c r="G781">
        <v>3</v>
      </c>
      <c r="H781">
        <v>39</v>
      </c>
      <c r="I781">
        <f>Cocina[[#This Row],[Precio Unitario]]*Cocina[[#This Row],[Cantidad Ordenada]]</f>
        <v>63</v>
      </c>
      <c r="J781">
        <f>(Cocina[[#This Row],[Precio Unitario]]-Cocina[[#This Row],[Costo Unitario]])*Cocina[[#This Row],[Cantidad Ordenada]]</f>
        <v>24</v>
      </c>
      <c r="K781" s="4">
        <f>Cocina[[#This Row],[Ganancia neta]]/_xlfn.XLOOKUP(Cocina[[#This Row],[Número de Orden]],Sala[Número de Orden],Sala[Monto total],"fracaso",0,1)</f>
        <v>0.38095238095238093</v>
      </c>
      <c r="L781" t="s">
        <v>608</v>
      </c>
    </row>
    <row r="782" spans="1:12" x14ac:dyDescent="0.25">
      <c r="A782">
        <v>308</v>
      </c>
      <c r="B782">
        <v>14</v>
      </c>
      <c r="C782" t="s">
        <v>55</v>
      </c>
      <c r="D782" t="s">
        <v>631</v>
      </c>
      <c r="E782">
        <v>20</v>
      </c>
      <c r="F782">
        <v>34</v>
      </c>
      <c r="G782">
        <v>1</v>
      </c>
      <c r="H782">
        <v>44</v>
      </c>
      <c r="I782">
        <f>Cocina[[#This Row],[Precio Unitario]]*Cocina[[#This Row],[Cantidad Ordenada]]</f>
        <v>34</v>
      </c>
      <c r="J782">
        <f>(Cocina[[#This Row],[Precio Unitario]]-Cocina[[#This Row],[Costo Unitario]])*Cocina[[#This Row],[Cantidad Ordenada]]</f>
        <v>14</v>
      </c>
      <c r="K782" s="4">
        <f>Cocina[[#This Row],[Ganancia neta]]/_xlfn.XLOOKUP(Cocina[[#This Row],[Número de Orden]],Sala[Número de Orden],Sala[Monto total],"fracaso",0,1)</f>
        <v>6.3063063063063057E-2</v>
      </c>
      <c r="L782" t="s">
        <v>608</v>
      </c>
    </row>
    <row r="783" spans="1:12" x14ac:dyDescent="0.25">
      <c r="A783">
        <v>308</v>
      </c>
      <c r="B783">
        <v>14</v>
      </c>
      <c r="C783" t="s">
        <v>26</v>
      </c>
      <c r="D783" t="s">
        <v>628</v>
      </c>
      <c r="E783">
        <v>21</v>
      </c>
      <c r="F783">
        <v>35</v>
      </c>
      <c r="G783">
        <v>2</v>
      </c>
      <c r="H783">
        <v>41</v>
      </c>
      <c r="I783">
        <f>Cocina[[#This Row],[Precio Unitario]]*Cocina[[#This Row],[Cantidad Ordenada]]</f>
        <v>70</v>
      </c>
      <c r="J783">
        <f>(Cocina[[#This Row],[Precio Unitario]]-Cocina[[#This Row],[Costo Unitario]])*Cocina[[#This Row],[Cantidad Ordenada]]</f>
        <v>28</v>
      </c>
      <c r="K783" s="4">
        <f>Cocina[[#This Row],[Ganancia neta]]/_xlfn.XLOOKUP(Cocina[[#This Row],[Número de Orden]],Sala[Número de Orden],Sala[Monto total],"fracaso",0,1)</f>
        <v>0.12612612612612611</v>
      </c>
      <c r="L783" t="s">
        <v>607</v>
      </c>
    </row>
    <row r="784" spans="1:12" x14ac:dyDescent="0.25">
      <c r="A784">
        <v>308</v>
      </c>
      <c r="B784">
        <v>14</v>
      </c>
      <c r="C784" t="s">
        <v>116</v>
      </c>
      <c r="D784" t="s">
        <v>620</v>
      </c>
      <c r="E784">
        <v>19</v>
      </c>
      <c r="F784">
        <v>31</v>
      </c>
      <c r="G784">
        <v>2</v>
      </c>
      <c r="H784">
        <v>42</v>
      </c>
      <c r="I784">
        <f>Cocina[[#This Row],[Precio Unitario]]*Cocina[[#This Row],[Cantidad Ordenada]]</f>
        <v>62</v>
      </c>
      <c r="J784">
        <f>(Cocina[[#This Row],[Precio Unitario]]-Cocina[[#This Row],[Costo Unitario]])*Cocina[[#This Row],[Cantidad Ordenada]]</f>
        <v>24</v>
      </c>
      <c r="K784" s="4">
        <f>Cocina[[#This Row],[Ganancia neta]]/_xlfn.XLOOKUP(Cocina[[#This Row],[Número de Orden]],Sala[Número de Orden],Sala[Monto total],"fracaso",0,1)</f>
        <v>0.10810810810810811</v>
      </c>
      <c r="L784" t="s">
        <v>607</v>
      </c>
    </row>
    <row r="785" spans="1:12" x14ac:dyDescent="0.25">
      <c r="A785">
        <v>308</v>
      </c>
      <c r="B785">
        <v>14</v>
      </c>
      <c r="C785" t="s">
        <v>42</v>
      </c>
      <c r="D785" t="s">
        <v>626</v>
      </c>
      <c r="E785">
        <v>16</v>
      </c>
      <c r="F785">
        <v>28</v>
      </c>
      <c r="G785">
        <v>2</v>
      </c>
      <c r="H785">
        <v>59</v>
      </c>
      <c r="I785">
        <f>Cocina[[#This Row],[Precio Unitario]]*Cocina[[#This Row],[Cantidad Ordenada]]</f>
        <v>56</v>
      </c>
      <c r="J785">
        <f>(Cocina[[#This Row],[Precio Unitario]]-Cocina[[#This Row],[Costo Unitario]])*Cocina[[#This Row],[Cantidad Ordenada]]</f>
        <v>24</v>
      </c>
      <c r="K785" s="4">
        <f>Cocina[[#This Row],[Ganancia neta]]/_xlfn.XLOOKUP(Cocina[[#This Row],[Número de Orden]],Sala[Número de Orden],Sala[Monto total],"fracaso",0,1)</f>
        <v>0.10810810810810811</v>
      </c>
      <c r="L785" t="s">
        <v>607</v>
      </c>
    </row>
    <row r="786" spans="1:12" x14ac:dyDescent="0.25">
      <c r="A786">
        <v>309</v>
      </c>
      <c r="B786">
        <v>9</v>
      </c>
      <c r="C786" t="s">
        <v>48</v>
      </c>
      <c r="D786" t="s">
        <v>622</v>
      </c>
      <c r="E786">
        <v>25</v>
      </c>
      <c r="F786">
        <v>40</v>
      </c>
      <c r="G786">
        <v>1</v>
      </c>
      <c r="H786">
        <v>29</v>
      </c>
      <c r="I786">
        <f>Cocina[[#This Row],[Precio Unitario]]*Cocina[[#This Row],[Cantidad Ordenada]]</f>
        <v>40</v>
      </c>
      <c r="J786">
        <f>(Cocina[[#This Row],[Precio Unitario]]-Cocina[[#This Row],[Costo Unitario]])*Cocina[[#This Row],[Cantidad Ordenada]]</f>
        <v>15</v>
      </c>
      <c r="K786" s="4">
        <f>Cocina[[#This Row],[Ganancia neta]]/_xlfn.XLOOKUP(Cocina[[#This Row],[Número de Orden]],Sala[Número de Orden],Sala[Monto total],"fracaso",0,1)</f>
        <v>8.7209302325581398E-2</v>
      </c>
      <c r="L786" t="s">
        <v>607</v>
      </c>
    </row>
    <row r="787" spans="1:12" x14ac:dyDescent="0.25">
      <c r="A787">
        <v>309</v>
      </c>
      <c r="B787">
        <v>9</v>
      </c>
      <c r="C787" t="s">
        <v>116</v>
      </c>
      <c r="D787" t="s">
        <v>620</v>
      </c>
      <c r="E787">
        <v>19</v>
      </c>
      <c r="F787">
        <v>31</v>
      </c>
      <c r="G787">
        <v>2</v>
      </c>
      <c r="H787">
        <v>43</v>
      </c>
      <c r="I787">
        <f>Cocina[[#This Row],[Precio Unitario]]*Cocina[[#This Row],[Cantidad Ordenada]]</f>
        <v>62</v>
      </c>
      <c r="J787">
        <f>(Cocina[[#This Row],[Precio Unitario]]-Cocina[[#This Row],[Costo Unitario]])*Cocina[[#This Row],[Cantidad Ordenada]]</f>
        <v>24</v>
      </c>
      <c r="K787" s="4">
        <f>Cocina[[#This Row],[Ganancia neta]]/_xlfn.XLOOKUP(Cocina[[#This Row],[Número de Orden]],Sala[Número de Orden],Sala[Monto total],"fracaso",0,1)</f>
        <v>0.13953488372093023</v>
      </c>
      <c r="L787" t="s">
        <v>608</v>
      </c>
    </row>
    <row r="788" spans="1:12" x14ac:dyDescent="0.25">
      <c r="A788">
        <v>309</v>
      </c>
      <c r="B788">
        <v>9</v>
      </c>
      <c r="C788" t="s">
        <v>26</v>
      </c>
      <c r="D788" t="s">
        <v>628</v>
      </c>
      <c r="E788">
        <v>21</v>
      </c>
      <c r="F788">
        <v>35</v>
      </c>
      <c r="G788">
        <v>2</v>
      </c>
      <c r="H788">
        <v>51</v>
      </c>
      <c r="I788">
        <f>Cocina[[#This Row],[Precio Unitario]]*Cocina[[#This Row],[Cantidad Ordenada]]</f>
        <v>70</v>
      </c>
      <c r="J788">
        <f>(Cocina[[#This Row],[Precio Unitario]]-Cocina[[#This Row],[Costo Unitario]])*Cocina[[#This Row],[Cantidad Ordenada]]</f>
        <v>28</v>
      </c>
      <c r="K788" s="4">
        <f>Cocina[[#This Row],[Ganancia neta]]/_xlfn.XLOOKUP(Cocina[[#This Row],[Número de Orden]],Sala[Número de Orden],Sala[Monto total],"fracaso",0,1)</f>
        <v>0.16279069767441862</v>
      </c>
      <c r="L788" t="s">
        <v>608</v>
      </c>
    </row>
    <row r="789" spans="1:12" x14ac:dyDescent="0.25">
      <c r="A789">
        <v>310</v>
      </c>
      <c r="B789">
        <v>17</v>
      </c>
      <c r="C789" t="s">
        <v>155</v>
      </c>
      <c r="D789" t="s">
        <v>636</v>
      </c>
      <c r="E789">
        <v>15</v>
      </c>
      <c r="F789">
        <v>26</v>
      </c>
      <c r="G789">
        <v>3</v>
      </c>
      <c r="H789">
        <v>43</v>
      </c>
      <c r="I789">
        <f>Cocina[[#This Row],[Precio Unitario]]*Cocina[[#This Row],[Cantidad Ordenada]]</f>
        <v>78</v>
      </c>
      <c r="J789">
        <f>(Cocina[[#This Row],[Precio Unitario]]-Cocina[[#This Row],[Costo Unitario]])*Cocina[[#This Row],[Cantidad Ordenada]]</f>
        <v>33</v>
      </c>
      <c r="K789" s="4">
        <f>Cocina[[#This Row],[Ganancia neta]]/_xlfn.XLOOKUP(Cocina[[#This Row],[Número de Orden]],Sala[Número de Orden],Sala[Monto total],"fracaso",0,1)</f>
        <v>0.2391304347826087</v>
      </c>
      <c r="L789" t="s">
        <v>607</v>
      </c>
    </row>
    <row r="790" spans="1:12" x14ac:dyDescent="0.25">
      <c r="A790">
        <v>310</v>
      </c>
      <c r="B790">
        <v>17</v>
      </c>
      <c r="C790" t="s">
        <v>68</v>
      </c>
      <c r="D790" t="s">
        <v>619</v>
      </c>
      <c r="E790">
        <v>18</v>
      </c>
      <c r="F790">
        <v>30</v>
      </c>
      <c r="G790">
        <v>2</v>
      </c>
      <c r="H790">
        <v>54</v>
      </c>
      <c r="I790">
        <f>Cocina[[#This Row],[Precio Unitario]]*Cocina[[#This Row],[Cantidad Ordenada]]</f>
        <v>60</v>
      </c>
      <c r="J790">
        <f>(Cocina[[#This Row],[Precio Unitario]]-Cocina[[#This Row],[Costo Unitario]])*Cocina[[#This Row],[Cantidad Ordenada]]</f>
        <v>24</v>
      </c>
      <c r="K790" s="4">
        <f>Cocina[[#This Row],[Ganancia neta]]/_xlfn.XLOOKUP(Cocina[[#This Row],[Número de Orden]],Sala[Número de Orden],Sala[Monto total],"fracaso",0,1)</f>
        <v>0.17391304347826086</v>
      </c>
      <c r="L790" t="s">
        <v>608</v>
      </c>
    </row>
    <row r="791" spans="1:12" x14ac:dyDescent="0.25">
      <c r="A791">
        <v>311</v>
      </c>
      <c r="B791">
        <v>6</v>
      </c>
      <c r="C791" t="s">
        <v>158</v>
      </c>
      <c r="D791" t="s">
        <v>617</v>
      </c>
      <c r="E791">
        <v>14</v>
      </c>
      <c r="F791">
        <v>24</v>
      </c>
      <c r="G791">
        <v>1</v>
      </c>
      <c r="H791">
        <v>46</v>
      </c>
      <c r="I791">
        <f>Cocina[[#This Row],[Precio Unitario]]*Cocina[[#This Row],[Cantidad Ordenada]]</f>
        <v>24</v>
      </c>
      <c r="J791">
        <f>(Cocina[[#This Row],[Precio Unitario]]-Cocina[[#This Row],[Costo Unitario]])*Cocina[[#This Row],[Cantidad Ordenada]]</f>
        <v>10</v>
      </c>
      <c r="K791" s="4">
        <f>Cocina[[#This Row],[Ganancia neta]]/_xlfn.XLOOKUP(Cocina[[#This Row],[Número de Orden]],Sala[Número de Orden],Sala[Monto total],"fracaso",0,1)</f>
        <v>0.18867924528301888</v>
      </c>
      <c r="L791" t="s">
        <v>608</v>
      </c>
    </row>
    <row r="792" spans="1:12" x14ac:dyDescent="0.25">
      <c r="A792">
        <v>311</v>
      </c>
      <c r="B792">
        <v>6</v>
      </c>
      <c r="C792" t="s">
        <v>38</v>
      </c>
      <c r="D792" t="s">
        <v>624</v>
      </c>
      <c r="E792">
        <v>17</v>
      </c>
      <c r="F792">
        <v>29</v>
      </c>
      <c r="G792">
        <v>1</v>
      </c>
      <c r="H792">
        <v>28</v>
      </c>
      <c r="I792">
        <f>Cocina[[#This Row],[Precio Unitario]]*Cocina[[#This Row],[Cantidad Ordenada]]</f>
        <v>29</v>
      </c>
      <c r="J792">
        <f>(Cocina[[#This Row],[Precio Unitario]]-Cocina[[#This Row],[Costo Unitario]])*Cocina[[#This Row],[Cantidad Ordenada]]</f>
        <v>12</v>
      </c>
      <c r="K792" s="4">
        <f>Cocina[[#This Row],[Ganancia neta]]/_xlfn.XLOOKUP(Cocina[[#This Row],[Número de Orden]],Sala[Número de Orden],Sala[Monto total],"fracaso",0,1)</f>
        <v>0.22641509433962265</v>
      </c>
      <c r="L792" t="s">
        <v>608</v>
      </c>
    </row>
    <row r="793" spans="1:12" x14ac:dyDescent="0.25">
      <c r="A793">
        <v>312</v>
      </c>
      <c r="B793">
        <v>2</v>
      </c>
      <c r="C793" t="s">
        <v>247</v>
      </c>
      <c r="D793" t="s">
        <v>629</v>
      </c>
      <c r="E793">
        <v>19</v>
      </c>
      <c r="F793">
        <v>32</v>
      </c>
      <c r="G793">
        <v>2</v>
      </c>
      <c r="H793">
        <v>45</v>
      </c>
      <c r="I793">
        <f>Cocina[[#This Row],[Precio Unitario]]*Cocina[[#This Row],[Cantidad Ordenada]]</f>
        <v>64</v>
      </c>
      <c r="J793">
        <f>(Cocina[[#This Row],[Precio Unitario]]-Cocina[[#This Row],[Costo Unitario]])*Cocina[[#This Row],[Cantidad Ordenada]]</f>
        <v>26</v>
      </c>
      <c r="K793" s="4">
        <f>Cocina[[#This Row],[Ganancia neta]]/_xlfn.XLOOKUP(Cocina[[#This Row],[Número de Orden]],Sala[Número de Orden],Sala[Monto total],"fracaso",0,1)</f>
        <v>0.19402985074626866</v>
      </c>
      <c r="L793" t="s">
        <v>608</v>
      </c>
    </row>
    <row r="794" spans="1:12" x14ac:dyDescent="0.25">
      <c r="A794">
        <v>312</v>
      </c>
      <c r="B794">
        <v>2</v>
      </c>
      <c r="C794" t="s">
        <v>26</v>
      </c>
      <c r="D794" t="s">
        <v>628</v>
      </c>
      <c r="E794">
        <v>21</v>
      </c>
      <c r="F794">
        <v>35</v>
      </c>
      <c r="G794">
        <v>2</v>
      </c>
      <c r="H794">
        <v>10</v>
      </c>
      <c r="I794">
        <f>Cocina[[#This Row],[Precio Unitario]]*Cocina[[#This Row],[Cantidad Ordenada]]</f>
        <v>70</v>
      </c>
      <c r="J794">
        <f>(Cocina[[#This Row],[Precio Unitario]]-Cocina[[#This Row],[Costo Unitario]])*Cocina[[#This Row],[Cantidad Ordenada]]</f>
        <v>28</v>
      </c>
      <c r="K794" s="4">
        <f>Cocina[[#This Row],[Ganancia neta]]/_xlfn.XLOOKUP(Cocina[[#This Row],[Número de Orden]],Sala[Número de Orden],Sala[Monto total],"fracaso",0,1)</f>
        <v>0.20895522388059701</v>
      </c>
      <c r="L794" t="s">
        <v>608</v>
      </c>
    </row>
    <row r="795" spans="1:12" x14ac:dyDescent="0.25">
      <c r="A795">
        <v>313</v>
      </c>
      <c r="B795">
        <v>10</v>
      </c>
      <c r="C795" t="s">
        <v>112</v>
      </c>
      <c r="D795" t="s">
        <v>627</v>
      </c>
      <c r="E795">
        <v>11</v>
      </c>
      <c r="F795">
        <v>19</v>
      </c>
      <c r="G795">
        <v>2</v>
      </c>
      <c r="H795">
        <v>27</v>
      </c>
      <c r="I795">
        <f>Cocina[[#This Row],[Precio Unitario]]*Cocina[[#This Row],[Cantidad Ordenada]]</f>
        <v>38</v>
      </c>
      <c r="J795">
        <f>(Cocina[[#This Row],[Precio Unitario]]-Cocina[[#This Row],[Costo Unitario]])*Cocina[[#This Row],[Cantidad Ordenada]]</f>
        <v>16</v>
      </c>
      <c r="K795" s="4">
        <f>Cocina[[#This Row],[Ganancia neta]]/_xlfn.XLOOKUP(Cocina[[#This Row],[Número de Orden]],Sala[Número de Orden],Sala[Monto total],"fracaso",0,1)</f>
        <v>6.8965517241379309E-2</v>
      </c>
      <c r="L795" t="s">
        <v>608</v>
      </c>
    </row>
    <row r="796" spans="1:12" x14ac:dyDescent="0.25">
      <c r="A796">
        <v>313</v>
      </c>
      <c r="B796">
        <v>10</v>
      </c>
      <c r="C796" t="s">
        <v>116</v>
      </c>
      <c r="D796" t="s">
        <v>620</v>
      </c>
      <c r="E796">
        <v>19</v>
      </c>
      <c r="F796">
        <v>31</v>
      </c>
      <c r="G796">
        <v>2</v>
      </c>
      <c r="H796">
        <v>38</v>
      </c>
      <c r="I796">
        <f>Cocina[[#This Row],[Precio Unitario]]*Cocina[[#This Row],[Cantidad Ordenada]]</f>
        <v>62</v>
      </c>
      <c r="J796">
        <f>(Cocina[[#This Row],[Precio Unitario]]-Cocina[[#This Row],[Costo Unitario]])*Cocina[[#This Row],[Cantidad Ordenada]]</f>
        <v>24</v>
      </c>
      <c r="K796" s="4">
        <f>Cocina[[#This Row],[Ganancia neta]]/_xlfn.XLOOKUP(Cocina[[#This Row],[Número de Orden]],Sala[Número de Orden],Sala[Monto total],"fracaso",0,1)</f>
        <v>0.10344827586206896</v>
      </c>
      <c r="L796" t="s">
        <v>607</v>
      </c>
    </row>
    <row r="797" spans="1:12" x14ac:dyDescent="0.25">
      <c r="A797">
        <v>313</v>
      </c>
      <c r="B797">
        <v>10</v>
      </c>
      <c r="C797" t="s">
        <v>73</v>
      </c>
      <c r="D797" t="s">
        <v>623</v>
      </c>
      <c r="E797">
        <v>22</v>
      </c>
      <c r="F797">
        <v>36</v>
      </c>
      <c r="G797">
        <v>3</v>
      </c>
      <c r="H797">
        <v>26</v>
      </c>
      <c r="I797">
        <f>Cocina[[#This Row],[Precio Unitario]]*Cocina[[#This Row],[Cantidad Ordenada]]</f>
        <v>108</v>
      </c>
      <c r="J797">
        <f>(Cocina[[#This Row],[Precio Unitario]]-Cocina[[#This Row],[Costo Unitario]])*Cocina[[#This Row],[Cantidad Ordenada]]</f>
        <v>42</v>
      </c>
      <c r="K797" s="4">
        <f>Cocina[[#This Row],[Ganancia neta]]/_xlfn.XLOOKUP(Cocina[[#This Row],[Número de Orden]],Sala[Número de Orden],Sala[Monto total],"fracaso",0,1)</f>
        <v>0.18103448275862069</v>
      </c>
      <c r="L797" t="s">
        <v>607</v>
      </c>
    </row>
    <row r="798" spans="1:12" x14ac:dyDescent="0.25">
      <c r="A798">
        <v>313</v>
      </c>
      <c r="B798">
        <v>10</v>
      </c>
      <c r="C798" t="s">
        <v>158</v>
      </c>
      <c r="D798" t="s">
        <v>617</v>
      </c>
      <c r="E798">
        <v>14</v>
      </c>
      <c r="F798">
        <v>24</v>
      </c>
      <c r="G798">
        <v>1</v>
      </c>
      <c r="H798">
        <v>15</v>
      </c>
      <c r="I798">
        <f>Cocina[[#This Row],[Precio Unitario]]*Cocina[[#This Row],[Cantidad Ordenada]]</f>
        <v>24</v>
      </c>
      <c r="J798">
        <f>(Cocina[[#This Row],[Precio Unitario]]-Cocina[[#This Row],[Costo Unitario]])*Cocina[[#This Row],[Cantidad Ordenada]]</f>
        <v>10</v>
      </c>
      <c r="K798" s="4">
        <f>Cocina[[#This Row],[Ganancia neta]]/_xlfn.XLOOKUP(Cocina[[#This Row],[Número de Orden]],Sala[Número de Orden],Sala[Monto total],"fracaso",0,1)</f>
        <v>4.3103448275862072E-2</v>
      </c>
      <c r="L798" t="s">
        <v>608</v>
      </c>
    </row>
    <row r="799" spans="1:12" x14ac:dyDescent="0.25">
      <c r="A799">
        <v>314</v>
      </c>
      <c r="B799">
        <v>20</v>
      </c>
      <c r="C799" t="s">
        <v>106</v>
      </c>
      <c r="D799" t="s">
        <v>621</v>
      </c>
      <c r="E799">
        <v>16</v>
      </c>
      <c r="F799">
        <v>27</v>
      </c>
      <c r="G799">
        <v>1</v>
      </c>
      <c r="H799">
        <v>5</v>
      </c>
      <c r="I799">
        <f>Cocina[[#This Row],[Precio Unitario]]*Cocina[[#This Row],[Cantidad Ordenada]]</f>
        <v>27</v>
      </c>
      <c r="J799">
        <f>(Cocina[[#This Row],[Precio Unitario]]-Cocina[[#This Row],[Costo Unitario]])*Cocina[[#This Row],[Cantidad Ordenada]]</f>
        <v>11</v>
      </c>
      <c r="K799" s="4">
        <f>Cocina[[#This Row],[Ganancia neta]]/_xlfn.XLOOKUP(Cocina[[#This Row],[Número de Orden]],Sala[Número de Orden],Sala[Monto total],"fracaso",0,1)</f>
        <v>0.40740740740740738</v>
      </c>
      <c r="L799" t="s">
        <v>607</v>
      </c>
    </row>
    <row r="800" spans="1:12" x14ac:dyDescent="0.25">
      <c r="A800">
        <v>315</v>
      </c>
      <c r="B800">
        <v>14</v>
      </c>
      <c r="C800" t="s">
        <v>122</v>
      </c>
      <c r="D800" t="s">
        <v>637</v>
      </c>
      <c r="E800">
        <v>15</v>
      </c>
      <c r="F800">
        <v>25</v>
      </c>
      <c r="G800">
        <v>1</v>
      </c>
      <c r="H800">
        <v>16</v>
      </c>
      <c r="I800">
        <f>Cocina[[#This Row],[Precio Unitario]]*Cocina[[#This Row],[Cantidad Ordenada]]</f>
        <v>25</v>
      </c>
      <c r="J800">
        <f>(Cocina[[#This Row],[Precio Unitario]]-Cocina[[#This Row],[Costo Unitario]])*Cocina[[#This Row],[Cantidad Ordenada]]</f>
        <v>10</v>
      </c>
      <c r="K800" s="4">
        <f>Cocina[[#This Row],[Ganancia neta]]/_xlfn.XLOOKUP(Cocina[[#This Row],[Número de Orden]],Sala[Número de Orden],Sala[Monto total],"fracaso",0,1)</f>
        <v>6.2111801242236024E-2</v>
      </c>
      <c r="L800" t="s">
        <v>608</v>
      </c>
    </row>
    <row r="801" spans="1:12" x14ac:dyDescent="0.25">
      <c r="A801">
        <v>315</v>
      </c>
      <c r="B801">
        <v>14</v>
      </c>
      <c r="C801" t="s">
        <v>42</v>
      </c>
      <c r="D801" t="s">
        <v>626</v>
      </c>
      <c r="E801">
        <v>16</v>
      </c>
      <c r="F801">
        <v>28</v>
      </c>
      <c r="G801">
        <v>1</v>
      </c>
      <c r="H801">
        <v>7</v>
      </c>
      <c r="I801">
        <f>Cocina[[#This Row],[Precio Unitario]]*Cocina[[#This Row],[Cantidad Ordenada]]</f>
        <v>28</v>
      </c>
      <c r="J801">
        <f>(Cocina[[#This Row],[Precio Unitario]]-Cocina[[#This Row],[Costo Unitario]])*Cocina[[#This Row],[Cantidad Ordenada]]</f>
        <v>12</v>
      </c>
      <c r="K801" s="4">
        <f>Cocina[[#This Row],[Ganancia neta]]/_xlfn.XLOOKUP(Cocina[[#This Row],[Número de Orden]],Sala[Número de Orden],Sala[Monto total],"fracaso",0,1)</f>
        <v>7.4534161490683232E-2</v>
      </c>
      <c r="L801" t="s">
        <v>608</v>
      </c>
    </row>
    <row r="802" spans="1:12" x14ac:dyDescent="0.25">
      <c r="A802">
        <v>315</v>
      </c>
      <c r="B802">
        <v>14</v>
      </c>
      <c r="C802" t="s">
        <v>38</v>
      </c>
      <c r="D802" t="s">
        <v>624</v>
      </c>
      <c r="E802">
        <v>17</v>
      </c>
      <c r="F802">
        <v>29</v>
      </c>
      <c r="G802">
        <v>3</v>
      </c>
      <c r="H802">
        <v>52</v>
      </c>
      <c r="I802">
        <f>Cocina[[#This Row],[Precio Unitario]]*Cocina[[#This Row],[Cantidad Ordenada]]</f>
        <v>87</v>
      </c>
      <c r="J802">
        <f>(Cocina[[#This Row],[Precio Unitario]]-Cocina[[#This Row],[Costo Unitario]])*Cocina[[#This Row],[Cantidad Ordenada]]</f>
        <v>36</v>
      </c>
      <c r="K802" s="4">
        <f>Cocina[[#This Row],[Ganancia neta]]/_xlfn.XLOOKUP(Cocina[[#This Row],[Número de Orden]],Sala[Número de Orden],Sala[Monto total],"fracaso",0,1)</f>
        <v>0.2236024844720497</v>
      </c>
      <c r="L802" t="s">
        <v>608</v>
      </c>
    </row>
    <row r="803" spans="1:12" x14ac:dyDescent="0.25">
      <c r="A803">
        <v>315</v>
      </c>
      <c r="B803">
        <v>14</v>
      </c>
      <c r="C803" t="s">
        <v>70</v>
      </c>
      <c r="D803" t="s">
        <v>634</v>
      </c>
      <c r="E803">
        <v>13</v>
      </c>
      <c r="F803">
        <v>21</v>
      </c>
      <c r="G803">
        <v>1</v>
      </c>
      <c r="H803">
        <v>51</v>
      </c>
      <c r="I803">
        <f>Cocina[[#This Row],[Precio Unitario]]*Cocina[[#This Row],[Cantidad Ordenada]]</f>
        <v>21</v>
      </c>
      <c r="J803">
        <f>(Cocina[[#This Row],[Precio Unitario]]-Cocina[[#This Row],[Costo Unitario]])*Cocina[[#This Row],[Cantidad Ordenada]]</f>
        <v>8</v>
      </c>
      <c r="K803" s="4">
        <f>Cocina[[#This Row],[Ganancia neta]]/_xlfn.XLOOKUP(Cocina[[#This Row],[Número de Orden]],Sala[Número de Orden],Sala[Monto total],"fracaso",0,1)</f>
        <v>4.9689440993788817E-2</v>
      </c>
      <c r="L803" t="s">
        <v>608</v>
      </c>
    </row>
    <row r="804" spans="1:12" x14ac:dyDescent="0.25">
      <c r="A804">
        <v>316</v>
      </c>
      <c r="B804">
        <v>2</v>
      </c>
      <c r="C804" t="s">
        <v>79</v>
      </c>
      <c r="D804" t="s">
        <v>635</v>
      </c>
      <c r="E804">
        <v>10</v>
      </c>
      <c r="F804">
        <v>18</v>
      </c>
      <c r="G804">
        <v>1</v>
      </c>
      <c r="H804">
        <v>30</v>
      </c>
      <c r="I804">
        <f>Cocina[[#This Row],[Precio Unitario]]*Cocina[[#This Row],[Cantidad Ordenada]]</f>
        <v>18</v>
      </c>
      <c r="J804">
        <f>(Cocina[[#This Row],[Precio Unitario]]-Cocina[[#This Row],[Costo Unitario]])*Cocina[[#This Row],[Cantidad Ordenada]]</f>
        <v>8</v>
      </c>
      <c r="K804" s="4">
        <f>Cocina[[#This Row],[Ganancia neta]]/_xlfn.XLOOKUP(Cocina[[#This Row],[Número de Orden]],Sala[Número de Orden],Sala[Monto total],"fracaso",0,1)</f>
        <v>0.05</v>
      </c>
      <c r="L804" t="s">
        <v>607</v>
      </c>
    </row>
    <row r="805" spans="1:12" x14ac:dyDescent="0.25">
      <c r="A805">
        <v>316</v>
      </c>
      <c r="B805">
        <v>2</v>
      </c>
      <c r="C805" t="s">
        <v>70</v>
      </c>
      <c r="D805" t="s">
        <v>634</v>
      </c>
      <c r="E805">
        <v>13</v>
      </c>
      <c r="F805">
        <v>21</v>
      </c>
      <c r="G805">
        <v>1</v>
      </c>
      <c r="H805">
        <v>23</v>
      </c>
      <c r="I805">
        <f>Cocina[[#This Row],[Precio Unitario]]*Cocina[[#This Row],[Cantidad Ordenada]]</f>
        <v>21</v>
      </c>
      <c r="J805">
        <f>(Cocina[[#This Row],[Precio Unitario]]-Cocina[[#This Row],[Costo Unitario]])*Cocina[[#This Row],[Cantidad Ordenada]]</f>
        <v>8</v>
      </c>
      <c r="K805" s="4">
        <f>Cocina[[#This Row],[Ganancia neta]]/_xlfn.XLOOKUP(Cocina[[#This Row],[Número de Orden]],Sala[Número de Orden],Sala[Monto total],"fracaso",0,1)</f>
        <v>0.05</v>
      </c>
      <c r="L805" t="s">
        <v>607</v>
      </c>
    </row>
    <row r="806" spans="1:12" x14ac:dyDescent="0.25">
      <c r="A806">
        <v>316</v>
      </c>
      <c r="B806">
        <v>2</v>
      </c>
      <c r="C806" t="s">
        <v>106</v>
      </c>
      <c r="D806" t="s">
        <v>621</v>
      </c>
      <c r="E806">
        <v>16</v>
      </c>
      <c r="F806">
        <v>27</v>
      </c>
      <c r="G806">
        <v>3</v>
      </c>
      <c r="H806">
        <v>53</v>
      </c>
      <c r="I806">
        <f>Cocina[[#This Row],[Precio Unitario]]*Cocina[[#This Row],[Cantidad Ordenada]]</f>
        <v>81</v>
      </c>
      <c r="J806">
        <f>(Cocina[[#This Row],[Precio Unitario]]-Cocina[[#This Row],[Costo Unitario]])*Cocina[[#This Row],[Cantidad Ordenada]]</f>
        <v>33</v>
      </c>
      <c r="K806" s="4">
        <f>Cocina[[#This Row],[Ganancia neta]]/_xlfn.XLOOKUP(Cocina[[#This Row],[Número de Orden]],Sala[Número de Orden],Sala[Monto total],"fracaso",0,1)</f>
        <v>0.20624999999999999</v>
      </c>
      <c r="L806" t="s">
        <v>608</v>
      </c>
    </row>
    <row r="807" spans="1:12" x14ac:dyDescent="0.25">
      <c r="A807">
        <v>316</v>
      </c>
      <c r="B807">
        <v>2</v>
      </c>
      <c r="C807" t="s">
        <v>48</v>
      </c>
      <c r="D807" t="s">
        <v>622</v>
      </c>
      <c r="E807">
        <v>25</v>
      </c>
      <c r="F807">
        <v>40</v>
      </c>
      <c r="G807">
        <v>1</v>
      </c>
      <c r="H807">
        <v>52</v>
      </c>
      <c r="I807">
        <f>Cocina[[#This Row],[Precio Unitario]]*Cocina[[#This Row],[Cantidad Ordenada]]</f>
        <v>40</v>
      </c>
      <c r="J807">
        <f>(Cocina[[#This Row],[Precio Unitario]]-Cocina[[#This Row],[Costo Unitario]])*Cocina[[#This Row],[Cantidad Ordenada]]</f>
        <v>15</v>
      </c>
      <c r="K807" s="4">
        <f>Cocina[[#This Row],[Ganancia neta]]/_xlfn.XLOOKUP(Cocina[[#This Row],[Número de Orden]],Sala[Número de Orden],Sala[Monto total],"fracaso",0,1)</f>
        <v>9.375E-2</v>
      </c>
      <c r="L807" t="s">
        <v>608</v>
      </c>
    </row>
    <row r="808" spans="1:12" x14ac:dyDescent="0.25">
      <c r="A808">
        <v>317</v>
      </c>
      <c r="B808">
        <v>17</v>
      </c>
      <c r="C808" t="s">
        <v>203</v>
      </c>
      <c r="D808" t="s">
        <v>630</v>
      </c>
      <c r="E808">
        <v>13</v>
      </c>
      <c r="F808">
        <v>22</v>
      </c>
      <c r="G808">
        <v>2</v>
      </c>
      <c r="H808">
        <v>20</v>
      </c>
      <c r="I808">
        <f>Cocina[[#This Row],[Precio Unitario]]*Cocina[[#This Row],[Cantidad Ordenada]]</f>
        <v>44</v>
      </c>
      <c r="J808">
        <f>(Cocina[[#This Row],[Precio Unitario]]-Cocina[[#This Row],[Costo Unitario]])*Cocina[[#This Row],[Cantidad Ordenada]]</f>
        <v>18</v>
      </c>
      <c r="K808" s="4">
        <f>Cocina[[#This Row],[Ganancia neta]]/_xlfn.XLOOKUP(Cocina[[#This Row],[Número de Orden]],Sala[Número de Orden],Sala[Monto total],"fracaso",0,1)</f>
        <v>0.10112359550561797</v>
      </c>
      <c r="L808" t="s">
        <v>608</v>
      </c>
    </row>
    <row r="809" spans="1:12" x14ac:dyDescent="0.25">
      <c r="A809">
        <v>317</v>
      </c>
      <c r="B809">
        <v>17</v>
      </c>
      <c r="C809" t="s">
        <v>55</v>
      </c>
      <c r="D809" t="s">
        <v>631</v>
      </c>
      <c r="E809">
        <v>20</v>
      </c>
      <c r="F809">
        <v>34</v>
      </c>
      <c r="G809">
        <v>3</v>
      </c>
      <c r="H809">
        <v>37</v>
      </c>
      <c r="I809">
        <f>Cocina[[#This Row],[Precio Unitario]]*Cocina[[#This Row],[Cantidad Ordenada]]</f>
        <v>102</v>
      </c>
      <c r="J809">
        <f>(Cocina[[#This Row],[Precio Unitario]]-Cocina[[#This Row],[Costo Unitario]])*Cocina[[#This Row],[Cantidad Ordenada]]</f>
        <v>42</v>
      </c>
      <c r="K809" s="4">
        <f>Cocina[[#This Row],[Ganancia neta]]/_xlfn.XLOOKUP(Cocina[[#This Row],[Número de Orden]],Sala[Número de Orden],Sala[Monto total],"fracaso",0,1)</f>
        <v>0.23595505617977527</v>
      </c>
      <c r="L809" t="s">
        <v>608</v>
      </c>
    </row>
    <row r="810" spans="1:12" x14ac:dyDescent="0.25">
      <c r="A810">
        <v>317</v>
      </c>
      <c r="B810">
        <v>17</v>
      </c>
      <c r="C810" t="s">
        <v>247</v>
      </c>
      <c r="D810" t="s">
        <v>629</v>
      </c>
      <c r="E810">
        <v>19</v>
      </c>
      <c r="F810">
        <v>32</v>
      </c>
      <c r="G810">
        <v>1</v>
      </c>
      <c r="H810">
        <v>31</v>
      </c>
      <c r="I810">
        <f>Cocina[[#This Row],[Precio Unitario]]*Cocina[[#This Row],[Cantidad Ordenada]]</f>
        <v>32</v>
      </c>
      <c r="J810">
        <f>(Cocina[[#This Row],[Precio Unitario]]-Cocina[[#This Row],[Costo Unitario]])*Cocina[[#This Row],[Cantidad Ordenada]]</f>
        <v>13</v>
      </c>
      <c r="K810" s="4">
        <f>Cocina[[#This Row],[Ganancia neta]]/_xlfn.XLOOKUP(Cocina[[#This Row],[Número de Orden]],Sala[Número de Orden],Sala[Monto total],"fracaso",0,1)</f>
        <v>7.3033707865168537E-2</v>
      </c>
      <c r="L810" t="s">
        <v>608</v>
      </c>
    </row>
    <row r="811" spans="1:12" x14ac:dyDescent="0.25">
      <c r="A811">
        <v>318</v>
      </c>
      <c r="B811">
        <v>13</v>
      </c>
      <c r="C811" t="s">
        <v>38</v>
      </c>
      <c r="D811" t="s">
        <v>624</v>
      </c>
      <c r="E811">
        <v>17</v>
      </c>
      <c r="F811">
        <v>29</v>
      </c>
      <c r="G811">
        <v>1</v>
      </c>
      <c r="H811">
        <v>39</v>
      </c>
      <c r="I811">
        <f>Cocina[[#This Row],[Precio Unitario]]*Cocina[[#This Row],[Cantidad Ordenada]]</f>
        <v>29</v>
      </c>
      <c r="J811">
        <f>(Cocina[[#This Row],[Precio Unitario]]-Cocina[[#This Row],[Costo Unitario]])*Cocina[[#This Row],[Cantidad Ordenada]]</f>
        <v>12</v>
      </c>
      <c r="K811" s="4">
        <f>Cocina[[#This Row],[Ganancia neta]]/_xlfn.XLOOKUP(Cocina[[#This Row],[Número de Orden]],Sala[Número de Orden],Sala[Monto total],"fracaso",0,1)</f>
        <v>0.41379310344827586</v>
      </c>
      <c r="L811" t="s">
        <v>608</v>
      </c>
    </row>
    <row r="812" spans="1:12" x14ac:dyDescent="0.25">
      <c r="A812">
        <v>319</v>
      </c>
      <c r="B812">
        <v>1</v>
      </c>
      <c r="C812" t="s">
        <v>247</v>
      </c>
      <c r="D812" t="s">
        <v>629</v>
      </c>
      <c r="E812">
        <v>19</v>
      </c>
      <c r="F812">
        <v>32</v>
      </c>
      <c r="G812">
        <v>3</v>
      </c>
      <c r="H812">
        <v>16</v>
      </c>
      <c r="I812">
        <f>Cocina[[#This Row],[Precio Unitario]]*Cocina[[#This Row],[Cantidad Ordenada]]</f>
        <v>96</v>
      </c>
      <c r="J812">
        <f>(Cocina[[#This Row],[Precio Unitario]]-Cocina[[#This Row],[Costo Unitario]])*Cocina[[#This Row],[Cantidad Ordenada]]</f>
        <v>39</v>
      </c>
      <c r="K812" s="4">
        <f>Cocina[[#This Row],[Ganancia neta]]/_xlfn.XLOOKUP(Cocina[[#This Row],[Número de Orden]],Sala[Número de Orden],Sala[Monto total],"fracaso",0,1)</f>
        <v>0.1455223880597015</v>
      </c>
      <c r="L812" t="s">
        <v>608</v>
      </c>
    </row>
    <row r="813" spans="1:12" x14ac:dyDescent="0.25">
      <c r="A813">
        <v>319</v>
      </c>
      <c r="B813">
        <v>1</v>
      </c>
      <c r="C813" t="s">
        <v>26</v>
      </c>
      <c r="D813" t="s">
        <v>628</v>
      </c>
      <c r="E813">
        <v>21</v>
      </c>
      <c r="F813">
        <v>35</v>
      </c>
      <c r="G813">
        <v>2</v>
      </c>
      <c r="H813">
        <v>17</v>
      </c>
      <c r="I813">
        <f>Cocina[[#This Row],[Precio Unitario]]*Cocina[[#This Row],[Cantidad Ordenada]]</f>
        <v>70</v>
      </c>
      <c r="J813">
        <f>(Cocina[[#This Row],[Precio Unitario]]-Cocina[[#This Row],[Costo Unitario]])*Cocina[[#This Row],[Cantidad Ordenada]]</f>
        <v>28</v>
      </c>
      <c r="K813" s="4">
        <f>Cocina[[#This Row],[Ganancia neta]]/_xlfn.XLOOKUP(Cocina[[#This Row],[Número de Orden]],Sala[Número de Orden],Sala[Monto total],"fracaso",0,1)</f>
        <v>0.1044776119402985</v>
      </c>
      <c r="L813" t="s">
        <v>607</v>
      </c>
    </row>
    <row r="814" spans="1:12" x14ac:dyDescent="0.25">
      <c r="A814">
        <v>319</v>
      </c>
      <c r="B814">
        <v>1</v>
      </c>
      <c r="C814" t="s">
        <v>48</v>
      </c>
      <c r="D814" t="s">
        <v>622</v>
      </c>
      <c r="E814">
        <v>25</v>
      </c>
      <c r="F814">
        <v>40</v>
      </c>
      <c r="G814">
        <v>1</v>
      </c>
      <c r="H814">
        <v>38</v>
      </c>
      <c r="I814">
        <f>Cocina[[#This Row],[Precio Unitario]]*Cocina[[#This Row],[Cantidad Ordenada]]</f>
        <v>40</v>
      </c>
      <c r="J814">
        <f>(Cocina[[#This Row],[Precio Unitario]]-Cocina[[#This Row],[Costo Unitario]])*Cocina[[#This Row],[Cantidad Ordenada]]</f>
        <v>15</v>
      </c>
      <c r="K814" s="4">
        <f>Cocina[[#This Row],[Ganancia neta]]/_xlfn.XLOOKUP(Cocina[[#This Row],[Número de Orden]],Sala[Número de Orden],Sala[Monto total],"fracaso",0,1)</f>
        <v>5.5970149253731345E-2</v>
      </c>
      <c r="L814" t="s">
        <v>608</v>
      </c>
    </row>
    <row r="815" spans="1:12" x14ac:dyDescent="0.25">
      <c r="A815">
        <v>319</v>
      </c>
      <c r="B815">
        <v>1</v>
      </c>
      <c r="C815" t="s">
        <v>116</v>
      </c>
      <c r="D815" t="s">
        <v>620</v>
      </c>
      <c r="E815">
        <v>19</v>
      </c>
      <c r="F815">
        <v>31</v>
      </c>
      <c r="G815">
        <v>2</v>
      </c>
      <c r="H815">
        <v>55</v>
      </c>
      <c r="I815">
        <f>Cocina[[#This Row],[Precio Unitario]]*Cocina[[#This Row],[Cantidad Ordenada]]</f>
        <v>62</v>
      </c>
      <c r="J815">
        <f>(Cocina[[#This Row],[Precio Unitario]]-Cocina[[#This Row],[Costo Unitario]])*Cocina[[#This Row],[Cantidad Ordenada]]</f>
        <v>24</v>
      </c>
      <c r="K815" s="4">
        <f>Cocina[[#This Row],[Ganancia neta]]/_xlfn.XLOOKUP(Cocina[[#This Row],[Número de Orden]],Sala[Número de Orden],Sala[Monto total],"fracaso",0,1)</f>
        <v>8.9552238805970144E-2</v>
      </c>
      <c r="L815" t="s">
        <v>608</v>
      </c>
    </row>
    <row r="816" spans="1:12" x14ac:dyDescent="0.25">
      <c r="A816">
        <v>320</v>
      </c>
      <c r="B816">
        <v>9</v>
      </c>
      <c r="C816" t="s">
        <v>70</v>
      </c>
      <c r="D816" t="s">
        <v>634</v>
      </c>
      <c r="E816">
        <v>13</v>
      </c>
      <c r="F816">
        <v>21</v>
      </c>
      <c r="G816">
        <v>2</v>
      </c>
      <c r="H816">
        <v>44</v>
      </c>
      <c r="I816">
        <f>Cocina[[#This Row],[Precio Unitario]]*Cocina[[#This Row],[Cantidad Ordenada]]</f>
        <v>42</v>
      </c>
      <c r="J816">
        <f>(Cocina[[#This Row],[Precio Unitario]]-Cocina[[#This Row],[Costo Unitario]])*Cocina[[#This Row],[Cantidad Ordenada]]</f>
        <v>16</v>
      </c>
      <c r="K816" s="4">
        <f>Cocina[[#This Row],[Ganancia neta]]/_xlfn.XLOOKUP(Cocina[[#This Row],[Número de Orden]],Sala[Número de Orden],Sala[Monto total],"fracaso",0,1)</f>
        <v>0.16326530612244897</v>
      </c>
      <c r="L816" t="s">
        <v>608</v>
      </c>
    </row>
    <row r="817" spans="1:12" x14ac:dyDescent="0.25">
      <c r="A817">
        <v>320</v>
      </c>
      <c r="B817">
        <v>9</v>
      </c>
      <c r="C817" t="s">
        <v>203</v>
      </c>
      <c r="D817" t="s">
        <v>630</v>
      </c>
      <c r="E817">
        <v>13</v>
      </c>
      <c r="F817">
        <v>22</v>
      </c>
      <c r="G817">
        <v>1</v>
      </c>
      <c r="H817">
        <v>44</v>
      </c>
      <c r="I817">
        <f>Cocina[[#This Row],[Precio Unitario]]*Cocina[[#This Row],[Cantidad Ordenada]]</f>
        <v>22</v>
      </c>
      <c r="J817">
        <f>(Cocina[[#This Row],[Precio Unitario]]-Cocina[[#This Row],[Costo Unitario]])*Cocina[[#This Row],[Cantidad Ordenada]]</f>
        <v>9</v>
      </c>
      <c r="K817" s="4">
        <f>Cocina[[#This Row],[Ganancia neta]]/_xlfn.XLOOKUP(Cocina[[#This Row],[Número de Orden]],Sala[Número de Orden],Sala[Monto total],"fracaso",0,1)</f>
        <v>9.1836734693877556E-2</v>
      </c>
      <c r="L817" t="s">
        <v>608</v>
      </c>
    </row>
    <row r="818" spans="1:12" x14ac:dyDescent="0.25">
      <c r="A818">
        <v>320</v>
      </c>
      <c r="B818">
        <v>9</v>
      </c>
      <c r="C818" t="s">
        <v>55</v>
      </c>
      <c r="D818" t="s">
        <v>631</v>
      </c>
      <c r="E818">
        <v>20</v>
      </c>
      <c r="F818">
        <v>34</v>
      </c>
      <c r="G818">
        <v>1</v>
      </c>
      <c r="H818">
        <v>42</v>
      </c>
      <c r="I818">
        <f>Cocina[[#This Row],[Precio Unitario]]*Cocina[[#This Row],[Cantidad Ordenada]]</f>
        <v>34</v>
      </c>
      <c r="J818">
        <f>(Cocina[[#This Row],[Precio Unitario]]-Cocina[[#This Row],[Costo Unitario]])*Cocina[[#This Row],[Cantidad Ordenada]]</f>
        <v>14</v>
      </c>
      <c r="K818" s="4">
        <f>Cocina[[#This Row],[Ganancia neta]]/_xlfn.XLOOKUP(Cocina[[#This Row],[Número de Orden]],Sala[Número de Orden],Sala[Monto total],"fracaso",0,1)</f>
        <v>0.14285714285714285</v>
      </c>
      <c r="L818" t="s">
        <v>607</v>
      </c>
    </row>
    <row r="819" spans="1:12" x14ac:dyDescent="0.25">
      <c r="A819">
        <v>321</v>
      </c>
      <c r="B819">
        <v>18</v>
      </c>
      <c r="C819" t="s">
        <v>42</v>
      </c>
      <c r="D819" t="s">
        <v>626</v>
      </c>
      <c r="E819">
        <v>16</v>
      </c>
      <c r="F819">
        <v>28</v>
      </c>
      <c r="G819">
        <v>1</v>
      </c>
      <c r="H819">
        <v>34</v>
      </c>
      <c r="I819">
        <f>Cocina[[#This Row],[Precio Unitario]]*Cocina[[#This Row],[Cantidad Ordenada]]</f>
        <v>28</v>
      </c>
      <c r="J819">
        <f>(Cocina[[#This Row],[Precio Unitario]]-Cocina[[#This Row],[Costo Unitario]])*Cocina[[#This Row],[Cantidad Ordenada]]</f>
        <v>12</v>
      </c>
      <c r="K819" s="4">
        <f>Cocina[[#This Row],[Ganancia neta]]/_xlfn.XLOOKUP(Cocina[[#This Row],[Número de Orden]],Sala[Número de Orden],Sala[Monto total],"fracaso",0,1)</f>
        <v>8.5106382978723402E-2</v>
      </c>
      <c r="L819" t="s">
        <v>608</v>
      </c>
    </row>
    <row r="820" spans="1:12" x14ac:dyDescent="0.25">
      <c r="A820">
        <v>321</v>
      </c>
      <c r="B820">
        <v>18</v>
      </c>
      <c r="C820" t="s">
        <v>203</v>
      </c>
      <c r="D820" t="s">
        <v>630</v>
      </c>
      <c r="E820">
        <v>13</v>
      </c>
      <c r="F820">
        <v>22</v>
      </c>
      <c r="G820">
        <v>2</v>
      </c>
      <c r="H820">
        <v>22</v>
      </c>
      <c r="I820">
        <f>Cocina[[#This Row],[Precio Unitario]]*Cocina[[#This Row],[Cantidad Ordenada]]</f>
        <v>44</v>
      </c>
      <c r="J820">
        <f>(Cocina[[#This Row],[Precio Unitario]]-Cocina[[#This Row],[Costo Unitario]])*Cocina[[#This Row],[Cantidad Ordenada]]</f>
        <v>18</v>
      </c>
      <c r="K820" s="4">
        <f>Cocina[[#This Row],[Ganancia neta]]/_xlfn.XLOOKUP(Cocina[[#This Row],[Número de Orden]],Sala[Número de Orden],Sala[Monto total],"fracaso",0,1)</f>
        <v>0.1276595744680851</v>
      </c>
      <c r="L820" t="s">
        <v>608</v>
      </c>
    </row>
    <row r="821" spans="1:12" x14ac:dyDescent="0.25">
      <c r="A821">
        <v>321</v>
      </c>
      <c r="B821">
        <v>18</v>
      </c>
      <c r="C821" t="s">
        <v>200</v>
      </c>
      <c r="D821" t="s">
        <v>633</v>
      </c>
      <c r="E821">
        <v>14</v>
      </c>
      <c r="F821">
        <v>23</v>
      </c>
      <c r="G821">
        <v>3</v>
      </c>
      <c r="H821">
        <v>39</v>
      </c>
      <c r="I821">
        <f>Cocina[[#This Row],[Precio Unitario]]*Cocina[[#This Row],[Cantidad Ordenada]]</f>
        <v>69</v>
      </c>
      <c r="J821">
        <f>(Cocina[[#This Row],[Precio Unitario]]-Cocina[[#This Row],[Costo Unitario]])*Cocina[[#This Row],[Cantidad Ordenada]]</f>
        <v>27</v>
      </c>
      <c r="K821" s="4">
        <f>Cocina[[#This Row],[Ganancia neta]]/_xlfn.XLOOKUP(Cocina[[#This Row],[Número de Orden]],Sala[Número de Orden],Sala[Monto total],"fracaso",0,1)</f>
        <v>0.19148936170212766</v>
      </c>
      <c r="L821" t="s">
        <v>607</v>
      </c>
    </row>
    <row r="822" spans="1:12" x14ac:dyDescent="0.25">
      <c r="A822">
        <v>322</v>
      </c>
      <c r="B822">
        <v>12</v>
      </c>
      <c r="C822" t="s">
        <v>247</v>
      </c>
      <c r="D822" t="s">
        <v>629</v>
      </c>
      <c r="E822">
        <v>19</v>
      </c>
      <c r="F822">
        <v>32</v>
      </c>
      <c r="G822">
        <v>2</v>
      </c>
      <c r="H822">
        <v>8</v>
      </c>
      <c r="I822">
        <f>Cocina[[#This Row],[Precio Unitario]]*Cocina[[#This Row],[Cantidad Ordenada]]</f>
        <v>64</v>
      </c>
      <c r="J822">
        <f>(Cocina[[#This Row],[Precio Unitario]]-Cocina[[#This Row],[Costo Unitario]])*Cocina[[#This Row],[Cantidad Ordenada]]</f>
        <v>26</v>
      </c>
      <c r="K822" s="4">
        <f>Cocina[[#This Row],[Ganancia neta]]/_xlfn.XLOOKUP(Cocina[[#This Row],[Número de Orden]],Sala[Número de Orden],Sala[Monto total],"fracaso",0,1)</f>
        <v>0.30588235294117649</v>
      </c>
      <c r="L822" t="s">
        <v>607</v>
      </c>
    </row>
    <row r="823" spans="1:12" x14ac:dyDescent="0.25">
      <c r="A823">
        <v>322</v>
      </c>
      <c r="B823">
        <v>12</v>
      </c>
      <c r="C823" t="s">
        <v>70</v>
      </c>
      <c r="D823" t="s">
        <v>634</v>
      </c>
      <c r="E823">
        <v>13</v>
      </c>
      <c r="F823">
        <v>21</v>
      </c>
      <c r="G823">
        <v>1</v>
      </c>
      <c r="H823">
        <v>52</v>
      </c>
      <c r="I823">
        <f>Cocina[[#This Row],[Precio Unitario]]*Cocina[[#This Row],[Cantidad Ordenada]]</f>
        <v>21</v>
      </c>
      <c r="J823">
        <f>(Cocina[[#This Row],[Precio Unitario]]-Cocina[[#This Row],[Costo Unitario]])*Cocina[[#This Row],[Cantidad Ordenada]]</f>
        <v>8</v>
      </c>
      <c r="K823" s="4">
        <f>Cocina[[#This Row],[Ganancia neta]]/_xlfn.XLOOKUP(Cocina[[#This Row],[Número de Orden]],Sala[Número de Orden],Sala[Monto total],"fracaso",0,1)</f>
        <v>9.4117647058823528E-2</v>
      </c>
      <c r="L823" t="s">
        <v>608</v>
      </c>
    </row>
    <row r="824" spans="1:12" x14ac:dyDescent="0.25">
      <c r="A824">
        <v>323</v>
      </c>
      <c r="B824">
        <v>8</v>
      </c>
      <c r="C824" t="s">
        <v>203</v>
      </c>
      <c r="D824" t="s">
        <v>630</v>
      </c>
      <c r="E824">
        <v>13</v>
      </c>
      <c r="F824">
        <v>22</v>
      </c>
      <c r="G824">
        <v>3</v>
      </c>
      <c r="H824">
        <v>37</v>
      </c>
      <c r="I824">
        <f>Cocina[[#This Row],[Precio Unitario]]*Cocina[[#This Row],[Cantidad Ordenada]]</f>
        <v>66</v>
      </c>
      <c r="J824">
        <f>(Cocina[[#This Row],[Precio Unitario]]-Cocina[[#This Row],[Costo Unitario]])*Cocina[[#This Row],[Cantidad Ordenada]]</f>
        <v>27</v>
      </c>
      <c r="K824" s="4">
        <f>Cocina[[#This Row],[Ganancia neta]]/_xlfn.XLOOKUP(Cocina[[#This Row],[Número de Orden]],Sala[Número de Orden],Sala[Monto total],"fracaso",0,1)</f>
        <v>0.12980769230769232</v>
      </c>
      <c r="L824" t="s">
        <v>608</v>
      </c>
    </row>
    <row r="825" spans="1:12" x14ac:dyDescent="0.25">
      <c r="A825">
        <v>323</v>
      </c>
      <c r="B825">
        <v>8</v>
      </c>
      <c r="C825" t="s">
        <v>38</v>
      </c>
      <c r="D825" t="s">
        <v>624</v>
      </c>
      <c r="E825">
        <v>17</v>
      </c>
      <c r="F825">
        <v>29</v>
      </c>
      <c r="G825">
        <v>2</v>
      </c>
      <c r="H825">
        <v>33</v>
      </c>
      <c r="I825">
        <f>Cocina[[#This Row],[Precio Unitario]]*Cocina[[#This Row],[Cantidad Ordenada]]</f>
        <v>58</v>
      </c>
      <c r="J825">
        <f>(Cocina[[#This Row],[Precio Unitario]]-Cocina[[#This Row],[Costo Unitario]])*Cocina[[#This Row],[Cantidad Ordenada]]</f>
        <v>24</v>
      </c>
      <c r="K825" s="4">
        <f>Cocina[[#This Row],[Ganancia neta]]/_xlfn.XLOOKUP(Cocina[[#This Row],[Número de Orden]],Sala[Número de Orden],Sala[Monto total],"fracaso",0,1)</f>
        <v>0.11538461538461539</v>
      </c>
      <c r="L825" t="s">
        <v>607</v>
      </c>
    </row>
    <row r="826" spans="1:12" x14ac:dyDescent="0.25">
      <c r="A826">
        <v>323</v>
      </c>
      <c r="B826">
        <v>8</v>
      </c>
      <c r="C826" t="s">
        <v>158</v>
      </c>
      <c r="D826" t="s">
        <v>617</v>
      </c>
      <c r="E826">
        <v>14</v>
      </c>
      <c r="F826">
        <v>24</v>
      </c>
      <c r="G826">
        <v>2</v>
      </c>
      <c r="H826">
        <v>30</v>
      </c>
      <c r="I826">
        <f>Cocina[[#This Row],[Precio Unitario]]*Cocina[[#This Row],[Cantidad Ordenada]]</f>
        <v>48</v>
      </c>
      <c r="J826">
        <f>(Cocina[[#This Row],[Precio Unitario]]-Cocina[[#This Row],[Costo Unitario]])*Cocina[[#This Row],[Cantidad Ordenada]]</f>
        <v>20</v>
      </c>
      <c r="K826" s="4">
        <f>Cocina[[#This Row],[Ganancia neta]]/_xlfn.XLOOKUP(Cocina[[#This Row],[Número de Orden]],Sala[Número de Orden],Sala[Monto total],"fracaso",0,1)</f>
        <v>9.6153846153846159E-2</v>
      </c>
      <c r="L826" t="s">
        <v>607</v>
      </c>
    </row>
    <row r="827" spans="1:12" x14ac:dyDescent="0.25">
      <c r="A827">
        <v>323</v>
      </c>
      <c r="B827">
        <v>8</v>
      </c>
      <c r="C827" t="s">
        <v>79</v>
      </c>
      <c r="D827" t="s">
        <v>635</v>
      </c>
      <c r="E827">
        <v>10</v>
      </c>
      <c r="F827">
        <v>18</v>
      </c>
      <c r="G827">
        <v>2</v>
      </c>
      <c r="H827">
        <v>22</v>
      </c>
      <c r="I827">
        <f>Cocina[[#This Row],[Precio Unitario]]*Cocina[[#This Row],[Cantidad Ordenada]]</f>
        <v>36</v>
      </c>
      <c r="J827">
        <f>(Cocina[[#This Row],[Precio Unitario]]-Cocina[[#This Row],[Costo Unitario]])*Cocina[[#This Row],[Cantidad Ordenada]]</f>
        <v>16</v>
      </c>
      <c r="K827" s="4">
        <f>Cocina[[#This Row],[Ganancia neta]]/_xlfn.XLOOKUP(Cocina[[#This Row],[Número de Orden]],Sala[Número de Orden],Sala[Monto total],"fracaso",0,1)</f>
        <v>7.6923076923076927E-2</v>
      </c>
      <c r="L827" t="s">
        <v>608</v>
      </c>
    </row>
    <row r="828" spans="1:12" x14ac:dyDescent="0.25">
      <c r="A828">
        <v>324</v>
      </c>
      <c r="B828">
        <v>9</v>
      </c>
      <c r="C828" t="s">
        <v>68</v>
      </c>
      <c r="D828" t="s">
        <v>619</v>
      </c>
      <c r="E828">
        <v>18</v>
      </c>
      <c r="F828">
        <v>30</v>
      </c>
      <c r="G828">
        <v>1</v>
      </c>
      <c r="H828">
        <v>15</v>
      </c>
      <c r="I828">
        <f>Cocina[[#This Row],[Precio Unitario]]*Cocina[[#This Row],[Cantidad Ordenada]]</f>
        <v>30</v>
      </c>
      <c r="J828">
        <f>(Cocina[[#This Row],[Precio Unitario]]-Cocina[[#This Row],[Costo Unitario]])*Cocina[[#This Row],[Cantidad Ordenada]]</f>
        <v>12</v>
      </c>
      <c r="K828" s="4">
        <f>Cocina[[#This Row],[Ganancia neta]]/_xlfn.XLOOKUP(Cocina[[#This Row],[Número de Orden]],Sala[Número de Orden],Sala[Monto total],"fracaso",0,1)</f>
        <v>8.7591240875912413E-2</v>
      </c>
      <c r="L828" t="s">
        <v>608</v>
      </c>
    </row>
    <row r="829" spans="1:12" x14ac:dyDescent="0.25">
      <c r="A829">
        <v>324</v>
      </c>
      <c r="B829">
        <v>9</v>
      </c>
      <c r="C829" t="s">
        <v>106</v>
      </c>
      <c r="D829" t="s">
        <v>621</v>
      </c>
      <c r="E829">
        <v>16</v>
      </c>
      <c r="F829">
        <v>27</v>
      </c>
      <c r="G829">
        <v>3</v>
      </c>
      <c r="H829">
        <v>58</v>
      </c>
      <c r="I829">
        <f>Cocina[[#This Row],[Precio Unitario]]*Cocina[[#This Row],[Cantidad Ordenada]]</f>
        <v>81</v>
      </c>
      <c r="J829">
        <f>(Cocina[[#This Row],[Precio Unitario]]-Cocina[[#This Row],[Costo Unitario]])*Cocina[[#This Row],[Cantidad Ordenada]]</f>
        <v>33</v>
      </c>
      <c r="K829" s="4">
        <f>Cocina[[#This Row],[Ganancia neta]]/_xlfn.XLOOKUP(Cocina[[#This Row],[Número de Orden]],Sala[Número de Orden],Sala[Monto total],"fracaso",0,1)</f>
        <v>0.24087591240875914</v>
      </c>
      <c r="L829" t="s">
        <v>607</v>
      </c>
    </row>
    <row r="830" spans="1:12" x14ac:dyDescent="0.25">
      <c r="A830">
        <v>324</v>
      </c>
      <c r="B830">
        <v>9</v>
      </c>
      <c r="C830" t="s">
        <v>155</v>
      </c>
      <c r="D830" t="s">
        <v>636</v>
      </c>
      <c r="E830">
        <v>15</v>
      </c>
      <c r="F830">
        <v>26</v>
      </c>
      <c r="G830">
        <v>1</v>
      </c>
      <c r="H830">
        <v>17</v>
      </c>
      <c r="I830">
        <f>Cocina[[#This Row],[Precio Unitario]]*Cocina[[#This Row],[Cantidad Ordenada]]</f>
        <v>26</v>
      </c>
      <c r="J830">
        <f>(Cocina[[#This Row],[Precio Unitario]]-Cocina[[#This Row],[Costo Unitario]])*Cocina[[#This Row],[Cantidad Ordenada]]</f>
        <v>11</v>
      </c>
      <c r="K830" s="4">
        <f>Cocina[[#This Row],[Ganancia neta]]/_xlfn.XLOOKUP(Cocina[[#This Row],[Número de Orden]],Sala[Número de Orden],Sala[Monto total],"fracaso",0,1)</f>
        <v>8.0291970802919707E-2</v>
      </c>
      <c r="L830" t="s">
        <v>607</v>
      </c>
    </row>
    <row r="831" spans="1:12" x14ac:dyDescent="0.25">
      <c r="A831">
        <v>325</v>
      </c>
      <c r="B831">
        <v>18</v>
      </c>
      <c r="C831" t="s">
        <v>70</v>
      </c>
      <c r="D831" t="s">
        <v>634</v>
      </c>
      <c r="E831">
        <v>13</v>
      </c>
      <c r="F831">
        <v>21</v>
      </c>
      <c r="G831">
        <v>1</v>
      </c>
      <c r="H831">
        <v>26</v>
      </c>
      <c r="I831">
        <f>Cocina[[#This Row],[Precio Unitario]]*Cocina[[#This Row],[Cantidad Ordenada]]</f>
        <v>21</v>
      </c>
      <c r="J831">
        <f>(Cocina[[#This Row],[Precio Unitario]]-Cocina[[#This Row],[Costo Unitario]])*Cocina[[#This Row],[Cantidad Ordenada]]</f>
        <v>8</v>
      </c>
      <c r="K831" s="4">
        <f>Cocina[[#This Row],[Ganancia neta]]/_xlfn.XLOOKUP(Cocina[[#This Row],[Número de Orden]],Sala[Número de Orden],Sala[Monto total],"fracaso",0,1)</f>
        <v>5.1948051948051951E-2</v>
      </c>
      <c r="L831" t="s">
        <v>608</v>
      </c>
    </row>
    <row r="832" spans="1:12" x14ac:dyDescent="0.25">
      <c r="A832">
        <v>325</v>
      </c>
      <c r="B832">
        <v>18</v>
      </c>
      <c r="C832" t="s">
        <v>116</v>
      </c>
      <c r="D832" t="s">
        <v>620</v>
      </c>
      <c r="E832">
        <v>19</v>
      </c>
      <c r="F832">
        <v>31</v>
      </c>
      <c r="G832">
        <v>1</v>
      </c>
      <c r="H832">
        <v>5</v>
      </c>
      <c r="I832">
        <f>Cocina[[#This Row],[Precio Unitario]]*Cocina[[#This Row],[Cantidad Ordenada]]</f>
        <v>31</v>
      </c>
      <c r="J832">
        <f>(Cocina[[#This Row],[Precio Unitario]]-Cocina[[#This Row],[Costo Unitario]])*Cocina[[#This Row],[Cantidad Ordenada]]</f>
        <v>12</v>
      </c>
      <c r="K832" s="4">
        <f>Cocina[[#This Row],[Ganancia neta]]/_xlfn.XLOOKUP(Cocina[[#This Row],[Número de Orden]],Sala[Número de Orden],Sala[Monto total],"fracaso",0,1)</f>
        <v>7.792207792207792E-2</v>
      </c>
      <c r="L832" t="s">
        <v>608</v>
      </c>
    </row>
    <row r="833" spans="1:12" x14ac:dyDescent="0.25">
      <c r="A833">
        <v>325</v>
      </c>
      <c r="B833">
        <v>18</v>
      </c>
      <c r="C833" t="s">
        <v>26</v>
      </c>
      <c r="D833" t="s">
        <v>628</v>
      </c>
      <c r="E833">
        <v>21</v>
      </c>
      <c r="F833">
        <v>35</v>
      </c>
      <c r="G833">
        <v>2</v>
      </c>
      <c r="H833">
        <v>13</v>
      </c>
      <c r="I833">
        <f>Cocina[[#This Row],[Precio Unitario]]*Cocina[[#This Row],[Cantidad Ordenada]]</f>
        <v>70</v>
      </c>
      <c r="J833">
        <f>(Cocina[[#This Row],[Precio Unitario]]-Cocina[[#This Row],[Costo Unitario]])*Cocina[[#This Row],[Cantidad Ordenada]]</f>
        <v>28</v>
      </c>
      <c r="K833" s="4">
        <f>Cocina[[#This Row],[Ganancia neta]]/_xlfn.XLOOKUP(Cocina[[#This Row],[Número de Orden]],Sala[Número de Orden],Sala[Monto total],"fracaso",0,1)</f>
        <v>0.18181818181818182</v>
      </c>
      <c r="L833" t="s">
        <v>608</v>
      </c>
    </row>
    <row r="834" spans="1:12" x14ac:dyDescent="0.25">
      <c r="A834">
        <v>325</v>
      </c>
      <c r="B834">
        <v>18</v>
      </c>
      <c r="C834" t="s">
        <v>247</v>
      </c>
      <c r="D834" t="s">
        <v>629</v>
      </c>
      <c r="E834">
        <v>19</v>
      </c>
      <c r="F834">
        <v>32</v>
      </c>
      <c r="G834">
        <v>1</v>
      </c>
      <c r="H834">
        <v>27</v>
      </c>
      <c r="I834">
        <f>Cocina[[#This Row],[Precio Unitario]]*Cocina[[#This Row],[Cantidad Ordenada]]</f>
        <v>32</v>
      </c>
      <c r="J834">
        <f>(Cocina[[#This Row],[Precio Unitario]]-Cocina[[#This Row],[Costo Unitario]])*Cocina[[#This Row],[Cantidad Ordenada]]</f>
        <v>13</v>
      </c>
      <c r="K834" s="4">
        <f>Cocina[[#This Row],[Ganancia neta]]/_xlfn.XLOOKUP(Cocina[[#This Row],[Número de Orden]],Sala[Número de Orden],Sala[Monto total],"fracaso",0,1)</f>
        <v>8.4415584415584416E-2</v>
      </c>
      <c r="L834" t="s">
        <v>607</v>
      </c>
    </row>
    <row r="835" spans="1:12" x14ac:dyDescent="0.25">
      <c r="A835">
        <v>326</v>
      </c>
      <c r="B835">
        <v>14</v>
      </c>
      <c r="C835" t="s">
        <v>26</v>
      </c>
      <c r="D835" t="s">
        <v>628</v>
      </c>
      <c r="E835">
        <v>21</v>
      </c>
      <c r="F835">
        <v>35</v>
      </c>
      <c r="G835">
        <v>1</v>
      </c>
      <c r="H835">
        <v>14</v>
      </c>
      <c r="I835">
        <f>Cocina[[#This Row],[Precio Unitario]]*Cocina[[#This Row],[Cantidad Ordenada]]</f>
        <v>35</v>
      </c>
      <c r="J835">
        <f>(Cocina[[#This Row],[Precio Unitario]]-Cocina[[#This Row],[Costo Unitario]])*Cocina[[#This Row],[Cantidad Ordenada]]</f>
        <v>14</v>
      </c>
      <c r="K835" s="4">
        <f>Cocina[[#This Row],[Ganancia neta]]/_xlfn.XLOOKUP(Cocina[[#This Row],[Número de Orden]],Sala[Número de Orden],Sala[Monto total],"fracaso",0,1)</f>
        <v>0.1728395061728395</v>
      </c>
      <c r="L835" t="s">
        <v>607</v>
      </c>
    </row>
    <row r="836" spans="1:12" x14ac:dyDescent="0.25">
      <c r="A836">
        <v>326</v>
      </c>
      <c r="B836">
        <v>14</v>
      </c>
      <c r="C836" t="s">
        <v>79</v>
      </c>
      <c r="D836" t="s">
        <v>635</v>
      </c>
      <c r="E836">
        <v>10</v>
      </c>
      <c r="F836">
        <v>18</v>
      </c>
      <c r="G836">
        <v>1</v>
      </c>
      <c r="H836">
        <v>28</v>
      </c>
      <c r="I836">
        <f>Cocina[[#This Row],[Precio Unitario]]*Cocina[[#This Row],[Cantidad Ordenada]]</f>
        <v>18</v>
      </c>
      <c r="J836">
        <f>(Cocina[[#This Row],[Precio Unitario]]-Cocina[[#This Row],[Costo Unitario]])*Cocina[[#This Row],[Cantidad Ordenada]]</f>
        <v>8</v>
      </c>
      <c r="K836" s="4">
        <f>Cocina[[#This Row],[Ganancia neta]]/_xlfn.XLOOKUP(Cocina[[#This Row],[Número de Orden]],Sala[Número de Orden],Sala[Monto total],"fracaso",0,1)</f>
        <v>9.8765432098765427E-2</v>
      </c>
      <c r="L836" t="s">
        <v>607</v>
      </c>
    </row>
    <row r="837" spans="1:12" x14ac:dyDescent="0.25">
      <c r="A837">
        <v>326</v>
      </c>
      <c r="B837">
        <v>14</v>
      </c>
      <c r="C837" t="s">
        <v>42</v>
      </c>
      <c r="D837" t="s">
        <v>626</v>
      </c>
      <c r="E837">
        <v>16</v>
      </c>
      <c r="F837">
        <v>28</v>
      </c>
      <c r="G837">
        <v>1</v>
      </c>
      <c r="H837">
        <v>49</v>
      </c>
      <c r="I837">
        <f>Cocina[[#This Row],[Precio Unitario]]*Cocina[[#This Row],[Cantidad Ordenada]]</f>
        <v>28</v>
      </c>
      <c r="J837">
        <f>(Cocina[[#This Row],[Precio Unitario]]-Cocina[[#This Row],[Costo Unitario]])*Cocina[[#This Row],[Cantidad Ordenada]]</f>
        <v>12</v>
      </c>
      <c r="K837" s="4">
        <f>Cocina[[#This Row],[Ganancia neta]]/_xlfn.XLOOKUP(Cocina[[#This Row],[Número de Orden]],Sala[Número de Orden],Sala[Monto total],"fracaso",0,1)</f>
        <v>0.14814814814814814</v>
      </c>
      <c r="L837" t="s">
        <v>607</v>
      </c>
    </row>
    <row r="838" spans="1:12" x14ac:dyDescent="0.25">
      <c r="A838">
        <v>327</v>
      </c>
      <c r="B838">
        <v>12</v>
      </c>
      <c r="C838" t="s">
        <v>55</v>
      </c>
      <c r="D838" t="s">
        <v>631</v>
      </c>
      <c r="E838">
        <v>20</v>
      </c>
      <c r="F838">
        <v>34</v>
      </c>
      <c r="G838">
        <v>3</v>
      </c>
      <c r="H838">
        <v>33</v>
      </c>
      <c r="I838">
        <f>Cocina[[#This Row],[Precio Unitario]]*Cocina[[#This Row],[Cantidad Ordenada]]</f>
        <v>102</v>
      </c>
      <c r="J838">
        <f>(Cocina[[#This Row],[Precio Unitario]]-Cocina[[#This Row],[Costo Unitario]])*Cocina[[#This Row],[Cantidad Ordenada]]</f>
        <v>42</v>
      </c>
      <c r="K838" s="4">
        <f>Cocina[[#This Row],[Ganancia neta]]/_xlfn.XLOOKUP(Cocina[[#This Row],[Número de Orden]],Sala[Número de Orden],Sala[Monto total],"fracaso",0,1)</f>
        <v>0.2857142857142857</v>
      </c>
      <c r="L838" t="s">
        <v>607</v>
      </c>
    </row>
    <row r="839" spans="1:12" x14ac:dyDescent="0.25">
      <c r="A839">
        <v>327</v>
      </c>
      <c r="B839">
        <v>12</v>
      </c>
      <c r="C839" t="s">
        <v>79</v>
      </c>
      <c r="D839" t="s">
        <v>635</v>
      </c>
      <c r="E839">
        <v>10</v>
      </c>
      <c r="F839">
        <v>18</v>
      </c>
      <c r="G839">
        <v>1</v>
      </c>
      <c r="H839">
        <v>7</v>
      </c>
      <c r="I839">
        <f>Cocina[[#This Row],[Precio Unitario]]*Cocina[[#This Row],[Cantidad Ordenada]]</f>
        <v>18</v>
      </c>
      <c r="J839">
        <f>(Cocina[[#This Row],[Precio Unitario]]-Cocina[[#This Row],[Costo Unitario]])*Cocina[[#This Row],[Cantidad Ordenada]]</f>
        <v>8</v>
      </c>
      <c r="K839" s="4">
        <f>Cocina[[#This Row],[Ganancia neta]]/_xlfn.XLOOKUP(Cocina[[#This Row],[Número de Orden]],Sala[Número de Orden],Sala[Monto total],"fracaso",0,1)</f>
        <v>5.4421768707482991E-2</v>
      </c>
      <c r="L839" t="s">
        <v>608</v>
      </c>
    </row>
    <row r="840" spans="1:12" x14ac:dyDescent="0.25">
      <c r="A840">
        <v>327</v>
      </c>
      <c r="B840">
        <v>12</v>
      </c>
      <c r="C840" t="s">
        <v>106</v>
      </c>
      <c r="D840" t="s">
        <v>621</v>
      </c>
      <c r="E840">
        <v>16</v>
      </c>
      <c r="F840">
        <v>27</v>
      </c>
      <c r="G840">
        <v>1</v>
      </c>
      <c r="H840">
        <v>34</v>
      </c>
      <c r="I840">
        <f>Cocina[[#This Row],[Precio Unitario]]*Cocina[[#This Row],[Cantidad Ordenada]]</f>
        <v>27</v>
      </c>
      <c r="J840">
        <f>(Cocina[[#This Row],[Precio Unitario]]-Cocina[[#This Row],[Costo Unitario]])*Cocina[[#This Row],[Cantidad Ordenada]]</f>
        <v>11</v>
      </c>
      <c r="K840" s="4">
        <f>Cocina[[#This Row],[Ganancia neta]]/_xlfn.XLOOKUP(Cocina[[#This Row],[Número de Orden]],Sala[Número de Orden],Sala[Monto total],"fracaso",0,1)</f>
        <v>7.4829931972789115E-2</v>
      </c>
      <c r="L840" t="s">
        <v>607</v>
      </c>
    </row>
    <row r="841" spans="1:12" x14ac:dyDescent="0.25">
      <c r="A841">
        <v>328</v>
      </c>
      <c r="B841">
        <v>4</v>
      </c>
      <c r="C841" t="s">
        <v>26</v>
      </c>
      <c r="D841" t="s">
        <v>628</v>
      </c>
      <c r="E841">
        <v>21</v>
      </c>
      <c r="F841">
        <v>35</v>
      </c>
      <c r="G841">
        <v>1</v>
      </c>
      <c r="H841">
        <v>21</v>
      </c>
      <c r="I841">
        <f>Cocina[[#This Row],[Precio Unitario]]*Cocina[[#This Row],[Cantidad Ordenada]]</f>
        <v>35</v>
      </c>
      <c r="J841">
        <f>(Cocina[[#This Row],[Precio Unitario]]-Cocina[[#This Row],[Costo Unitario]])*Cocina[[#This Row],[Cantidad Ordenada]]</f>
        <v>14</v>
      </c>
      <c r="K841" s="4">
        <f>Cocina[[#This Row],[Ganancia neta]]/_xlfn.XLOOKUP(Cocina[[#This Row],[Número de Orden]],Sala[Número de Orden],Sala[Monto total],"fracaso",0,1)</f>
        <v>0.4</v>
      </c>
      <c r="L841" t="s">
        <v>607</v>
      </c>
    </row>
    <row r="842" spans="1:12" x14ac:dyDescent="0.25">
      <c r="A842">
        <v>329</v>
      </c>
      <c r="B842">
        <v>13</v>
      </c>
      <c r="C842" t="s">
        <v>70</v>
      </c>
      <c r="D842" t="s">
        <v>634</v>
      </c>
      <c r="E842">
        <v>13</v>
      </c>
      <c r="F842">
        <v>21</v>
      </c>
      <c r="G842">
        <v>2</v>
      </c>
      <c r="H842">
        <v>56</v>
      </c>
      <c r="I842">
        <f>Cocina[[#This Row],[Precio Unitario]]*Cocina[[#This Row],[Cantidad Ordenada]]</f>
        <v>42</v>
      </c>
      <c r="J842">
        <f>(Cocina[[#This Row],[Precio Unitario]]-Cocina[[#This Row],[Costo Unitario]])*Cocina[[#This Row],[Cantidad Ordenada]]</f>
        <v>16</v>
      </c>
      <c r="K842" s="4">
        <f>Cocina[[#This Row],[Ganancia neta]]/_xlfn.XLOOKUP(Cocina[[#This Row],[Número de Orden]],Sala[Número de Orden],Sala[Monto total],"fracaso",0,1)</f>
        <v>7.7294685990338161E-2</v>
      </c>
      <c r="L842" t="s">
        <v>607</v>
      </c>
    </row>
    <row r="843" spans="1:12" x14ac:dyDescent="0.25">
      <c r="A843">
        <v>329</v>
      </c>
      <c r="B843">
        <v>13</v>
      </c>
      <c r="C843" t="s">
        <v>48</v>
      </c>
      <c r="D843" t="s">
        <v>622</v>
      </c>
      <c r="E843">
        <v>25</v>
      </c>
      <c r="F843">
        <v>40</v>
      </c>
      <c r="G843">
        <v>2</v>
      </c>
      <c r="H843">
        <v>17</v>
      </c>
      <c r="I843">
        <f>Cocina[[#This Row],[Precio Unitario]]*Cocina[[#This Row],[Cantidad Ordenada]]</f>
        <v>80</v>
      </c>
      <c r="J843">
        <f>(Cocina[[#This Row],[Precio Unitario]]-Cocina[[#This Row],[Costo Unitario]])*Cocina[[#This Row],[Cantidad Ordenada]]</f>
        <v>30</v>
      </c>
      <c r="K843" s="4">
        <f>Cocina[[#This Row],[Ganancia neta]]/_xlfn.XLOOKUP(Cocina[[#This Row],[Número de Orden]],Sala[Número de Orden],Sala[Monto total],"fracaso",0,1)</f>
        <v>0.14492753623188406</v>
      </c>
      <c r="L843" t="s">
        <v>607</v>
      </c>
    </row>
    <row r="844" spans="1:12" x14ac:dyDescent="0.25">
      <c r="A844">
        <v>329</v>
      </c>
      <c r="B844">
        <v>13</v>
      </c>
      <c r="C844" t="s">
        <v>116</v>
      </c>
      <c r="D844" t="s">
        <v>620</v>
      </c>
      <c r="E844">
        <v>19</v>
      </c>
      <c r="F844">
        <v>31</v>
      </c>
      <c r="G844">
        <v>2</v>
      </c>
      <c r="H844">
        <v>58</v>
      </c>
      <c r="I844">
        <f>Cocina[[#This Row],[Precio Unitario]]*Cocina[[#This Row],[Cantidad Ordenada]]</f>
        <v>62</v>
      </c>
      <c r="J844">
        <f>(Cocina[[#This Row],[Precio Unitario]]-Cocina[[#This Row],[Costo Unitario]])*Cocina[[#This Row],[Cantidad Ordenada]]</f>
        <v>24</v>
      </c>
      <c r="K844" s="4">
        <f>Cocina[[#This Row],[Ganancia neta]]/_xlfn.XLOOKUP(Cocina[[#This Row],[Número de Orden]],Sala[Número de Orden],Sala[Monto total],"fracaso",0,1)</f>
        <v>0.11594202898550725</v>
      </c>
      <c r="L844" t="s">
        <v>607</v>
      </c>
    </row>
    <row r="845" spans="1:12" x14ac:dyDescent="0.25">
      <c r="A845">
        <v>329</v>
      </c>
      <c r="B845">
        <v>13</v>
      </c>
      <c r="C845" t="s">
        <v>200</v>
      </c>
      <c r="D845" t="s">
        <v>633</v>
      </c>
      <c r="E845">
        <v>14</v>
      </c>
      <c r="F845">
        <v>23</v>
      </c>
      <c r="G845">
        <v>1</v>
      </c>
      <c r="H845">
        <v>8</v>
      </c>
      <c r="I845">
        <f>Cocina[[#This Row],[Precio Unitario]]*Cocina[[#This Row],[Cantidad Ordenada]]</f>
        <v>23</v>
      </c>
      <c r="J845">
        <f>(Cocina[[#This Row],[Precio Unitario]]-Cocina[[#This Row],[Costo Unitario]])*Cocina[[#This Row],[Cantidad Ordenada]]</f>
        <v>9</v>
      </c>
      <c r="K845" s="4">
        <f>Cocina[[#This Row],[Ganancia neta]]/_xlfn.XLOOKUP(Cocina[[#This Row],[Número de Orden]],Sala[Número de Orden],Sala[Monto total],"fracaso",0,1)</f>
        <v>4.3478260869565216E-2</v>
      </c>
      <c r="L845" t="s">
        <v>607</v>
      </c>
    </row>
    <row r="846" spans="1:12" x14ac:dyDescent="0.25">
      <c r="A846">
        <v>330</v>
      </c>
      <c r="B846">
        <v>10</v>
      </c>
      <c r="C846" t="s">
        <v>122</v>
      </c>
      <c r="D846" t="s">
        <v>637</v>
      </c>
      <c r="E846">
        <v>15</v>
      </c>
      <c r="F846">
        <v>25</v>
      </c>
      <c r="G846">
        <v>2</v>
      </c>
      <c r="H846">
        <v>25</v>
      </c>
      <c r="I846">
        <f>Cocina[[#This Row],[Precio Unitario]]*Cocina[[#This Row],[Cantidad Ordenada]]</f>
        <v>50</v>
      </c>
      <c r="J846">
        <f>(Cocina[[#This Row],[Precio Unitario]]-Cocina[[#This Row],[Costo Unitario]])*Cocina[[#This Row],[Cantidad Ordenada]]</f>
        <v>20</v>
      </c>
      <c r="K846" s="4">
        <f>Cocina[[#This Row],[Ganancia neta]]/_xlfn.XLOOKUP(Cocina[[#This Row],[Número de Orden]],Sala[Número de Orden],Sala[Monto total],"fracaso",0,1)</f>
        <v>9.2165898617511524E-2</v>
      </c>
      <c r="L846" t="s">
        <v>608</v>
      </c>
    </row>
    <row r="847" spans="1:12" x14ac:dyDescent="0.25">
      <c r="A847">
        <v>330</v>
      </c>
      <c r="B847">
        <v>10</v>
      </c>
      <c r="C847" t="s">
        <v>42</v>
      </c>
      <c r="D847" t="s">
        <v>626</v>
      </c>
      <c r="E847">
        <v>16</v>
      </c>
      <c r="F847">
        <v>28</v>
      </c>
      <c r="G847">
        <v>2</v>
      </c>
      <c r="H847">
        <v>43</v>
      </c>
      <c r="I847">
        <f>Cocina[[#This Row],[Precio Unitario]]*Cocina[[#This Row],[Cantidad Ordenada]]</f>
        <v>56</v>
      </c>
      <c r="J847">
        <f>(Cocina[[#This Row],[Precio Unitario]]-Cocina[[#This Row],[Costo Unitario]])*Cocina[[#This Row],[Cantidad Ordenada]]</f>
        <v>24</v>
      </c>
      <c r="K847" s="4">
        <f>Cocina[[#This Row],[Ganancia neta]]/_xlfn.XLOOKUP(Cocina[[#This Row],[Número de Orden]],Sala[Número de Orden],Sala[Monto total],"fracaso",0,1)</f>
        <v>0.11059907834101383</v>
      </c>
      <c r="L847" t="s">
        <v>607</v>
      </c>
    </row>
    <row r="848" spans="1:12" x14ac:dyDescent="0.25">
      <c r="A848">
        <v>330</v>
      </c>
      <c r="B848">
        <v>10</v>
      </c>
      <c r="C848" t="s">
        <v>200</v>
      </c>
      <c r="D848" t="s">
        <v>633</v>
      </c>
      <c r="E848">
        <v>14</v>
      </c>
      <c r="F848">
        <v>23</v>
      </c>
      <c r="G848">
        <v>3</v>
      </c>
      <c r="H848">
        <v>21</v>
      </c>
      <c r="I848">
        <f>Cocina[[#This Row],[Precio Unitario]]*Cocina[[#This Row],[Cantidad Ordenada]]</f>
        <v>69</v>
      </c>
      <c r="J848">
        <f>(Cocina[[#This Row],[Precio Unitario]]-Cocina[[#This Row],[Costo Unitario]])*Cocina[[#This Row],[Cantidad Ordenada]]</f>
        <v>27</v>
      </c>
      <c r="K848" s="4">
        <f>Cocina[[#This Row],[Ganancia neta]]/_xlfn.XLOOKUP(Cocina[[#This Row],[Número de Orden]],Sala[Número de Orden],Sala[Monto total],"fracaso",0,1)</f>
        <v>0.12442396313364056</v>
      </c>
      <c r="L848" t="s">
        <v>607</v>
      </c>
    </row>
    <row r="849" spans="1:12" x14ac:dyDescent="0.25">
      <c r="A849">
        <v>330</v>
      </c>
      <c r="B849">
        <v>10</v>
      </c>
      <c r="C849" t="s">
        <v>70</v>
      </c>
      <c r="D849" t="s">
        <v>634</v>
      </c>
      <c r="E849">
        <v>13</v>
      </c>
      <c r="F849">
        <v>21</v>
      </c>
      <c r="G849">
        <v>2</v>
      </c>
      <c r="H849">
        <v>51</v>
      </c>
      <c r="I849">
        <f>Cocina[[#This Row],[Precio Unitario]]*Cocina[[#This Row],[Cantidad Ordenada]]</f>
        <v>42</v>
      </c>
      <c r="J849">
        <f>(Cocina[[#This Row],[Precio Unitario]]-Cocina[[#This Row],[Costo Unitario]])*Cocina[[#This Row],[Cantidad Ordenada]]</f>
        <v>16</v>
      </c>
      <c r="K849" s="4">
        <f>Cocina[[#This Row],[Ganancia neta]]/_xlfn.XLOOKUP(Cocina[[#This Row],[Número de Orden]],Sala[Número de Orden],Sala[Monto total],"fracaso",0,1)</f>
        <v>7.3732718894009217E-2</v>
      </c>
      <c r="L849" t="s">
        <v>608</v>
      </c>
    </row>
    <row r="850" spans="1:12" x14ac:dyDescent="0.25">
      <c r="A850">
        <v>331</v>
      </c>
      <c r="B850">
        <v>20</v>
      </c>
      <c r="C850" t="s">
        <v>112</v>
      </c>
      <c r="D850" t="s">
        <v>627</v>
      </c>
      <c r="E850">
        <v>11</v>
      </c>
      <c r="F850">
        <v>19</v>
      </c>
      <c r="G850">
        <v>1</v>
      </c>
      <c r="H850">
        <v>5</v>
      </c>
      <c r="I850">
        <f>Cocina[[#This Row],[Precio Unitario]]*Cocina[[#This Row],[Cantidad Ordenada]]</f>
        <v>19</v>
      </c>
      <c r="J850">
        <f>(Cocina[[#This Row],[Precio Unitario]]-Cocina[[#This Row],[Costo Unitario]])*Cocina[[#This Row],[Cantidad Ordenada]]</f>
        <v>8</v>
      </c>
      <c r="K850" s="4">
        <f>Cocina[[#This Row],[Ganancia neta]]/_xlfn.XLOOKUP(Cocina[[#This Row],[Número de Orden]],Sala[Número de Orden],Sala[Monto total],"fracaso",0,1)</f>
        <v>4.6242774566473986E-2</v>
      </c>
      <c r="L850" t="s">
        <v>607</v>
      </c>
    </row>
    <row r="851" spans="1:12" x14ac:dyDescent="0.25">
      <c r="A851">
        <v>331</v>
      </c>
      <c r="B851">
        <v>20</v>
      </c>
      <c r="C851" t="s">
        <v>26</v>
      </c>
      <c r="D851" t="s">
        <v>628</v>
      </c>
      <c r="E851">
        <v>21</v>
      </c>
      <c r="F851">
        <v>35</v>
      </c>
      <c r="G851">
        <v>3</v>
      </c>
      <c r="H851">
        <v>26</v>
      </c>
      <c r="I851">
        <f>Cocina[[#This Row],[Precio Unitario]]*Cocina[[#This Row],[Cantidad Ordenada]]</f>
        <v>105</v>
      </c>
      <c r="J851">
        <f>(Cocina[[#This Row],[Precio Unitario]]-Cocina[[#This Row],[Costo Unitario]])*Cocina[[#This Row],[Cantidad Ordenada]]</f>
        <v>42</v>
      </c>
      <c r="K851" s="4">
        <f>Cocina[[#This Row],[Ganancia neta]]/_xlfn.XLOOKUP(Cocina[[#This Row],[Número de Orden]],Sala[Número de Orden],Sala[Monto total],"fracaso",0,1)</f>
        <v>0.24277456647398843</v>
      </c>
      <c r="L851" t="s">
        <v>608</v>
      </c>
    </row>
    <row r="852" spans="1:12" x14ac:dyDescent="0.25">
      <c r="A852">
        <v>331</v>
      </c>
      <c r="B852">
        <v>20</v>
      </c>
      <c r="C852" t="s">
        <v>158</v>
      </c>
      <c r="D852" t="s">
        <v>617</v>
      </c>
      <c r="E852">
        <v>14</v>
      </c>
      <c r="F852">
        <v>24</v>
      </c>
      <c r="G852">
        <v>1</v>
      </c>
      <c r="H852">
        <v>55</v>
      </c>
      <c r="I852">
        <f>Cocina[[#This Row],[Precio Unitario]]*Cocina[[#This Row],[Cantidad Ordenada]]</f>
        <v>24</v>
      </c>
      <c r="J852">
        <f>(Cocina[[#This Row],[Precio Unitario]]-Cocina[[#This Row],[Costo Unitario]])*Cocina[[#This Row],[Cantidad Ordenada]]</f>
        <v>10</v>
      </c>
      <c r="K852" s="4">
        <f>Cocina[[#This Row],[Ganancia neta]]/_xlfn.XLOOKUP(Cocina[[#This Row],[Número de Orden]],Sala[Número de Orden],Sala[Monto total],"fracaso",0,1)</f>
        <v>5.7803468208092484E-2</v>
      </c>
      <c r="L852" t="s">
        <v>607</v>
      </c>
    </row>
    <row r="853" spans="1:12" x14ac:dyDescent="0.25">
      <c r="A853">
        <v>331</v>
      </c>
      <c r="B853">
        <v>20</v>
      </c>
      <c r="C853" t="s">
        <v>122</v>
      </c>
      <c r="D853" t="s">
        <v>637</v>
      </c>
      <c r="E853">
        <v>15</v>
      </c>
      <c r="F853">
        <v>25</v>
      </c>
      <c r="G853">
        <v>1</v>
      </c>
      <c r="H853">
        <v>35</v>
      </c>
      <c r="I853">
        <f>Cocina[[#This Row],[Precio Unitario]]*Cocina[[#This Row],[Cantidad Ordenada]]</f>
        <v>25</v>
      </c>
      <c r="J853">
        <f>(Cocina[[#This Row],[Precio Unitario]]-Cocina[[#This Row],[Costo Unitario]])*Cocina[[#This Row],[Cantidad Ordenada]]</f>
        <v>10</v>
      </c>
      <c r="K853" s="4">
        <f>Cocina[[#This Row],[Ganancia neta]]/_xlfn.XLOOKUP(Cocina[[#This Row],[Número de Orden]],Sala[Número de Orden],Sala[Monto total],"fracaso",0,1)</f>
        <v>5.7803468208092484E-2</v>
      </c>
      <c r="L853" t="s">
        <v>607</v>
      </c>
    </row>
    <row r="854" spans="1:12" x14ac:dyDescent="0.25">
      <c r="A854">
        <v>332</v>
      </c>
      <c r="B854">
        <v>6</v>
      </c>
      <c r="C854" t="s">
        <v>48</v>
      </c>
      <c r="D854" t="s">
        <v>622</v>
      </c>
      <c r="E854">
        <v>25</v>
      </c>
      <c r="F854">
        <v>40</v>
      </c>
      <c r="G854">
        <v>3</v>
      </c>
      <c r="H854">
        <v>17</v>
      </c>
      <c r="I854">
        <f>Cocina[[#This Row],[Precio Unitario]]*Cocina[[#This Row],[Cantidad Ordenada]]</f>
        <v>120</v>
      </c>
      <c r="J854">
        <f>(Cocina[[#This Row],[Precio Unitario]]-Cocina[[#This Row],[Costo Unitario]])*Cocina[[#This Row],[Cantidad Ordenada]]</f>
        <v>45</v>
      </c>
      <c r="K854" s="4">
        <f>Cocina[[#This Row],[Ganancia neta]]/_xlfn.XLOOKUP(Cocina[[#This Row],[Número de Orden]],Sala[Número de Orden],Sala[Monto total],"fracaso",0,1)</f>
        <v>0.375</v>
      </c>
      <c r="L854" t="s">
        <v>607</v>
      </c>
    </row>
    <row r="855" spans="1:12" x14ac:dyDescent="0.25">
      <c r="A855">
        <v>333</v>
      </c>
      <c r="B855">
        <v>6</v>
      </c>
      <c r="C855" t="s">
        <v>73</v>
      </c>
      <c r="D855" t="s">
        <v>623</v>
      </c>
      <c r="E855">
        <v>22</v>
      </c>
      <c r="F855">
        <v>36</v>
      </c>
      <c r="G855">
        <v>1</v>
      </c>
      <c r="H855">
        <v>38</v>
      </c>
      <c r="I855">
        <f>Cocina[[#This Row],[Precio Unitario]]*Cocina[[#This Row],[Cantidad Ordenada]]</f>
        <v>36</v>
      </c>
      <c r="J855">
        <f>(Cocina[[#This Row],[Precio Unitario]]-Cocina[[#This Row],[Costo Unitario]])*Cocina[[#This Row],[Cantidad Ordenada]]</f>
        <v>14</v>
      </c>
      <c r="K855" s="4">
        <f>Cocina[[#This Row],[Ganancia neta]]/_xlfn.XLOOKUP(Cocina[[#This Row],[Número de Orden]],Sala[Número de Orden],Sala[Monto total],"fracaso",0,1)</f>
        <v>0.19444444444444445</v>
      </c>
      <c r="L855" t="s">
        <v>608</v>
      </c>
    </row>
    <row r="856" spans="1:12" x14ac:dyDescent="0.25">
      <c r="A856">
        <v>333</v>
      </c>
      <c r="B856">
        <v>6</v>
      </c>
      <c r="C856" t="s">
        <v>79</v>
      </c>
      <c r="D856" t="s">
        <v>635</v>
      </c>
      <c r="E856">
        <v>10</v>
      </c>
      <c r="F856">
        <v>18</v>
      </c>
      <c r="G856">
        <v>2</v>
      </c>
      <c r="H856">
        <v>23</v>
      </c>
      <c r="I856">
        <f>Cocina[[#This Row],[Precio Unitario]]*Cocina[[#This Row],[Cantidad Ordenada]]</f>
        <v>36</v>
      </c>
      <c r="J856">
        <f>(Cocina[[#This Row],[Precio Unitario]]-Cocina[[#This Row],[Costo Unitario]])*Cocina[[#This Row],[Cantidad Ordenada]]</f>
        <v>16</v>
      </c>
      <c r="K856" s="4">
        <f>Cocina[[#This Row],[Ganancia neta]]/_xlfn.XLOOKUP(Cocina[[#This Row],[Número de Orden]],Sala[Número de Orden],Sala[Monto total],"fracaso",0,1)</f>
        <v>0.22222222222222221</v>
      </c>
      <c r="L856" t="s">
        <v>608</v>
      </c>
    </row>
    <row r="857" spans="1:12" x14ac:dyDescent="0.25">
      <c r="A857">
        <v>334</v>
      </c>
      <c r="B857">
        <v>12</v>
      </c>
      <c r="C857" t="s">
        <v>70</v>
      </c>
      <c r="D857" t="s">
        <v>634</v>
      </c>
      <c r="E857">
        <v>13</v>
      </c>
      <c r="F857">
        <v>21</v>
      </c>
      <c r="G857">
        <v>2</v>
      </c>
      <c r="H857">
        <v>36</v>
      </c>
      <c r="I857">
        <f>Cocina[[#This Row],[Precio Unitario]]*Cocina[[#This Row],[Cantidad Ordenada]]</f>
        <v>42</v>
      </c>
      <c r="J857">
        <f>(Cocina[[#This Row],[Precio Unitario]]-Cocina[[#This Row],[Costo Unitario]])*Cocina[[#This Row],[Cantidad Ordenada]]</f>
        <v>16</v>
      </c>
      <c r="K857" s="4">
        <f>Cocina[[#This Row],[Ganancia neta]]/_xlfn.XLOOKUP(Cocina[[#This Row],[Número de Orden]],Sala[Número de Orden],Sala[Monto total],"fracaso",0,1)</f>
        <v>9.2485549132947972E-2</v>
      </c>
      <c r="L857" t="s">
        <v>608</v>
      </c>
    </row>
    <row r="858" spans="1:12" x14ac:dyDescent="0.25">
      <c r="A858">
        <v>334</v>
      </c>
      <c r="B858">
        <v>12</v>
      </c>
      <c r="C858" t="s">
        <v>200</v>
      </c>
      <c r="D858" t="s">
        <v>633</v>
      </c>
      <c r="E858">
        <v>14</v>
      </c>
      <c r="F858">
        <v>23</v>
      </c>
      <c r="G858">
        <v>1</v>
      </c>
      <c r="H858">
        <v>58</v>
      </c>
      <c r="I858">
        <f>Cocina[[#This Row],[Precio Unitario]]*Cocina[[#This Row],[Cantidad Ordenada]]</f>
        <v>23</v>
      </c>
      <c r="J858">
        <f>(Cocina[[#This Row],[Precio Unitario]]-Cocina[[#This Row],[Costo Unitario]])*Cocina[[#This Row],[Cantidad Ordenada]]</f>
        <v>9</v>
      </c>
      <c r="K858" s="4">
        <f>Cocina[[#This Row],[Ganancia neta]]/_xlfn.XLOOKUP(Cocina[[#This Row],[Número de Orden]],Sala[Número de Orden],Sala[Monto total],"fracaso",0,1)</f>
        <v>5.2023121387283239E-2</v>
      </c>
      <c r="L858" t="s">
        <v>607</v>
      </c>
    </row>
    <row r="859" spans="1:12" x14ac:dyDescent="0.25">
      <c r="A859">
        <v>334</v>
      </c>
      <c r="B859">
        <v>12</v>
      </c>
      <c r="C859" t="s">
        <v>158</v>
      </c>
      <c r="D859" t="s">
        <v>617</v>
      </c>
      <c r="E859">
        <v>14</v>
      </c>
      <c r="F859">
        <v>24</v>
      </c>
      <c r="G859">
        <v>2</v>
      </c>
      <c r="H859">
        <v>31</v>
      </c>
      <c r="I859">
        <f>Cocina[[#This Row],[Precio Unitario]]*Cocina[[#This Row],[Cantidad Ordenada]]</f>
        <v>48</v>
      </c>
      <c r="J859">
        <f>(Cocina[[#This Row],[Precio Unitario]]-Cocina[[#This Row],[Costo Unitario]])*Cocina[[#This Row],[Cantidad Ordenada]]</f>
        <v>20</v>
      </c>
      <c r="K859" s="4">
        <f>Cocina[[#This Row],[Ganancia neta]]/_xlfn.XLOOKUP(Cocina[[#This Row],[Número de Orden]],Sala[Número de Orden],Sala[Monto total],"fracaso",0,1)</f>
        <v>0.11560693641618497</v>
      </c>
      <c r="L859" t="s">
        <v>607</v>
      </c>
    </row>
    <row r="860" spans="1:12" x14ac:dyDescent="0.25">
      <c r="A860">
        <v>334</v>
      </c>
      <c r="B860">
        <v>12</v>
      </c>
      <c r="C860" t="s">
        <v>68</v>
      </c>
      <c r="D860" t="s">
        <v>619</v>
      </c>
      <c r="E860">
        <v>18</v>
      </c>
      <c r="F860">
        <v>30</v>
      </c>
      <c r="G860">
        <v>2</v>
      </c>
      <c r="H860">
        <v>31</v>
      </c>
      <c r="I860">
        <f>Cocina[[#This Row],[Precio Unitario]]*Cocina[[#This Row],[Cantidad Ordenada]]</f>
        <v>60</v>
      </c>
      <c r="J860">
        <f>(Cocina[[#This Row],[Precio Unitario]]-Cocina[[#This Row],[Costo Unitario]])*Cocina[[#This Row],[Cantidad Ordenada]]</f>
        <v>24</v>
      </c>
      <c r="K860" s="4">
        <f>Cocina[[#This Row],[Ganancia neta]]/_xlfn.XLOOKUP(Cocina[[#This Row],[Número de Orden]],Sala[Número de Orden],Sala[Monto total],"fracaso",0,1)</f>
        <v>0.13872832369942195</v>
      </c>
      <c r="L860" t="s">
        <v>607</v>
      </c>
    </row>
    <row r="861" spans="1:12" x14ac:dyDescent="0.25">
      <c r="A861">
        <v>335</v>
      </c>
      <c r="B861">
        <v>14</v>
      </c>
      <c r="C861" t="s">
        <v>68</v>
      </c>
      <c r="D861" t="s">
        <v>619</v>
      </c>
      <c r="E861">
        <v>18</v>
      </c>
      <c r="F861">
        <v>30</v>
      </c>
      <c r="G861">
        <v>1</v>
      </c>
      <c r="H861">
        <v>33</v>
      </c>
      <c r="I861">
        <f>Cocina[[#This Row],[Precio Unitario]]*Cocina[[#This Row],[Cantidad Ordenada]]</f>
        <v>30</v>
      </c>
      <c r="J861">
        <f>(Cocina[[#This Row],[Precio Unitario]]-Cocina[[#This Row],[Costo Unitario]])*Cocina[[#This Row],[Cantidad Ordenada]]</f>
        <v>12</v>
      </c>
      <c r="K861" s="4">
        <f>Cocina[[#This Row],[Ganancia neta]]/_xlfn.XLOOKUP(Cocina[[#This Row],[Número de Orden]],Sala[Número de Orden],Sala[Monto total],"fracaso",0,1)</f>
        <v>0.10526315789473684</v>
      </c>
      <c r="L861" t="s">
        <v>608</v>
      </c>
    </row>
    <row r="862" spans="1:12" x14ac:dyDescent="0.25">
      <c r="A862">
        <v>335</v>
      </c>
      <c r="B862">
        <v>14</v>
      </c>
      <c r="C862" t="s">
        <v>42</v>
      </c>
      <c r="D862" t="s">
        <v>626</v>
      </c>
      <c r="E862">
        <v>16</v>
      </c>
      <c r="F862">
        <v>28</v>
      </c>
      <c r="G862">
        <v>3</v>
      </c>
      <c r="H862">
        <v>36</v>
      </c>
      <c r="I862">
        <f>Cocina[[#This Row],[Precio Unitario]]*Cocina[[#This Row],[Cantidad Ordenada]]</f>
        <v>84</v>
      </c>
      <c r="J862">
        <f>(Cocina[[#This Row],[Precio Unitario]]-Cocina[[#This Row],[Costo Unitario]])*Cocina[[#This Row],[Cantidad Ordenada]]</f>
        <v>36</v>
      </c>
      <c r="K862" s="4">
        <f>Cocina[[#This Row],[Ganancia neta]]/_xlfn.XLOOKUP(Cocina[[#This Row],[Número de Orden]],Sala[Número de Orden],Sala[Monto total],"fracaso",0,1)</f>
        <v>0.31578947368421051</v>
      </c>
      <c r="L862" t="s">
        <v>608</v>
      </c>
    </row>
    <row r="863" spans="1:12" x14ac:dyDescent="0.25">
      <c r="A863">
        <v>336</v>
      </c>
      <c r="B863">
        <v>4</v>
      </c>
      <c r="C863" t="s">
        <v>70</v>
      </c>
      <c r="D863" t="s">
        <v>634</v>
      </c>
      <c r="E863">
        <v>13</v>
      </c>
      <c r="F863">
        <v>21</v>
      </c>
      <c r="G863">
        <v>2</v>
      </c>
      <c r="H863">
        <v>12</v>
      </c>
      <c r="I863">
        <f>Cocina[[#This Row],[Precio Unitario]]*Cocina[[#This Row],[Cantidad Ordenada]]</f>
        <v>42</v>
      </c>
      <c r="J863">
        <f>(Cocina[[#This Row],[Precio Unitario]]-Cocina[[#This Row],[Costo Unitario]])*Cocina[[#This Row],[Cantidad Ordenada]]</f>
        <v>16</v>
      </c>
      <c r="K863" s="4">
        <f>Cocina[[#This Row],[Ganancia neta]]/_xlfn.XLOOKUP(Cocina[[#This Row],[Número de Orden]],Sala[Número de Orden],Sala[Monto total],"fracaso",0,1)</f>
        <v>0.10126582278481013</v>
      </c>
      <c r="L863" t="s">
        <v>608</v>
      </c>
    </row>
    <row r="864" spans="1:12" x14ac:dyDescent="0.25">
      <c r="A864">
        <v>336</v>
      </c>
      <c r="B864">
        <v>4</v>
      </c>
      <c r="C864" t="s">
        <v>112</v>
      </c>
      <c r="D864" t="s">
        <v>627</v>
      </c>
      <c r="E864">
        <v>11</v>
      </c>
      <c r="F864">
        <v>19</v>
      </c>
      <c r="G864">
        <v>2</v>
      </c>
      <c r="H864">
        <v>33</v>
      </c>
      <c r="I864">
        <f>Cocina[[#This Row],[Precio Unitario]]*Cocina[[#This Row],[Cantidad Ordenada]]</f>
        <v>38</v>
      </c>
      <c r="J864">
        <f>(Cocina[[#This Row],[Precio Unitario]]-Cocina[[#This Row],[Costo Unitario]])*Cocina[[#This Row],[Cantidad Ordenada]]</f>
        <v>16</v>
      </c>
      <c r="K864" s="4">
        <f>Cocina[[#This Row],[Ganancia neta]]/_xlfn.XLOOKUP(Cocina[[#This Row],[Número de Orden]],Sala[Número de Orden],Sala[Monto total],"fracaso",0,1)</f>
        <v>0.10126582278481013</v>
      </c>
      <c r="L864" t="s">
        <v>608</v>
      </c>
    </row>
    <row r="865" spans="1:12" x14ac:dyDescent="0.25">
      <c r="A865">
        <v>336</v>
      </c>
      <c r="B865">
        <v>4</v>
      </c>
      <c r="C865" t="s">
        <v>155</v>
      </c>
      <c r="D865" t="s">
        <v>636</v>
      </c>
      <c r="E865">
        <v>15</v>
      </c>
      <c r="F865">
        <v>26</v>
      </c>
      <c r="G865">
        <v>3</v>
      </c>
      <c r="H865">
        <v>20</v>
      </c>
      <c r="I865">
        <f>Cocina[[#This Row],[Precio Unitario]]*Cocina[[#This Row],[Cantidad Ordenada]]</f>
        <v>78</v>
      </c>
      <c r="J865">
        <f>(Cocina[[#This Row],[Precio Unitario]]-Cocina[[#This Row],[Costo Unitario]])*Cocina[[#This Row],[Cantidad Ordenada]]</f>
        <v>33</v>
      </c>
      <c r="K865" s="4">
        <f>Cocina[[#This Row],[Ganancia neta]]/_xlfn.XLOOKUP(Cocina[[#This Row],[Número de Orden]],Sala[Número de Orden],Sala[Monto total],"fracaso",0,1)</f>
        <v>0.20886075949367089</v>
      </c>
      <c r="L865" t="s">
        <v>608</v>
      </c>
    </row>
    <row r="866" spans="1:12" x14ac:dyDescent="0.25">
      <c r="A866">
        <v>337</v>
      </c>
      <c r="B866">
        <v>11</v>
      </c>
      <c r="C866" t="s">
        <v>158</v>
      </c>
      <c r="D866" t="s">
        <v>617</v>
      </c>
      <c r="E866">
        <v>14</v>
      </c>
      <c r="F866">
        <v>24</v>
      </c>
      <c r="G866">
        <v>3</v>
      </c>
      <c r="H866">
        <v>53</v>
      </c>
      <c r="I866">
        <f>Cocina[[#This Row],[Precio Unitario]]*Cocina[[#This Row],[Cantidad Ordenada]]</f>
        <v>72</v>
      </c>
      <c r="J866">
        <f>(Cocina[[#This Row],[Precio Unitario]]-Cocina[[#This Row],[Costo Unitario]])*Cocina[[#This Row],[Cantidad Ordenada]]</f>
        <v>30</v>
      </c>
      <c r="K866" s="4">
        <f>Cocina[[#This Row],[Ganancia neta]]/_xlfn.XLOOKUP(Cocina[[#This Row],[Número de Orden]],Sala[Número de Orden],Sala[Monto total],"fracaso",0,1)</f>
        <v>0.3</v>
      </c>
      <c r="L866" t="s">
        <v>607</v>
      </c>
    </row>
    <row r="867" spans="1:12" x14ac:dyDescent="0.25">
      <c r="A867">
        <v>337</v>
      </c>
      <c r="B867">
        <v>11</v>
      </c>
      <c r="C867" t="s">
        <v>42</v>
      </c>
      <c r="D867" t="s">
        <v>626</v>
      </c>
      <c r="E867">
        <v>16</v>
      </c>
      <c r="F867">
        <v>28</v>
      </c>
      <c r="G867">
        <v>1</v>
      </c>
      <c r="H867">
        <v>5</v>
      </c>
      <c r="I867">
        <f>Cocina[[#This Row],[Precio Unitario]]*Cocina[[#This Row],[Cantidad Ordenada]]</f>
        <v>28</v>
      </c>
      <c r="J867">
        <f>(Cocina[[#This Row],[Precio Unitario]]-Cocina[[#This Row],[Costo Unitario]])*Cocina[[#This Row],[Cantidad Ordenada]]</f>
        <v>12</v>
      </c>
      <c r="K867" s="4">
        <f>Cocina[[#This Row],[Ganancia neta]]/_xlfn.XLOOKUP(Cocina[[#This Row],[Número de Orden]],Sala[Número de Orden],Sala[Monto total],"fracaso",0,1)</f>
        <v>0.12</v>
      </c>
      <c r="L867" t="s">
        <v>608</v>
      </c>
    </row>
    <row r="868" spans="1:12" x14ac:dyDescent="0.25">
      <c r="A868">
        <v>338</v>
      </c>
      <c r="B868">
        <v>18</v>
      </c>
      <c r="C868" t="s">
        <v>55</v>
      </c>
      <c r="D868" t="s">
        <v>631</v>
      </c>
      <c r="E868">
        <v>20</v>
      </c>
      <c r="F868">
        <v>34</v>
      </c>
      <c r="G868">
        <v>3</v>
      </c>
      <c r="H868">
        <v>44</v>
      </c>
      <c r="I868">
        <f>Cocina[[#This Row],[Precio Unitario]]*Cocina[[#This Row],[Cantidad Ordenada]]</f>
        <v>102</v>
      </c>
      <c r="J868">
        <f>(Cocina[[#This Row],[Precio Unitario]]-Cocina[[#This Row],[Costo Unitario]])*Cocina[[#This Row],[Cantidad Ordenada]]</f>
        <v>42</v>
      </c>
      <c r="K868" s="4">
        <f>Cocina[[#This Row],[Ganancia neta]]/_xlfn.XLOOKUP(Cocina[[#This Row],[Número de Orden]],Sala[Número de Orden],Sala[Monto total],"fracaso",0,1)</f>
        <v>0.15053763440860216</v>
      </c>
      <c r="L868" t="s">
        <v>607</v>
      </c>
    </row>
    <row r="869" spans="1:12" x14ac:dyDescent="0.25">
      <c r="A869">
        <v>338</v>
      </c>
      <c r="B869">
        <v>18</v>
      </c>
      <c r="C869" t="s">
        <v>70</v>
      </c>
      <c r="D869" t="s">
        <v>634</v>
      </c>
      <c r="E869">
        <v>13</v>
      </c>
      <c r="F869">
        <v>21</v>
      </c>
      <c r="G869">
        <v>1</v>
      </c>
      <c r="H869">
        <v>10</v>
      </c>
      <c r="I869">
        <f>Cocina[[#This Row],[Precio Unitario]]*Cocina[[#This Row],[Cantidad Ordenada]]</f>
        <v>21</v>
      </c>
      <c r="J869">
        <f>(Cocina[[#This Row],[Precio Unitario]]-Cocina[[#This Row],[Costo Unitario]])*Cocina[[#This Row],[Cantidad Ordenada]]</f>
        <v>8</v>
      </c>
      <c r="K869" s="4">
        <f>Cocina[[#This Row],[Ganancia neta]]/_xlfn.XLOOKUP(Cocina[[#This Row],[Número de Orden]],Sala[Número de Orden],Sala[Monto total],"fracaso",0,1)</f>
        <v>2.8673835125448029E-2</v>
      </c>
      <c r="L869" t="s">
        <v>608</v>
      </c>
    </row>
    <row r="870" spans="1:12" x14ac:dyDescent="0.25">
      <c r="A870">
        <v>338</v>
      </c>
      <c r="B870">
        <v>18</v>
      </c>
      <c r="C870" t="s">
        <v>247</v>
      </c>
      <c r="D870" t="s">
        <v>629</v>
      </c>
      <c r="E870">
        <v>19</v>
      </c>
      <c r="F870">
        <v>32</v>
      </c>
      <c r="G870">
        <v>3</v>
      </c>
      <c r="H870">
        <v>30</v>
      </c>
      <c r="I870">
        <f>Cocina[[#This Row],[Precio Unitario]]*Cocina[[#This Row],[Cantidad Ordenada]]</f>
        <v>96</v>
      </c>
      <c r="J870">
        <f>(Cocina[[#This Row],[Precio Unitario]]-Cocina[[#This Row],[Costo Unitario]])*Cocina[[#This Row],[Cantidad Ordenada]]</f>
        <v>39</v>
      </c>
      <c r="K870" s="4">
        <f>Cocina[[#This Row],[Ganancia neta]]/_xlfn.XLOOKUP(Cocina[[#This Row],[Número de Orden]],Sala[Número de Orden],Sala[Monto total],"fracaso",0,1)</f>
        <v>0.13978494623655913</v>
      </c>
      <c r="L870" t="s">
        <v>608</v>
      </c>
    </row>
    <row r="871" spans="1:12" x14ac:dyDescent="0.25">
      <c r="A871">
        <v>338</v>
      </c>
      <c r="B871">
        <v>18</v>
      </c>
      <c r="C871" t="s">
        <v>146</v>
      </c>
      <c r="D871" t="s">
        <v>632</v>
      </c>
      <c r="E871">
        <v>12</v>
      </c>
      <c r="F871">
        <v>20</v>
      </c>
      <c r="G871">
        <v>3</v>
      </c>
      <c r="H871">
        <v>59</v>
      </c>
      <c r="I871">
        <f>Cocina[[#This Row],[Precio Unitario]]*Cocina[[#This Row],[Cantidad Ordenada]]</f>
        <v>60</v>
      </c>
      <c r="J871">
        <f>(Cocina[[#This Row],[Precio Unitario]]-Cocina[[#This Row],[Costo Unitario]])*Cocina[[#This Row],[Cantidad Ordenada]]</f>
        <v>24</v>
      </c>
      <c r="K871" s="4">
        <f>Cocina[[#This Row],[Ganancia neta]]/_xlfn.XLOOKUP(Cocina[[#This Row],[Número de Orden]],Sala[Número de Orden],Sala[Monto total],"fracaso",0,1)</f>
        <v>8.6021505376344093E-2</v>
      </c>
      <c r="L871" t="s">
        <v>607</v>
      </c>
    </row>
    <row r="872" spans="1:12" x14ac:dyDescent="0.25">
      <c r="A872">
        <v>339</v>
      </c>
      <c r="B872">
        <v>13</v>
      </c>
      <c r="C872" t="s">
        <v>38</v>
      </c>
      <c r="D872" t="s">
        <v>624</v>
      </c>
      <c r="E872">
        <v>17</v>
      </c>
      <c r="F872">
        <v>29</v>
      </c>
      <c r="G872">
        <v>2</v>
      </c>
      <c r="H872">
        <v>6</v>
      </c>
      <c r="I872">
        <f>Cocina[[#This Row],[Precio Unitario]]*Cocina[[#This Row],[Cantidad Ordenada]]</f>
        <v>58</v>
      </c>
      <c r="J872">
        <f>(Cocina[[#This Row],[Precio Unitario]]-Cocina[[#This Row],[Costo Unitario]])*Cocina[[#This Row],[Cantidad Ordenada]]</f>
        <v>24</v>
      </c>
      <c r="K872" s="4">
        <f>Cocina[[#This Row],[Ganancia neta]]/_xlfn.XLOOKUP(Cocina[[#This Row],[Número de Orden]],Sala[Número de Orden],Sala[Monto total],"fracaso",0,1)</f>
        <v>0.23076923076923078</v>
      </c>
      <c r="L872" t="s">
        <v>608</v>
      </c>
    </row>
    <row r="873" spans="1:12" x14ac:dyDescent="0.25">
      <c r="A873">
        <v>339</v>
      </c>
      <c r="B873">
        <v>13</v>
      </c>
      <c r="C873" t="s">
        <v>200</v>
      </c>
      <c r="D873" t="s">
        <v>633</v>
      </c>
      <c r="E873">
        <v>14</v>
      </c>
      <c r="F873">
        <v>23</v>
      </c>
      <c r="G873">
        <v>2</v>
      </c>
      <c r="H873">
        <v>40</v>
      </c>
      <c r="I873">
        <f>Cocina[[#This Row],[Precio Unitario]]*Cocina[[#This Row],[Cantidad Ordenada]]</f>
        <v>46</v>
      </c>
      <c r="J873">
        <f>(Cocina[[#This Row],[Precio Unitario]]-Cocina[[#This Row],[Costo Unitario]])*Cocina[[#This Row],[Cantidad Ordenada]]</f>
        <v>18</v>
      </c>
      <c r="K873" s="4">
        <f>Cocina[[#This Row],[Ganancia neta]]/_xlfn.XLOOKUP(Cocina[[#This Row],[Número de Orden]],Sala[Número de Orden],Sala[Monto total],"fracaso",0,1)</f>
        <v>0.17307692307692307</v>
      </c>
      <c r="L873" t="s">
        <v>607</v>
      </c>
    </row>
    <row r="874" spans="1:12" x14ac:dyDescent="0.25">
      <c r="A874">
        <v>340</v>
      </c>
      <c r="B874">
        <v>15</v>
      </c>
      <c r="C874" t="s">
        <v>48</v>
      </c>
      <c r="D874" t="s">
        <v>622</v>
      </c>
      <c r="E874">
        <v>25</v>
      </c>
      <c r="F874">
        <v>40</v>
      </c>
      <c r="G874">
        <v>2</v>
      </c>
      <c r="H874">
        <v>35</v>
      </c>
      <c r="I874">
        <f>Cocina[[#This Row],[Precio Unitario]]*Cocina[[#This Row],[Cantidad Ordenada]]</f>
        <v>80</v>
      </c>
      <c r="J874">
        <f>(Cocina[[#This Row],[Precio Unitario]]-Cocina[[#This Row],[Costo Unitario]])*Cocina[[#This Row],[Cantidad Ordenada]]</f>
        <v>30</v>
      </c>
      <c r="K874" s="4">
        <f>Cocina[[#This Row],[Ganancia neta]]/_xlfn.XLOOKUP(Cocina[[#This Row],[Número de Orden]],Sala[Número de Orden],Sala[Monto total],"fracaso",0,1)</f>
        <v>0.18292682926829268</v>
      </c>
      <c r="L874" t="s">
        <v>608</v>
      </c>
    </row>
    <row r="875" spans="1:12" x14ac:dyDescent="0.25">
      <c r="A875">
        <v>340</v>
      </c>
      <c r="B875">
        <v>15</v>
      </c>
      <c r="C875" t="s">
        <v>42</v>
      </c>
      <c r="D875" t="s">
        <v>626</v>
      </c>
      <c r="E875">
        <v>16</v>
      </c>
      <c r="F875">
        <v>28</v>
      </c>
      <c r="G875">
        <v>3</v>
      </c>
      <c r="H875">
        <v>56</v>
      </c>
      <c r="I875">
        <f>Cocina[[#This Row],[Precio Unitario]]*Cocina[[#This Row],[Cantidad Ordenada]]</f>
        <v>84</v>
      </c>
      <c r="J875">
        <f>(Cocina[[#This Row],[Precio Unitario]]-Cocina[[#This Row],[Costo Unitario]])*Cocina[[#This Row],[Cantidad Ordenada]]</f>
        <v>36</v>
      </c>
      <c r="K875" s="4">
        <f>Cocina[[#This Row],[Ganancia neta]]/_xlfn.XLOOKUP(Cocina[[#This Row],[Número de Orden]],Sala[Número de Orden],Sala[Monto total],"fracaso",0,1)</f>
        <v>0.21951219512195122</v>
      </c>
      <c r="L875" t="s">
        <v>607</v>
      </c>
    </row>
    <row r="876" spans="1:12" x14ac:dyDescent="0.25">
      <c r="A876">
        <v>341</v>
      </c>
      <c r="B876">
        <v>14</v>
      </c>
      <c r="C876" t="s">
        <v>42</v>
      </c>
      <c r="D876" t="s">
        <v>626</v>
      </c>
      <c r="E876">
        <v>16</v>
      </c>
      <c r="F876">
        <v>28</v>
      </c>
      <c r="G876">
        <v>1</v>
      </c>
      <c r="H876">
        <v>46</v>
      </c>
      <c r="I876">
        <f>Cocina[[#This Row],[Precio Unitario]]*Cocina[[#This Row],[Cantidad Ordenada]]</f>
        <v>28</v>
      </c>
      <c r="J876">
        <f>(Cocina[[#This Row],[Precio Unitario]]-Cocina[[#This Row],[Costo Unitario]])*Cocina[[#This Row],[Cantidad Ordenada]]</f>
        <v>12</v>
      </c>
      <c r="K876" s="4">
        <f>Cocina[[#This Row],[Ganancia neta]]/_xlfn.XLOOKUP(Cocina[[#This Row],[Número de Orden]],Sala[Número de Orden],Sala[Monto total],"fracaso",0,1)</f>
        <v>6.7796610169491525E-2</v>
      </c>
      <c r="L876" t="s">
        <v>607</v>
      </c>
    </row>
    <row r="877" spans="1:12" x14ac:dyDescent="0.25">
      <c r="A877">
        <v>341</v>
      </c>
      <c r="B877">
        <v>14</v>
      </c>
      <c r="C877" t="s">
        <v>203</v>
      </c>
      <c r="D877" t="s">
        <v>630</v>
      </c>
      <c r="E877">
        <v>13</v>
      </c>
      <c r="F877">
        <v>22</v>
      </c>
      <c r="G877">
        <v>2</v>
      </c>
      <c r="H877">
        <v>34</v>
      </c>
      <c r="I877">
        <f>Cocina[[#This Row],[Precio Unitario]]*Cocina[[#This Row],[Cantidad Ordenada]]</f>
        <v>44</v>
      </c>
      <c r="J877">
        <f>(Cocina[[#This Row],[Precio Unitario]]-Cocina[[#This Row],[Costo Unitario]])*Cocina[[#This Row],[Cantidad Ordenada]]</f>
        <v>18</v>
      </c>
      <c r="K877" s="4">
        <f>Cocina[[#This Row],[Ganancia neta]]/_xlfn.XLOOKUP(Cocina[[#This Row],[Número de Orden]],Sala[Número de Orden],Sala[Monto total],"fracaso",0,1)</f>
        <v>0.10169491525423729</v>
      </c>
      <c r="L877" t="s">
        <v>608</v>
      </c>
    </row>
    <row r="878" spans="1:12" x14ac:dyDescent="0.25">
      <c r="A878">
        <v>341</v>
      </c>
      <c r="B878">
        <v>14</v>
      </c>
      <c r="C878" t="s">
        <v>26</v>
      </c>
      <c r="D878" t="s">
        <v>628</v>
      </c>
      <c r="E878">
        <v>21</v>
      </c>
      <c r="F878">
        <v>35</v>
      </c>
      <c r="G878">
        <v>3</v>
      </c>
      <c r="H878">
        <v>8</v>
      </c>
      <c r="I878">
        <f>Cocina[[#This Row],[Precio Unitario]]*Cocina[[#This Row],[Cantidad Ordenada]]</f>
        <v>105</v>
      </c>
      <c r="J878">
        <f>(Cocina[[#This Row],[Precio Unitario]]-Cocina[[#This Row],[Costo Unitario]])*Cocina[[#This Row],[Cantidad Ordenada]]</f>
        <v>42</v>
      </c>
      <c r="K878" s="4">
        <f>Cocina[[#This Row],[Ganancia neta]]/_xlfn.XLOOKUP(Cocina[[#This Row],[Número de Orden]],Sala[Número de Orden],Sala[Monto total],"fracaso",0,1)</f>
        <v>0.23728813559322035</v>
      </c>
      <c r="L878" t="s">
        <v>608</v>
      </c>
    </row>
    <row r="879" spans="1:12" x14ac:dyDescent="0.25">
      <c r="A879">
        <v>342</v>
      </c>
      <c r="B879">
        <v>19</v>
      </c>
      <c r="C879" t="s">
        <v>200</v>
      </c>
      <c r="D879" t="s">
        <v>633</v>
      </c>
      <c r="E879">
        <v>14</v>
      </c>
      <c r="F879">
        <v>23</v>
      </c>
      <c r="G879">
        <v>2</v>
      </c>
      <c r="H879">
        <v>23</v>
      </c>
      <c r="I879">
        <f>Cocina[[#This Row],[Precio Unitario]]*Cocina[[#This Row],[Cantidad Ordenada]]</f>
        <v>46</v>
      </c>
      <c r="J879">
        <f>(Cocina[[#This Row],[Precio Unitario]]-Cocina[[#This Row],[Costo Unitario]])*Cocina[[#This Row],[Cantidad Ordenada]]</f>
        <v>18</v>
      </c>
      <c r="K879" s="4">
        <f>Cocina[[#This Row],[Ganancia neta]]/_xlfn.XLOOKUP(Cocina[[#This Row],[Número de Orden]],Sala[Número de Orden],Sala[Monto total],"fracaso",0,1)</f>
        <v>0.17647058823529413</v>
      </c>
      <c r="L879" t="s">
        <v>608</v>
      </c>
    </row>
    <row r="880" spans="1:12" x14ac:dyDescent="0.25">
      <c r="A880">
        <v>342</v>
      </c>
      <c r="B880">
        <v>19</v>
      </c>
      <c r="C880" t="s">
        <v>42</v>
      </c>
      <c r="D880" t="s">
        <v>626</v>
      </c>
      <c r="E880">
        <v>16</v>
      </c>
      <c r="F880">
        <v>28</v>
      </c>
      <c r="G880">
        <v>2</v>
      </c>
      <c r="H880">
        <v>31</v>
      </c>
      <c r="I880">
        <f>Cocina[[#This Row],[Precio Unitario]]*Cocina[[#This Row],[Cantidad Ordenada]]</f>
        <v>56</v>
      </c>
      <c r="J880">
        <f>(Cocina[[#This Row],[Precio Unitario]]-Cocina[[#This Row],[Costo Unitario]])*Cocina[[#This Row],[Cantidad Ordenada]]</f>
        <v>24</v>
      </c>
      <c r="K880" s="4">
        <f>Cocina[[#This Row],[Ganancia neta]]/_xlfn.XLOOKUP(Cocina[[#This Row],[Número de Orden]],Sala[Número de Orden],Sala[Monto total],"fracaso",0,1)</f>
        <v>0.23529411764705882</v>
      </c>
      <c r="L880" t="s">
        <v>608</v>
      </c>
    </row>
    <row r="881" spans="1:12" x14ac:dyDescent="0.25">
      <c r="A881">
        <v>343</v>
      </c>
      <c r="B881">
        <v>12</v>
      </c>
      <c r="C881" t="s">
        <v>55</v>
      </c>
      <c r="D881" t="s">
        <v>631</v>
      </c>
      <c r="E881">
        <v>20</v>
      </c>
      <c r="F881">
        <v>34</v>
      </c>
      <c r="G881">
        <v>2</v>
      </c>
      <c r="H881">
        <v>58</v>
      </c>
      <c r="I881">
        <f>Cocina[[#This Row],[Precio Unitario]]*Cocina[[#This Row],[Cantidad Ordenada]]</f>
        <v>68</v>
      </c>
      <c r="J881">
        <f>(Cocina[[#This Row],[Precio Unitario]]-Cocina[[#This Row],[Costo Unitario]])*Cocina[[#This Row],[Cantidad Ordenada]]</f>
        <v>28</v>
      </c>
      <c r="K881" s="4">
        <f>Cocina[[#This Row],[Ganancia neta]]/_xlfn.XLOOKUP(Cocina[[#This Row],[Número de Orden]],Sala[Número de Orden],Sala[Monto total],"fracaso",0,1)</f>
        <v>0.20437956204379562</v>
      </c>
      <c r="L881" t="s">
        <v>608</v>
      </c>
    </row>
    <row r="882" spans="1:12" x14ac:dyDescent="0.25">
      <c r="A882">
        <v>343</v>
      </c>
      <c r="B882">
        <v>12</v>
      </c>
      <c r="C882" t="s">
        <v>200</v>
      </c>
      <c r="D882" t="s">
        <v>633</v>
      </c>
      <c r="E882">
        <v>14</v>
      </c>
      <c r="F882">
        <v>23</v>
      </c>
      <c r="G882">
        <v>3</v>
      </c>
      <c r="H882">
        <v>43</v>
      </c>
      <c r="I882">
        <f>Cocina[[#This Row],[Precio Unitario]]*Cocina[[#This Row],[Cantidad Ordenada]]</f>
        <v>69</v>
      </c>
      <c r="J882">
        <f>(Cocina[[#This Row],[Precio Unitario]]-Cocina[[#This Row],[Costo Unitario]])*Cocina[[#This Row],[Cantidad Ordenada]]</f>
        <v>27</v>
      </c>
      <c r="K882" s="4">
        <f>Cocina[[#This Row],[Ganancia neta]]/_xlfn.XLOOKUP(Cocina[[#This Row],[Número de Orden]],Sala[Número de Orden],Sala[Monto total],"fracaso",0,1)</f>
        <v>0.19708029197080293</v>
      </c>
      <c r="L882" t="s">
        <v>607</v>
      </c>
    </row>
    <row r="883" spans="1:12" x14ac:dyDescent="0.25">
      <c r="A883">
        <v>344</v>
      </c>
      <c r="B883">
        <v>15</v>
      </c>
      <c r="C883" t="s">
        <v>26</v>
      </c>
      <c r="D883" t="s">
        <v>628</v>
      </c>
      <c r="E883">
        <v>21</v>
      </c>
      <c r="F883">
        <v>35</v>
      </c>
      <c r="G883">
        <v>1</v>
      </c>
      <c r="H883">
        <v>11</v>
      </c>
      <c r="I883">
        <f>Cocina[[#This Row],[Precio Unitario]]*Cocina[[#This Row],[Cantidad Ordenada]]</f>
        <v>35</v>
      </c>
      <c r="J883">
        <f>(Cocina[[#This Row],[Precio Unitario]]-Cocina[[#This Row],[Costo Unitario]])*Cocina[[#This Row],[Cantidad Ordenada]]</f>
        <v>14</v>
      </c>
      <c r="K883" s="4">
        <f>Cocina[[#This Row],[Ganancia neta]]/_xlfn.XLOOKUP(Cocina[[#This Row],[Número de Orden]],Sala[Número de Orden],Sala[Monto total],"fracaso",0,1)</f>
        <v>7.650273224043716E-2</v>
      </c>
      <c r="L883" t="s">
        <v>608</v>
      </c>
    </row>
    <row r="884" spans="1:12" x14ac:dyDescent="0.25">
      <c r="A884">
        <v>344</v>
      </c>
      <c r="B884">
        <v>15</v>
      </c>
      <c r="C884" t="s">
        <v>116</v>
      </c>
      <c r="D884" t="s">
        <v>620</v>
      </c>
      <c r="E884">
        <v>19</v>
      </c>
      <c r="F884">
        <v>31</v>
      </c>
      <c r="G884">
        <v>2</v>
      </c>
      <c r="H884">
        <v>28</v>
      </c>
      <c r="I884">
        <f>Cocina[[#This Row],[Precio Unitario]]*Cocina[[#This Row],[Cantidad Ordenada]]</f>
        <v>62</v>
      </c>
      <c r="J884">
        <f>(Cocina[[#This Row],[Precio Unitario]]-Cocina[[#This Row],[Costo Unitario]])*Cocina[[#This Row],[Cantidad Ordenada]]</f>
        <v>24</v>
      </c>
      <c r="K884" s="4">
        <f>Cocina[[#This Row],[Ganancia neta]]/_xlfn.XLOOKUP(Cocina[[#This Row],[Número de Orden]],Sala[Número de Orden],Sala[Monto total],"fracaso",0,1)</f>
        <v>0.13114754098360656</v>
      </c>
      <c r="L884" t="s">
        <v>608</v>
      </c>
    </row>
    <row r="885" spans="1:12" x14ac:dyDescent="0.25">
      <c r="A885">
        <v>344</v>
      </c>
      <c r="B885">
        <v>15</v>
      </c>
      <c r="C885" t="s">
        <v>247</v>
      </c>
      <c r="D885" t="s">
        <v>629</v>
      </c>
      <c r="E885">
        <v>19</v>
      </c>
      <c r="F885">
        <v>32</v>
      </c>
      <c r="G885">
        <v>2</v>
      </c>
      <c r="H885">
        <v>19</v>
      </c>
      <c r="I885">
        <f>Cocina[[#This Row],[Precio Unitario]]*Cocina[[#This Row],[Cantidad Ordenada]]</f>
        <v>64</v>
      </c>
      <c r="J885">
        <f>(Cocina[[#This Row],[Precio Unitario]]-Cocina[[#This Row],[Costo Unitario]])*Cocina[[#This Row],[Cantidad Ordenada]]</f>
        <v>26</v>
      </c>
      <c r="K885" s="4">
        <f>Cocina[[#This Row],[Ganancia neta]]/_xlfn.XLOOKUP(Cocina[[#This Row],[Número de Orden]],Sala[Número de Orden],Sala[Monto total],"fracaso",0,1)</f>
        <v>0.14207650273224043</v>
      </c>
      <c r="L885" t="s">
        <v>608</v>
      </c>
    </row>
    <row r="886" spans="1:12" x14ac:dyDescent="0.25">
      <c r="A886">
        <v>344</v>
      </c>
      <c r="B886">
        <v>15</v>
      </c>
      <c r="C886" t="s">
        <v>203</v>
      </c>
      <c r="D886" t="s">
        <v>630</v>
      </c>
      <c r="E886">
        <v>13</v>
      </c>
      <c r="F886">
        <v>22</v>
      </c>
      <c r="G886">
        <v>1</v>
      </c>
      <c r="H886">
        <v>28</v>
      </c>
      <c r="I886">
        <f>Cocina[[#This Row],[Precio Unitario]]*Cocina[[#This Row],[Cantidad Ordenada]]</f>
        <v>22</v>
      </c>
      <c r="J886">
        <f>(Cocina[[#This Row],[Precio Unitario]]-Cocina[[#This Row],[Costo Unitario]])*Cocina[[#This Row],[Cantidad Ordenada]]</f>
        <v>9</v>
      </c>
      <c r="K886" s="4">
        <f>Cocina[[#This Row],[Ganancia neta]]/_xlfn.XLOOKUP(Cocina[[#This Row],[Número de Orden]],Sala[Número de Orden],Sala[Monto total],"fracaso",0,1)</f>
        <v>4.9180327868852458E-2</v>
      </c>
      <c r="L886" t="s">
        <v>607</v>
      </c>
    </row>
    <row r="887" spans="1:12" x14ac:dyDescent="0.25">
      <c r="A887">
        <v>345</v>
      </c>
      <c r="B887">
        <v>16</v>
      </c>
      <c r="C887" t="s">
        <v>112</v>
      </c>
      <c r="D887" t="s">
        <v>627</v>
      </c>
      <c r="E887">
        <v>11</v>
      </c>
      <c r="F887">
        <v>19</v>
      </c>
      <c r="G887">
        <v>2</v>
      </c>
      <c r="H887">
        <v>18</v>
      </c>
      <c r="I887">
        <f>Cocina[[#This Row],[Precio Unitario]]*Cocina[[#This Row],[Cantidad Ordenada]]</f>
        <v>38</v>
      </c>
      <c r="J887">
        <f>(Cocina[[#This Row],[Precio Unitario]]-Cocina[[#This Row],[Costo Unitario]])*Cocina[[#This Row],[Cantidad Ordenada]]</f>
        <v>16</v>
      </c>
      <c r="K887" s="4">
        <f>Cocina[[#This Row],[Ganancia neta]]/_xlfn.XLOOKUP(Cocina[[#This Row],[Número de Orden]],Sala[Número de Orden],Sala[Monto total],"fracaso",0,1)</f>
        <v>0.42105263157894735</v>
      </c>
      <c r="L887" t="s">
        <v>607</v>
      </c>
    </row>
    <row r="888" spans="1:12" x14ac:dyDescent="0.25">
      <c r="A888">
        <v>346</v>
      </c>
      <c r="B888">
        <v>1</v>
      </c>
      <c r="C888" t="s">
        <v>73</v>
      </c>
      <c r="D888" t="s">
        <v>623</v>
      </c>
      <c r="E888">
        <v>22</v>
      </c>
      <c r="F888">
        <v>36</v>
      </c>
      <c r="G888">
        <v>2</v>
      </c>
      <c r="H888">
        <v>22</v>
      </c>
      <c r="I888">
        <f>Cocina[[#This Row],[Precio Unitario]]*Cocina[[#This Row],[Cantidad Ordenada]]</f>
        <v>72</v>
      </c>
      <c r="J888">
        <f>(Cocina[[#This Row],[Precio Unitario]]-Cocina[[#This Row],[Costo Unitario]])*Cocina[[#This Row],[Cantidad Ordenada]]</f>
        <v>28</v>
      </c>
      <c r="K888" s="4">
        <f>Cocina[[#This Row],[Ganancia neta]]/_xlfn.XLOOKUP(Cocina[[#This Row],[Número de Orden]],Sala[Número de Orden],Sala[Monto total],"fracaso",0,1)</f>
        <v>0.3888888888888889</v>
      </c>
      <c r="L888" t="s">
        <v>608</v>
      </c>
    </row>
    <row r="889" spans="1:12" x14ac:dyDescent="0.25">
      <c r="A889">
        <v>347</v>
      </c>
      <c r="B889">
        <v>7</v>
      </c>
      <c r="C889" t="s">
        <v>26</v>
      </c>
      <c r="D889" t="s">
        <v>628</v>
      </c>
      <c r="E889">
        <v>21</v>
      </c>
      <c r="F889">
        <v>35</v>
      </c>
      <c r="G889">
        <v>2</v>
      </c>
      <c r="H889">
        <v>44</v>
      </c>
      <c r="I889">
        <f>Cocina[[#This Row],[Precio Unitario]]*Cocina[[#This Row],[Cantidad Ordenada]]</f>
        <v>70</v>
      </c>
      <c r="J889">
        <f>(Cocina[[#This Row],[Precio Unitario]]-Cocina[[#This Row],[Costo Unitario]])*Cocina[[#This Row],[Cantidad Ordenada]]</f>
        <v>28</v>
      </c>
      <c r="K889" s="4">
        <f>Cocina[[#This Row],[Ganancia neta]]/_xlfn.XLOOKUP(Cocina[[#This Row],[Número de Orden]],Sala[Número de Orden],Sala[Monto total],"fracaso",0,1)</f>
        <v>0.4</v>
      </c>
      <c r="L889" t="s">
        <v>607</v>
      </c>
    </row>
    <row r="890" spans="1:12" x14ac:dyDescent="0.25">
      <c r="A890">
        <v>348</v>
      </c>
      <c r="B890">
        <v>16</v>
      </c>
      <c r="C890" t="s">
        <v>155</v>
      </c>
      <c r="D890" t="s">
        <v>636</v>
      </c>
      <c r="E890">
        <v>15</v>
      </c>
      <c r="F890">
        <v>26</v>
      </c>
      <c r="G890">
        <v>1</v>
      </c>
      <c r="H890">
        <v>31</v>
      </c>
      <c r="I890">
        <f>Cocina[[#This Row],[Precio Unitario]]*Cocina[[#This Row],[Cantidad Ordenada]]</f>
        <v>26</v>
      </c>
      <c r="J890">
        <f>(Cocina[[#This Row],[Precio Unitario]]-Cocina[[#This Row],[Costo Unitario]])*Cocina[[#This Row],[Cantidad Ordenada]]</f>
        <v>11</v>
      </c>
      <c r="K890" s="4">
        <f>Cocina[[#This Row],[Ganancia neta]]/_xlfn.XLOOKUP(Cocina[[#This Row],[Número de Orden]],Sala[Número de Orden],Sala[Monto total],"fracaso",0,1)</f>
        <v>0.12790697674418605</v>
      </c>
      <c r="L890" t="s">
        <v>608</v>
      </c>
    </row>
    <row r="891" spans="1:12" x14ac:dyDescent="0.25">
      <c r="A891">
        <v>348</v>
      </c>
      <c r="B891">
        <v>16</v>
      </c>
      <c r="C891" t="s">
        <v>146</v>
      </c>
      <c r="D891" t="s">
        <v>632</v>
      </c>
      <c r="E891">
        <v>12</v>
      </c>
      <c r="F891">
        <v>20</v>
      </c>
      <c r="G891">
        <v>3</v>
      </c>
      <c r="H891">
        <v>57</v>
      </c>
      <c r="I891">
        <f>Cocina[[#This Row],[Precio Unitario]]*Cocina[[#This Row],[Cantidad Ordenada]]</f>
        <v>60</v>
      </c>
      <c r="J891">
        <f>(Cocina[[#This Row],[Precio Unitario]]-Cocina[[#This Row],[Costo Unitario]])*Cocina[[#This Row],[Cantidad Ordenada]]</f>
        <v>24</v>
      </c>
      <c r="K891" s="4">
        <f>Cocina[[#This Row],[Ganancia neta]]/_xlfn.XLOOKUP(Cocina[[#This Row],[Número de Orden]],Sala[Número de Orden],Sala[Monto total],"fracaso",0,1)</f>
        <v>0.27906976744186046</v>
      </c>
      <c r="L891" t="s">
        <v>607</v>
      </c>
    </row>
    <row r="892" spans="1:12" x14ac:dyDescent="0.25">
      <c r="A892">
        <v>349</v>
      </c>
      <c r="B892">
        <v>13</v>
      </c>
      <c r="C892" t="s">
        <v>68</v>
      </c>
      <c r="D892" t="s">
        <v>619</v>
      </c>
      <c r="E892">
        <v>18</v>
      </c>
      <c r="F892">
        <v>30</v>
      </c>
      <c r="G892">
        <v>2</v>
      </c>
      <c r="H892">
        <v>25</v>
      </c>
      <c r="I892">
        <f>Cocina[[#This Row],[Precio Unitario]]*Cocina[[#This Row],[Cantidad Ordenada]]</f>
        <v>60</v>
      </c>
      <c r="J892">
        <f>(Cocina[[#This Row],[Precio Unitario]]-Cocina[[#This Row],[Costo Unitario]])*Cocina[[#This Row],[Cantidad Ordenada]]</f>
        <v>24</v>
      </c>
      <c r="K892" s="4">
        <f>Cocina[[#This Row],[Ganancia neta]]/_xlfn.XLOOKUP(Cocina[[#This Row],[Número de Orden]],Sala[Número de Orden],Sala[Monto total],"fracaso",0,1)</f>
        <v>0.15789473684210525</v>
      </c>
      <c r="L892" t="s">
        <v>608</v>
      </c>
    </row>
    <row r="893" spans="1:12" x14ac:dyDescent="0.25">
      <c r="A893">
        <v>349</v>
      </c>
      <c r="B893">
        <v>13</v>
      </c>
      <c r="C893" t="s">
        <v>112</v>
      </c>
      <c r="D893" t="s">
        <v>627</v>
      </c>
      <c r="E893">
        <v>11</v>
      </c>
      <c r="F893">
        <v>19</v>
      </c>
      <c r="G893">
        <v>3</v>
      </c>
      <c r="H893">
        <v>7</v>
      </c>
      <c r="I893">
        <f>Cocina[[#This Row],[Precio Unitario]]*Cocina[[#This Row],[Cantidad Ordenada]]</f>
        <v>57</v>
      </c>
      <c r="J893">
        <f>(Cocina[[#This Row],[Precio Unitario]]-Cocina[[#This Row],[Costo Unitario]])*Cocina[[#This Row],[Cantidad Ordenada]]</f>
        <v>24</v>
      </c>
      <c r="K893" s="4">
        <f>Cocina[[#This Row],[Ganancia neta]]/_xlfn.XLOOKUP(Cocina[[#This Row],[Número de Orden]],Sala[Número de Orden],Sala[Monto total],"fracaso",0,1)</f>
        <v>0.15789473684210525</v>
      </c>
      <c r="L893" t="s">
        <v>607</v>
      </c>
    </row>
    <row r="894" spans="1:12" x14ac:dyDescent="0.25">
      <c r="A894">
        <v>349</v>
      </c>
      <c r="B894">
        <v>13</v>
      </c>
      <c r="C894" t="s">
        <v>26</v>
      </c>
      <c r="D894" t="s">
        <v>628</v>
      </c>
      <c r="E894">
        <v>21</v>
      </c>
      <c r="F894">
        <v>35</v>
      </c>
      <c r="G894">
        <v>1</v>
      </c>
      <c r="H894">
        <v>53</v>
      </c>
      <c r="I894">
        <f>Cocina[[#This Row],[Precio Unitario]]*Cocina[[#This Row],[Cantidad Ordenada]]</f>
        <v>35</v>
      </c>
      <c r="J894">
        <f>(Cocina[[#This Row],[Precio Unitario]]-Cocina[[#This Row],[Costo Unitario]])*Cocina[[#This Row],[Cantidad Ordenada]]</f>
        <v>14</v>
      </c>
      <c r="K894" s="4">
        <f>Cocina[[#This Row],[Ganancia neta]]/_xlfn.XLOOKUP(Cocina[[#This Row],[Número de Orden]],Sala[Número de Orden],Sala[Monto total],"fracaso",0,1)</f>
        <v>9.2105263157894732E-2</v>
      </c>
      <c r="L894" t="s">
        <v>607</v>
      </c>
    </row>
    <row r="895" spans="1:12" x14ac:dyDescent="0.25">
      <c r="A895">
        <v>350</v>
      </c>
      <c r="B895">
        <v>2</v>
      </c>
      <c r="C895" t="s">
        <v>116</v>
      </c>
      <c r="D895" t="s">
        <v>620</v>
      </c>
      <c r="E895">
        <v>19</v>
      </c>
      <c r="F895">
        <v>31</v>
      </c>
      <c r="G895">
        <v>2</v>
      </c>
      <c r="H895">
        <v>52</v>
      </c>
      <c r="I895">
        <f>Cocina[[#This Row],[Precio Unitario]]*Cocina[[#This Row],[Cantidad Ordenada]]</f>
        <v>62</v>
      </c>
      <c r="J895">
        <f>(Cocina[[#This Row],[Precio Unitario]]-Cocina[[#This Row],[Costo Unitario]])*Cocina[[#This Row],[Cantidad Ordenada]]</f>
        <v>24</v>
      </c>
      <c r="K895" s="4">
        <f>Cocina[[#This Row],[Ganancia neta]]/_xlfn.XLOOKUP(Cocina[[#This Row],[Número de Orden]],Sala[Número de Orden],Sala[Monto total],"fracaso",0,1)</f>
        <v>0.16783216783216784</v>
      </c>
      <c r="L895" t="s">
        <v>608</v>
      </c>
    </row>
    <row r="896" spans="1:12" x14ac:dyDescent="0.25">
      <c r="A896">
        <v>350</v>
      </c>
      <c r="B896">
        <v>2</v>
      </c>
      <c r="C896" t="s">
        <v>106</v>
      </c>
      <c r="D896" t="s">
        <v>621</v>
      </c>
      <c r="E896">
        <v>16</v>
      </c>
      <c r="F896">
        <v>27</v>
      </c>
      <c r="G896">
        <v>3</v>
      </c>
      <c r="H896">
        <v>57</v>
      </c>
      <c r="I896">
        <f>Cocina[[#This Row],[Precio Unitario]]*Cocina[[#This Row],[Cantidad Ordenada]]</f>
        <v>81</v>
      </c>
      <c r="J896">
        <f>(Cocina[[#This Row],[Precio Unitario]]-Cocina[[#This Row],[Costo Unitario]])*Cocina[[#This Row],[Cantidad Ordenada]]</f>
        <v>33</v>
      </c>
      <c r="K896" s="4">
        <f>Cocina[[#This Row],[Ganancia neta]]/_xlfn.XLOOKUP(Cocina[[#This Row],[Número de Orden]],Sala[Número de Orden],Sala[Monto total],"fracaso",0,1)</f>
        <v>0.23076923076923078</v>
      </c>
      <c r="L896" t="s">
        <v>608</v>
      </c>
    </row>
    <row r="897" spans="1:12" x14ac:dyDescent="0.25">
      <c r="A897">
        <v>351</v>
      </c>
      <c r="B897">
        <v>1</v>
      </c>
      <c r="C897" t="s">
        <v>247</v>
      </c>
      <c r="D897" t="s">
        <v>629</v>
      </c>
      <c r="E897">
        <v>19</v>
      </c>
      <c r="F897">
        <v>32</v>
      </c>
      <c r="G897">
        <v>3</v>
      </c>
      <c r="H897">
        <v>18</v>
      </c>
      <c r="I897">
        <f>Cocina[[#This Row],[Precio Unitario]]*Cocina[[#This Row],[Cantidad Ordenada]]</f>
        <v>96</v>
      </c>
      <c r="J897">
        <f>(Cocina[[#This Row],[Precio Unitario]]-Cocina[[#This Row],[Costo Unitario]])*Cocina[[#This Row],[Cantidad Ordenada]]</f>
        <v>39</v>
      </c>
      <c r="K897" s="4">
        <f>Cocina[[#This Row],[Ganancia neta]]/_xlfn.XLOOKUP(Cocina[[#This Row],[Número de Orden]],Sala[Número de Orden],Sala[Monto total],"fracaso",0,1)</f>
        <v>0.19402985074626866</v>
      </c>
      <c r="L897" t="s">
        <v>608</v>
      </c>
    </row>
    <row r="898" spans="1:12" x14ac:dyDescent="0.25">
      <c r="A898">
        <v>351</v>
      </c>
      <c r="B898">
        <v>1</v>
      </c>
      <c r="C898" t="s">
        <v>26</v>
      </c>
      <c r="D898" t="s">
        <v>628</v>
      </c>
      <c r="E898">
        <v>21</v>
      </c>
      <c r="F898">
        <v>35</v>
      </c>
      <c r="G898">
        <v>3</v>
      </c>
      <c r="H898">
        <v>7</v>
      </c>
      <c r="I898">
        <f>Cocina[[#This Row],[Precio Unitario]]*Cocina[[#This Row],[Cantidad Ordenada]]</f>
        <v>105</v>
      </c>
      <c r="J898">
        <f>(Cocina[[#This Row],[Precio Unitario]]-Cocina[[#This Row],[Costo Unitario]])*Cocina[[#This Row],[Cantidad Ordenada]]</f>
        <v>42</v>
      </c>
      <c r="K898" s="4">
        <f>Cocina[[#This Row],[Ganancia neta]]/_xlfn.XLOOKUP(Cocina[[#This Row],[Número de Orden]],Sala[Número de Orden],Sala[Monto total],"fracaso",0,1)</f>
        <v>0.20895522388059701</v>
      </c>
      <c r="L898" t="s">
        <v>608</v>
      </c>
    </row>
    <row r="899" spans="1:12" x14ac:dyDescent="0.25">
      <c r="A899">
        <v>352</v>
      </c>
      <c r="B899">
        <v>1</v>
      </c>
      <c r="C899" t="s">
        <v>261</v>
      </c>
      <c r="D899" t="s">
        <v>625</v>
      </c>
      <c r="E899">
        <v>20</v>
      </c>
      <c r="F899">
        <v>33</v>
      </c>
      <c r="G899">
        <v>3</v>
      </c>
      <c r="H899">
        <v>7</v>
      </c>
      <c r="I899">
        <f>Cocina[[#This Row],[Precio Unitario]]*Cocina[[#This Row],[Cantidad Ordenada]]</f>
        <v>99</v>
      </c>
      <c r="J899">
        <f>(Cocina[[#This Row],[Precio Unitario]]-Cocina[[#This Row],[Costo Unitario]])*Cocina[[#This Row],[Cantidad Ordenada]]</f>
        <v>39</v>
      </c>
      <c r="K899" s="4">
        <f>Cocina[[#This Row],[Ganancia neta]]/_xlfn.XLOOKUP(Cocina[[#This Row],[Número de Orden]],Sala[Número de Orden],Sala[Monto total],"fracaso",0,1)</f>
        <v>0.39393939393939392</v>
      </c>
      <c r="L899" t="s">
        <v>608</v>
      </c>
    </row>
    <row r="900" spans="1:12" x14ac:dyDescent="0.25">
      <c r="A900">
        <v>353</v>
      </c>
      <c r="B900">
        <v>7</v>
      </c>
      <c r="C900" t="s">
        <v>203</v>
      </c>
      <c r="D900" t="s">
        <v>630</v>
      </c>
      <c r="E900">
        <v>13</v>
      </c>
      <c r="F900">
        <v>22</v>
      </c>
      <c r="G900">
        <v>2</v>
      </c>
      <c r="H900">
        <v>50</v>
      </c>
      <c r="I900">
        <f>Cocina[[#This Row],[Precio Unitario]]*Cocina[[#This Row],[Cantidad Ordenada]]</f>
        <v>44</v>
      </c>
      <c r="J900">
        <f>(Cocina[[#This Row],[Precio Unitario]]-Cocina[[#This Row],[Costo Unitario]])*Cocina[[#This Row],[Cantidad Ordenada]]</f>
        <v>18</v>
      </c>
      <c r="K900" s="4">
        <f>Cocina[[#This Row],[Ganancia neta]]/_xlfn.XLOOKUP(Cocina[[#This Row],[Número de Orden]],Sala[Número de Orden],Sala[Monto total],"fracaso",0,1)</f>
        <v>8.4905660377358486E-2</v>
      </c>
      <c r="L900" t="s">
        <v>608</v>
      </c>
    </row>
    <row r="901" spans="1:12" x14ac:dyDescent="0.25">
      <c r="A901">
        <v>353</v>
      </c>
      <c r="B901">
        <v>7</v>
      </c>
      <c r="C901" t="s">
        <v>68</v>
      </c>
      <c r="D901" t="s">
        <v>619</v>
      </c>
      <c r="E901">
        <v>18</v>
      </c>
      <c r="F901">
        <v>30</v>
      </c>
      <c r="G901">
        <v>1</v>
      </c>
      <c r="H901">
        <v>16</v>
      </c>
      <c r="I901">
        <f>Cocina[[#This Row],[Precio Unitario]]*Cocina[[#This Row],[Cantidad Ordenada]]</f>
        <v>30</v>
      </c>
      <c r="J901">
        <f>(Cocina[[#This Row],[Precio Unitario]]-Cocina[[#This Row],[Costo Unitario]])*Cocina[[#This Row],[Cantidad Ordenada]]</f>
        <v>12</v>
      </c>
      <c r="K901" s="4">
        <f>Cocina[[#This Row],[Ganancia neta]]/_xlfn.XLOOKUP(Cocina[[#This Row],[Número de Orden]],Sala[Número de Orden],Sala[Monto total],"fracaso",0,1)</f>
        <v>5.6603773584905662E-2</v>
      </c>
      <c r="L901" t="s">
        <v>607</v>
      </c>
    </row>
    <row r="902" spans="1:12" x14ac:dyDescent="0.25">
      <c r="A902">
        <v>353</v>
      </c>
      <c r="B902">
        <v>7</v>
      </c>
      <c r="C902" t="s">
        <v>26</v>
      </c>
      <c r="D902" t="s">
        <v>628</v>
      </c>
      <c r="E902">
        <v>21</v>
      </c>
      <c r="F902">
        <v>35</v>
      </c>
      <c r="G902">
        <v>2</v>
      </c>
      <c r="H902">
        <v>37</v>
      </c>
      <c r="I902">
        <f>Cocina[[#This Row],[Precio Unitario]]*Cocina[[#This Row],[Cantidad Ordenada]]</f>
        <v>70</v>
      </c>
      <c r="J902">
        <f>(Cocina[[#This Row],[Precio Unitario]]-Cocina[[#This Row],[Costo Unitario]])*Cocina[[#This Row],[Cantidad Ordenada]]</f>
        <v>28</v>
      </c>
      <c r="K902" s="4">
        <f>Cocina[[#This Row],[Ganancia neta]]/_xlfn.XLOOKUP(Cocina[[#This Row],[Número de Orden]],Sala[Número de Orden],Sala[Monto total],"fracaso",0,1)</f>
        <v>0.13207547169811321</v>
      </c>
      <c r="L902" t="s">
        <v>607</v>
      </c>
    </row>
    <row r="903" spans="1:12" x14ac:dyDescent="0.25">
      <c r="A903">
        <v>353</v>
      </c>
      <c r="B903">
        <v>7</v>
      </c>
      <c r="C903" t="s">
        <v>55</v>
      </c>
      <c r="D903" t="s">
        <v>631</v>
      </c>
      <c r="E903">
        <v>20</v>
      </c>
      <c r="F903">
        <v>34</v>
      </c>
      <c r="G903">
        <v>2</v>
      </c>
      <c r="H903">
        <v>25</v>
      </c>
      <c r="I903">
        <f>Cocina[[#This Row],[Precio Unitario]]*Cocina[[#This Row],[Cantidad Ordenada]]</f>
        <v>68</v>
      </c>
      <c r="J903">
        <f>(Cocina[[#This Row],[Precio Unitario]]-Cocina[[#This Row],[Costo Unitario]])*Cocina[[#This Row],[Cantidad Ordenada]]</f>
        <v>28</v>
      </c>
      <c r="K903" s="4">
        <f>Cocina[[#This Row],[Ganancia neta]]/_xlfn.XLOOKUP(Cocina[[#This Row],[Número de Orden]],Sala[Número de Orden],Sala[Monto total],"fracaso",0,1)</f>
        <v>0.13207547169811321</v>
      </c>
      <c r="L903" t="s">
        <v>608</v>
      </c>
    </row>
    <row r="904" spans="1:12" x14ac:dyDescent="0.25">
      <c r="A904">
        <v>354</v>
      </c>
      <c r="B904">
        <v>12</v>
      </c>
      <c r="C904" t="s">
        <v>112</v>
      </c>
      <c r="D904" t="s">
        <v>627</v>
      </c>
      <c r="E904">
        <v>11</v>
      </c>
      <c r="F904">
        <v>19</v>
      </c>
      <c r="G904">
        <v>3</v>
      </c>
      <c r="H904">
        <v>32</v>
      </c>
      <c r="I904">
        <f>Cocina[[#This Row],[Precio Unitario]]*Cocina[[#This Row],[Cantidad Ordenada]]</f>
        <v>57</v>
      </c>
      <c r="J904">
        <f>(Cocina[[#This Row],[Precio Unitario]]-Cocina[[#This Row],[Costo Unitario]])*Cocina[[#This Row],[Cantidad Ordenada]]</f>
        <v>24</v>
      </c>
      <c r="K904" s="4">
        <f>Cocina[[#This Row],[Ganancia neta]]/_xlfn.XLOOKUP(Cocina[[#This Row],[Número de Orden]],Sala[Número de Orden],Sala[Monto total],"fracaso",0,1)</f>
        <v>0.13259668508287292</v>
      </c>
      <c r="L904" t="s">
        <v>608</v>
      </c>
    </row>
    <row r="905" spans="1:12" x14ac:dyDescent="0.25">
      <c r="A905">
        <v>354</v>
      </c>
      <c r="B905">
        <v>12</v>
      </c>
      <c r="C905" t="s">
        <v>247</v>
      </c>
      <c r="D905" t="s">
        <v>629</v>
      </c>
      <c r="E905">
        <v>19</v>
      </c>
      <c r="F905">
        <v>32</v>
      </c>
      <c r="G905">
        <v>2</v>
      </c>
      <c r="H905">
        <v>49</v>
      </c>
      <c r="I905">
        <f>Cocina[[#This Row],[Precio Unitario]]*Cocina[[#This Row],[Cantidad Ordenada]]</f>
        <v>64</v>
      </c>
      <c r="J905">
        <f>(Cocina[[#This Row],[Precio Unitario]]-Cocina[[#This Row],[Costo Unitario]])*Cocina[[#This Row],[Cantidad Ordenada]]</f>
        <v>26</v>
      </c>
      <c r="K905" s="4">
        <f>Cocina[[#This Row],[Ganancia neta]]/_xlfn.XLOOKUP(Cocina[[#This Row],[Número de Orden]],Sala[Número de Orden],Sala[Monto total],"fracaso",0,1)</f>
        <v>0.143646408839779</v>
      </c>
      <c r="L905" t="s">
        <v>608</v>
      </c>
    </row>
    <row r="906" spans="1:12" x14ac:dyDescent="0.25">
      <c r="A906">
        <v>354</v>
      </c>
      <c r="B906">
        <v>12</v>
      </c>
      <c r="C906" t="s">
        <v>79</v>
      </c>
      <c r="D906" t="s">
        <v>635</v>
      </c>
      <c r="E906">
        <v>10</v>
      </c>
      <c r="F906">
        <v>18</v>
      </c>
      <c r="G906">
        <v>2</v>
      </c>
      <c r="H906">
        <v>7</v>
      </c>
      <c r="I906">
        <f>Cocina[[#This Row],[Precio Unitario]]*Cocina[[#This Row],[Cantidad Ordenada]]</f>
        <v>36</v>
      </c>
      <c r="J906">
        <f>(Cocina[[#This Row],[Precio Unitario]]-Cocina[[#This Row],[Costo Unitario]])*Cocina[[#This Row],[Cantidad Ordenada]]</f>
        <v>16</v>
      </c>
      <c r="K906" s="4">
        <f>Cocina[[#This Row],[Ganancia neta]]/_xlfn.XLOOKUP(Cocina[[#This Row],[Número de Orden]],Sala[Número de Orden],Sala[Monto total],"fracaso",0,1)</f>
        <v>8.8397790055248615E-2</v>
      </c>
      <c r="L906" t="s">
        <v>608</v>
      </c>
    </row>
    <row r="907" spans="1:12" x14ac:dyDescent="0.25">
      <c r="A907">
        <v>354</v>
      </c>
      <c r="B907">
        <v>12</v>
      </c>
      <c r="C907" t="s">
        <v>158</v>
      </c>
      <c r="D907" t="s">
        <v>617</v>
      </c>
      <c r="E907">
        <v>14</v>
      </c>
      <c r="F907">
        <v>24</v>
      </c>
      <c r="G907">
        <v>1</v>
      </c>
      <c r="H907">
        <v>49</v>
      </c>
      <c r="I907">
        <f>Cocina[[#This Row],[Precio Unitario]]*Cocina[[#This Row],[Cantidad Ordenada]]</f>
        <v>24</v>
      </c>
      <c r="J907">
        <f>(Cocina[[#This Row],[Precio Unitario]]-Cocina[[#This Row],[Costo Unitario]])*Cocina[[#This Row],[Cantidad Ordenada]]</f>
        <v>10</v>
      </c>
      <c r="K907" s="4">
        <f>Cocina[[#This Row],[Ganancia neta]]/_xlfn.XLOOKUP(Cocina[[#This Row],[Número de Orden]],Sala[Número de Orden],Sala[Monto total],"fracaso",0,1)</f>
        <v>5.5248618784530384E-2</v>
      </c>
      <c r="L907" t="s">
        <v>608</v>
      </c>
    </row>
    <row r="908" spans="1:12" x14ac:dyDescent="0.25">
      <c r="A908">
        <v>355</v>
      </c>
      <c r="B908">
        <v>4</v>
      </c>
      <c r="C908" t="s">
        <v>155</v>
      </c>
      <c r="D908" t="s">
        <v>636</v>
      </c>
      <c r="E908">
        <v>15</v>
      </c>
      <c r="F908">
        <v>26</v>
      </c>
      <c r="G908">
        <v>1</v>
      </c>
      <c r="H908">
        <v>7</v>
      </c>
      <c r="I908">
        <f>Cocina[[#This Row],[Precio Unitario]]*Cocina[[#This Row],[Cantidad Ordenada]]</f>
        <v>26</v>
      </c>
      <c r="J908">
        <f>(Cocina[[#This Row],[Precio Unitario]]-Cocina[[#This Row],[Costo Unitario]])*Cocina[[#This Row],[Cantidad Ordenada]]</f>
        <v>11</v>
      </c>
      <c r="K908" s="4">
        <f>Cocina[[#This Row],[Ganancia neta]]/_xlfn.XLOOKUP(Cocina[[#This Row],[Número de Orden]],Sala[Número de Orden],Sala[Monto total],"fracaso",0,1)</f>
        <v>0.42307692307692307</v>
      </c>
      <c r="L908" t="s">
        <v>608</v>
      </c>
    </row>
    <row r="909" spans="1:12" x14ac:dyDescent="0.25">
      <c r="A909">
        <v>356</v>
      </c>
      <c r="B909">
        <v>1</v>
      </c>
      <c r="C909" t="s">
        <v>79</v>
      </c>
      <c r="D909" t="s">
        <v>635</v>
      </c>
      <c r="E909">
        <v>10</v>
      </c>
      <c r="F909">
        <v>18</v>
      </c>
      <c r="G909">
        <v>2</v>
      </c>
      <c r="H909">
        <v>7</v>
      </c>
      <c r="I909">
        <f>Cocina[[#This Row],[Precio Unitario]]*Cocina[[#This Row],[Cantidad Ordenada]]</f>
        <v>36</v>
      </c>
      <c r="J909">
        <f>(Cocina[[#This Row],[Precio Unitario]]-Cocina[[#This Row],[Costo Unitario]])*Cocina[[#This Row],[Cantidad Ordenada]]</f>
        <v>16</v>
      </c>
      <c r="K909" s="4">
        <f>Cocina[[#This Row],[Ganancia neta]]/_xlfn.XLOOKUP(Cocina[[#This Row],[Número de Orden]],Sala[Número de Orden],Sala[Monto total],"fracaso",0,1)</f>
        <v>0.44444444444444442</v>
      </c>
      <c r="L909" t="s">
        <v>607</v>
      </c>
    </row>
    <row r="910" spans="1:12" x14ac:dyDescent="0.25">
      <c r="A910">
        <v>357</v>
      </c>
      <c r="B910">
        <v>17</v>
      </c>
      <c r="C910" t="s">
        <v>122</v>
      </c>
      <c r="D910" t="s">
        <v>637</v>
      </c>
      <c r="E910">
        <v>15</v>
      </c>
      <c r="F910">
        <v>25</v>
      </c>
      <c r="G910">
        <v>1</v>
      </c>
      <c r="H910">
        <v>12</v>
      </c>
      <c r="I910">
        <f>Cocina[[#This Row],[Precio Unitario]]*Cocina[[#This Row],[Cantidad Ordenada]]</f>
        <v>25</v>
      </c>
      <c r="J910">
        <f>(Cocina[[#This Row],[Precio Unitario]]-Cocina[[#This Row],[Costo Unitario]])*Cocina[[#This Row],[Cantidad Ordenada]]</f>
        <v>10</v>
      </c>
      <c r="K910" s="4">
        <f>Cocina[[#This Row],[Ganancia neta]]/_xlfn.XLOOKUP(Cocina[[#This Row],[Número de Orden]],Sala[Número de Orden],Sala[Monto total],"fracaso",0,1)</f>
        <v>5.9523809523809521E-2</v>
      </c>
      <c r="L910" t="s">
        <v>607</v>
      </c>
    </row>
    <row r="911" spans="1:12" x14ac:dyDescent="0.25">
      <c r="A911">
        <v>357</v>
      </c>
      <c r="B911">
        <v>17</v>
      </c>
      <c r="C911" t="s">
        <v>146</v>
      </c>
      <c r="D911" t="s">
        <v>632</v>
      </c>
      <c r="E911">
        <v>12</v>
      </c>
      <c r="F911">
        <v>20</v>
      </c>
      <c r="G911">
        <v>2</v>
      </c>
      <c r="H911">
        <v>5</v>
      </c>
      <c r="I911">
        <f>Cocina[[#This Row],[Precio Unitario]]*Cocina[[#This Row],[Cantidad Ordenada]]</f>
        <v>40</v>
      </c>
      <c r="J911">
        <f>(Cocina[[#This Row],[Precio Unitario]]-Cocina[[#This Row],[Costo Unitario]])*Cocina[[#This Row],[Cantidad Ordenada]]</f>
        <v>16</v>
      </c>
      <c r="K911" s="4">
        <f>Cocina[[#This Row],[Ganancia neta]]/_xlfn.XLOOKUP(Cocina[[#This Row],[Número de Orden]],Sala[Número de Orden],Sala[Monto total],"fracaso",0,1)</f>
        <v>9.5238095238095233E-2</v>
      </c>
      <c r="L911" t="s">
        <v>608</v>
      </c>
    </row>
    <row r="912" spans="1:12" x14ac:dyDescent="0.25">
      <c r="A912">
        <v>357</v>
      </c>
      <c r="B912">
        <v>17</v>
      </c>
      <c r="C912" t="s">
        <v>106</v>
      </c>
      <c r="D912" t="s">
        <v>621</v>
      </c>
      <c r="E912">
        <v>16</v>
      </c>
      <c r="F912">
        <v>27</v>
      </c>
      <c r="G912">
        <v>3</v>
      </c>
      <c r="H912">
        <v>31</v>
      </c>
      <c r="I912">
        <f>Cocina[[#This Row],[Precio Unitario]]*Cocina[[#This Row],[Cantidad Ordenada]]</f>
        <v>81</v>
      </c>
      <c r="J912">
        <f>(Cocina[[#This Row],[Precio Unitario]]-Cocina[[#This Row],[Costo Unitario]])*Cocina[[#This Row],[Cantidad Ordenada]]</f>
        <v>33</v>
      </c>
      <c r="K912" s="4">
        <f>Cocina[[#This Row],[Ganancia neta]]/_xlfn.XLOOKUP(Cocina[[#This Row],[Número de Orden]],Sala[Número de Orden],Sala[Monto total],"fracaso",0,1)</f>
        <v>0.19642857142857142</v>
      </c>
      <c r="L912" t="s">
        <v>608</v>
      </c>
    </row>
    <row r="913" spans="1:12" x14ac:dyDescent="0.25">
      <c r="A913">
        <v>357</v>
      </c>
      <c r="B913">
        <v>17</v>
      </c>
      <c r="C913" t="s">
        <v>203</v>
      </c>
      <c r="D913" t="s">
        <v>630</v>
      </c>
      <c r="E913">
        <v>13</v>
      </c>
      <c r="F913">
        <v>22</v>
      </c>
      <c r="G913">
        <v>1</v>
      </c>
      <c r="H913">
        <v>48</v>
      </c>
      <c r="I913">
        <f>Cocina[[#This Row],[Precio Unitario]]*Cocina[[#This Row],[Cantidad Ordenada]]</f>
        <v>22</v>
      </c>
      <c r="J913">
        <f>(Cocina[[#This Row],[Precio Unitario]]-Cocina[[#This Row],[Costo Unitario]])*Cocina[[#This Row],[Cantidad Ordenada]]</f>
        <v>9</v>
      </c>
      <c r="K913" s="4">
        <f>Cocina[[#This Row],[Ganancia neta]]/_xlfn.XLOOKUP(Cocina[[#This Row],[Número de Orden]],Sala[Número de Orden],Sala[Monto total],"fracaso",0,1)</f>
        <v>5.3571428571428568E-2</v>
      </c>
      <c r="L913" t="s">
        <v>607</v>
      </c>
    </row>
    <row r="914" spans="1:12" x14ac:dyDescent="0.25">
      <c r="A914">
        <v>358</v>
      </c>
      <c r="B914">
        <v>13</v>
      </c>
      <c r="C914" t="s">
        <v>155</v>
      </c>
      <c r="D914" t="s">
        <v>636</v>
      </c>
      <c r="E914">
        <v>15</v>
      </c>
      <c r="F914">
        <v>26</v>
      </c>
      <c r="G914">
        <v>2</v>
      </c>
      <c r="H914">
        <v>50</v>
      </c>
      <c r="I914">
        <f>Cocina[[#This Row],[Precio Unitario]]*Cocina[[#This Row],[Cantidad Ordenada]]</f>
        <v>52</v>
      </c>
      <c r="J914">
        <f>(Cocina[[#This Row],[Precio Unitario]]-Cocina[[#This Row],[Costo Unitario]])*Cocina[[#This Row],[Cantidad Ordenada]]</f>
        <v>22</v>
      </c>
      <c r="K914" s="4">
        <f>Cocina[[#This Row],[Ganancia neta]]/_xlfn.XLOOKUP(Cocina[[#This Row],[Número de Orden]],Sala[Número de Orden],Sala[Monto total],"fracaso",0,1)</f>
        <v>0.13253012048192772</v>
      </c>
      <c r="L914" t="s">
        <v>607</v>
      </c>
    </row>
    <row r="915" spans="1:12" x14ac:dyDescent="0.25">
      <c r="A915">
        <v>358</v>
      </c>
      <c r="B915">
        <v>13</v>
      </c>
      <c r="C915" t="s">
        <v>79</v>
      </c>
      <c r="D915" t="s">
        <v>635</v>
      </c>
      <c r="E915">
        <v>10</v>
      </c>
      <c r="F915">
        <v>18</v>
      </c>
      <c r="G915">
        <v>3</v>
      </c>
      <c r="H915">
        <v>50</v>
      </c>
      <c r="I915">
        <f>Cocina[[#This Row],[Precio Unitario]]*Cocina[[#This Row],[Cantidad Ordenada]]</f>
        <v>54</v>
      </c>
      <c r="J915">
        <f>(Cocina[[#This Row],[Precio Unitario]]-Cocina[[#This Row],[Costo Unitario]])*Cocina[[#This Row],[Cantidad Ordenada]]</f>
        <v>24</v>
      </c>
      <c r="K915" s="4">
        <f>Cocina[[#This Row],[Ganancia neta]]/_xlfn.XLOOKUP(Cocina[[#This Row],[Número de Orden]],Sala[Número de Orden],Sala[Monto total],"fracaso",0,1)</f>
        <v>0.14457831325301204</v>
      </c>
      <c r="L915" t="s">
        <v>608</v>
      </c>
    </row>
    <row r="916" spans="1:12" x14ac:dyDescent="0.25">
      <c r="A916">
        <v>358</v>
      </c>
      <c r="B916">
        <v>13</v>
      </c>
      <c r="C916" t="s">
        <v>146</v>
      </c>
      <c r="D916" t="s">
        <v>632</v>
      </c>
      <c r="E916">
        <v>12</v>
      </c>
      <c r="F916">
        <v>20</v>
      </c>
      <c r="G916">
        <v>3</v>
      </c>
      <c r="H916">
        <v>52</v>
      </c>
      <c r="I916">
        <f>Cocina[[#This Row],[Precio Unitario]]*Cocina[[#This Row],[Cantidad Ordenada]]</f>
        <v>60</v>
      </c>
      <c r="J916">
        <f>(Cocina[[#This Row],[Precio Unitario]]-Cocina[[#This Row],[Costo Unitario]])*Cocina[[#This Row],[Cantidad Ordenada]]</f>
        <v>24</v>
      </c>
      <c r="K916" s="4">
        <f>Cocina[[#This Row],[Ganancia neta]]/_xlfn.XLOOKUP(Cocina[[#This Row],[Número de Orden]],Sala[Número de Orden],Sala[Monto total],"fracaso",0,1)</f>
        <v>0.14457831325301204</v>
      </c>
      <c r="L916" t="s">
        <v>607</v>
      </c>
    </row>
    <row r="917" spans="1:12" x14ac:dyDescent="0.25">
      <c r="A917">
        <v>359</v>
      </c>
      <c r="B917">
        <v>11</v>
      </c>
      <c r="C917" t="s">
        <v>203</v>
      </c>
      <c r="D917" t="s">
        <v>630</v>
      </c>
      <c r="E917">
        <v>13</v>
      </c>
      <c r="F917">
        <v>22</v>
      </c>
      <c r="G917">
        <v>1</v>
      </c>
      <c r="H917">
        <v>26</v>
      </c>
      <c r="I917">
        <f>Cocina[[#This Row],[Precio Unitario]]*Cocina[[#This Row],[Cantidad Ordenada]]</f>
        <v>22</v>
      </c>
      <c r="J917">
        <f>(Cocina[[#This Row],[Precio Unitario]]-Cocina[[#This Row],[Costo Unitario]])*Cocina[[#This Row],[Cantidad Ordenada]]</f>
        <v>9</v>
      </c>
      <c r="K917" s="4">
        <f>Cocina[[#This Row],[Ganancia neta]]/_xlfn.XLOOKUP(Cocina[[#This Row],[Número de Orden]],Sala[Número de Orden],Sala[Monto total],"fracaso",0,1)</f>
        <v>4.736842105263158E-2</v>
      </c>
      <c r="L917" t="s">
        <v>608</v>
      </c>
    </row>
    <row r="918" spans="1:12" x14ac:dyDescent="0.25">
      <c r="A918">
        <v>359</v>
      </c>
      <c r="B918">
        <v>11</v>
      </c>
      <c r="C918" t="s">
        <v>42</v>
      </c>
      <c r="D918" t="s">
        <v>626</v>
      </c>
      <c r="E918">
        <v>16</v>
      </c>
      <c r="F918">
        <v>28</v>
      </c>
      <c r="G918">
        <v>3</v>
      </c>
      <c r="H918">
        <v>57</v>
      </c>
      <c r="I918">
        <f>Cocina[[#This Row],[Precio Unitario]]*Cocina[[#This Row],[Cantidad Ordenada]]</f>
        <v>84</v>
      </c>
      <c r="J918">
        <f>(Cocina[[#This Row],[Precio Unitario]]-Cocina[[#This Row],[Costo Unitario]])*Cocina[[#This Row],[Cantidad Ordenada]]</f>
        <v>36</v>
      </c>
      <c r="K918" s="4">
        <f>Cocina[[#This Row],[Ganancia neta]]/_xlfn.XLOOKUP(Cocina[[#This Row],[Número de Orden]],Sala[Número de Orden],Sala[Monto total],"fracaso",0,1)</f>
        <v>0.18947368421052632</v>
      </c>
      <c r="L918" t="s">
        <v>608</v>
      </c>
    </row>
    <row r="919" spans="1:12" x14ac:dyDescent="0.25">
      <c r="A919">
        <v>359</v>
      </c>
      <c r="B919">
        <v>11</v>
      </c>
      <c r="C919" t="s">
        <v>38</v>
      </c>
      <c r="D919" t="s">
        <v>624</v>
      </c>
      <c r="E919">
        <v>17</v>
      </c>
      <c r="F919">
        <v>29</v>
      </c>
      <c r="G919">
        <v>2</v>
      </c>
      <c r="H919">
        <v>12</v>
      </c>
      <c r="I919">
        <f>Cocina[[#This Row],[Precio Unitario]]*Cocina[[#This Row],[Cantidad Ordenada]]</f>
        <v>58</v>
      </c>
      <c r="J919">
        <f>(Cocina[[#This Row],[Precio Unitario]]-Cocina[[#This Row],[Costo Unitario]])*Cocina[[#This Row],[Cantidad Ordenada]]</f>
        <v>24</v>
      </c>
      <c r="K919" s="4">
        <f>Cocina[[#This Row],[Ganancia neta]]/_xlfn.XLOOKUP(Cocina[[#This Row],[Número de Orden]],Sala[Número de Orden],Sala[Monto total],"fracaso",0,1)</f>
        <v>0.12631578947368421</v>
      </c>
      <c r="L919" t="s">
        <v>608</v>
      </c>
    </row>
    <row r="920" spans="1:12" x14ac:dyDescent="0.25">
      <c r="A920">
        <v>359</v>
      </c>
      <c r="B920">
        <v>11</v>
      </c>
      <c r="C920" t="s">
        <v>155</v>
      </c>
      <c r="D920" t="s">
        <v>636</v>
      </c>
      <c r="E920">
        <v>15</v>
      </c>
      <c r="F920">
        <v>26</v>
      </c>
      <c r="G920">
        <v>1</v>
      </c>
      <c r="H920">
        <v>50</v>
      </c>
      <c r="I920">
        <f>Cocina[[#This Row],[Precio Unitario]]*Cocina[[#This Row],[Cantidad Ordenada]]</f>
        <v>26</v>
      </c>
      <c r="J920">
        <f>(Cocina[[#This Row],[Precio Unitario]]-Cocina[[#This Row],[Costo Unitario]])*Cocina[[#This Row],[Cantidad Ordenada]]</f>
        <v>11</v>
      </c>
      <c r="K920" s="4">
        <f>Cocina[[#This Row],[Ganancia neta]]/_xlfn.XLOOKUP(Cocina[[#This Row],[Número de Orden]],Sala[Número de Orden],Sala[Monto total],"fracaso",0,1)</f>
        <v>5.7894736842105263E-2</v>
      </c>
      <c r="L920" t="s">
        <v>608</v>
      </c>
    </row>
    <row r="921" spans="1:12" x14ac:dyDescent="0.25">
      <c r="A921">
        <v>360</v>
      </c>
      <c r="B921">
        <v>16</v>
      </c>
      <c r="C921" t="s">
        <v>70</v>
      </c>
      <c r="D921" t="s">
        <v>634</v>
      </c>
      <c r="E921">
        <v>13</v>
      </c>
      <c r="F921">
        <v>21</v>
      </c>
      <c r="G921">
        <v>1</v>
      </c>
      <c r="H921">
        <v>42</v>
      </c>
      <c r="I921">
        <f>Cocina[[#This Row],[Precio Unitario]]*Cocina[[#This Row],[Cantidad Ordenada]]</f>
        <v>21</v>
      </c>
      <c r="J921">
        <f>(Cocina[[#This Row],[Precio Unitario]]-Cocina[[#This Row],[Costo Unitario]])*Cocina[[#This Row],[Cantidad Ordenada]]</f>
        <v>8</v>
      </c>
      <c r="K921" s="4">
        <f>Cocina[[#This Row],[Ganancia neta]]/_xlfn.XLOOKUP(Cocina[[#This Row],[Número de Orden]],Sala[Número de Orden],Sala[Monto total],"fracaso",0,1)</f>
        <v>3.4334763948497854E-2</v>
      </c>
      <c r="L921" t="s">
        <v>607</v>
      </c>
    </row>
    <row r="922" spans="1:12" x14ac:dyDescent="0.25">
      <c r="A922">
        <v>360</v>
      </c>
      <c r="B922">
        <v>16</v>
      </c>
      <c r="C922" t="s">
        <v>68</v>
      </c>
      <c r="D922" t="s">
        <v>619</v>
      </c>
      <c r="E922">
        <v>18</v>
      </c>
      <c r="F922">
        <v>30</v>
      </c>
      <c r="G922">
        <v>3</v>
      </c>
      <c r="H922">
        <v>36</v>
      </c>
      <c r="I922">
        <f>Cocina[[#This Row],[Precio Unitario]]*Cocina[[#This Row],[Cantidad Ordenada]]</f>
        <v>90</v>
      </c>
      <c r="J922">
        <f>(Cocina[[#This Row],[Precio Unitario]]-Cocina[[#This Row],[Costo Unitario]])*Cocina[[#This Row],[Cantidad Ordenada]]</f>
        <v>36</v>
      </c>
      <c r="K922" s="4">
        <f>Cocina[[#This Row],[Ganancia neta]]/_xlfn.XLOOKUP(Cocina[[#This Row],[Número de Orden]],Sala[Número de Orden],Sala[Monto total],"fracaso",0,1)</f>
        <v>0.15450643776824036</v>
      </c>
      <c r="L922" t="s">
        <v>608</v>
      </c>
    </row>
    <row r="923" spans="1:12" x14ac:dyDescent="0.25">
      <c r="A923">
        <v>360</v>
      </c>
      <c r="B923">
        <v>16</v>
      </c>
      <c r="C923" t="s">
        <v>155</v>
      </c>
      <c r="D923" t="s">
        <v>636</v>
      </c>
      <c r="E923">
        <v>15</v>
      </c>
      <c r="F923">
        <v>26</v>
      </c>
      <c r="G923">
        <v>1</v>
      </c>
      <c r="H923">
        <v>51</v>
      </c>
      <c r="I923">
        <f>Cocina[[#This Row],[Precio Unitario]]*Cocina[[#This Row],[Cantidad Ordenada]]</f>
        <v>26</v>
      </c>
      <c r="J923">
        <f>(Cocina[[#This Row],[Precio Unitario]]-Cocina[[#This Row],[Costo Unitario]])*Cocina[[#This Row],[Cantidad Ordenada]]</f>
        <v>11</v>
      </c>
      <c r="K923" s="4">
        <f>Cocina[[#This Row],[Ganancia neta]]/_xlfn.XLOOKUP(Cocina[[#This Row],[Número de Orden]],Sala[Número de Orden],Sala[Monto total],"fracaso",0,1)</f>
        <v>4.7210300429184553E-2</v>
      </c>
      <c r="L923" t="s">
        <v>608</v>
      </c>
    </row>
    <row r="924" spans="1:12" x14ac:dyDescent="0.25">
      <c r="A924">
        <v>360</v>
      </c>
      <c r="B924">
        <v>16</v>
      </c>
      <c r="C924" t="s">
        <v>247</v>
      </c>
      <c r="D924" t="s">
        <v>629</v>
      </c>
      <c r="E924">
        <v>19</v>
      </c>
      <c r="F924">
        <v>32</v>
      </c>
      <c r="G924">
        <v>3</v>
      </c>
      <c r="H924">
        <v>30</v>
      </c>
      <c r="I924">
        <f>Cocina[[#This Row],[Precio Unitario]]*Cocina[[#This Row],[Cantidad Ordenada]]</f>
        <v>96</v>
      </c>
      <c r="J924">
        <f>(Cocina[[#This Row],[Precio Unitario]]-Cocina[[#This Row],[Costo Unitario]])*Cocina[[#This Row],[Cantidad Ordenada]]</f>
        <v>39</v>
      </c>
      <c r="K924" s="4">
        <f>Cocina[[#This Row],[Ganancia neta]]/_xlfn.XLOOKUP(Cocina[[#This Row],[Número de Orden]],Sala[Número de Orden],Sala[Monto total],"fracaso",0,1)</f>
        <v>0.16738197424892703</v>
      </c>
      <c r="L924" t="s">
        <v>608</v>
      </c>
    </row>
    <row r="925" spans="1:12" x14ac:dyDescent="0.25">
      <c r="A925">
        <v>361</v>
      </c>
      <c r="B925">
        <v>16</v>
      </c>
      <c r="C925" t="s">
        <v>38</v>
      </c>
      <c r="D925" t="s">
        <v>624</v>
      </c>
      <c r="E925">
        <v>17</v>
      </c>
      <c r="F925">
        <v>29</v>
      </c>
      <c r="G925">
        <v>1</v>
      </c>
      <c r="H925">
        <v>58</v>
      </c>
      <c r="I925">
        <f>Cocina[[#This Row],[Precio Unitario]]*Cocina[[#This Row],[Cantidad Ordenada]]</f>
        <v>29</v>
      </c>
      <c r="J925">
        <f>(Cocina[[#This Row],[Precio Unitario]]-Cocina[[#This Row],[Costo Unitario]])*Cocina[[#This Row],[Cantidad Ordenada]]</f>
        <v>12</v>
      </c>
      <c r="K925" s="4">
        <f>Cocina[[#This Row],[Ganancia neta]]/_xlfn.XLOOKUP(Cocina[[#This Row],[Número de Orden]],Sala[Número de Orden],Sala[Monto total],"fracaso",0,1)</f>
        <v>0.11881188118811881</v>
      </c>
      <c r="L925" t="s">
        <v>607</v>
      </c>
    </row>
    <row r="926" spans="1:12" x14ac:dyDescent="0.25">
      <c r="A926">
        <v>361</v>
      </c>
      <c r="B926">
        <v>16</v>
      </c>
      <c r="C926" t="s">
        <v>158</v>
      </c>
      <c r="D926" t="s">
        <v>617</v>
      </c>
      <c r="E926">
        <v>14</v>
      </c>
      <c r="F926">
        <v>24</v>
      </c>
      <c r="G926">
        <v>3</v>
      </c>
      <c r="H926">
        <v>54</v>
      </c>
      <c r="I926">
        <f>Cocina[[#This Row],[Precio Unitario]]*Cocina[[#This Row],[Cantidad Ordenada]]</f>
        <v>72</v>
      </c>
      <c r="J926">
        <f>(Cocina[[#This Row],[Precio Unitario]]-Cocina[[#This Row],[Costo Unitario]])*Cocina[[#This Row],[Cantidad Ordenada]]</f>
        <v>30</v>
      </c>
      <c r="K926" s="4">
        <f>Cocina[[#This Row],[Ganancia neta]]/_xlfn.XLOOKUP(Cocina[[#This Row],[Número de Orden]],Sala[Número de Orden],Sala[Monto total],"fracaso",0,1)</f>
        <v>0.29702970297029702</v>
      </c>
      <c r="L926" t="s">
        <v>608</v>
      </c>
    </row>
    <row r="927" spans="1:12" x14ac:dyDescent="0.25">
      <c r="A927">
        <v>362</v>
      </c>
      <c r="B927">
        <v>15</v>
      </c>
      <c r="C927" t="s">
        <v>146</v>
      </c>
      <c r="D927" t="s">
        <v>632</v>
      </c>
      <c r="E927">
        <v>12</v>
      </c>
      <c r="F927">
        <v>20</v>
      </c>
      <c r="G927">
        <v>1</v>
      </c>
      <c r="H927">
        <v>41</v>
      </c>
      <c r="I927">
        <f>Cocina[[#This Row],[Precio Unitario]]*Cocina[[#This Row],[Cantidad Ordenada]]</f>
        <v>20</v>
      </c>
      <c r="J927">
        <f>(Cocina[[#This Row],[Precio Unitario]]-Cocina[[#This Row],[Costo Unitario]])*Cocina[[#This Row],[Cantidad Ordenada]]</f>
        <v>8</v>
      </c>
      <c r="K927" s="4">
        <f>Cocina[[#This Row],[Ganancia neta]]/_xlfn.XLOOKUP(Cocina[[#This Row],[Número de Orden]],Sala[Número de Orden],Sala[Monto total],"fracaso",0,1)</f>
        <v>0.12903225806451613</v>
      </c>
      <c r="L927" t="s">
        <v>607</v>
      </c>
    </row>
    <row r="928" spans="1:12" x14ac:dyDescent="0.25">
      <c r="A928">
        <v>362</v>
      </c>
      <c r="B928">
        <v>15</v>
      </c>
      <c r="C928" t="s">
        <v>158</v>
      </c>
      <c r="D928" t="s">
        <v>617</v>
      </c>
      <c r="E928">
        <v>14</v>
      </c>
      <c r="F928">
        <v>24</v>
      </c>
      <c r="G928">
        <v>1</v>
      </c>
      <c r="H928">
        <v>58</v>
      </c>
      <c r="I928">
        <f>Cocina[[#This Row],[Precio Unitario]]*Cocina[[#This Row],[Cantidad Ordenada]]</f>
        <v>24</v>
      </c>
      <c r="J928">
        <f>(Cocina[[#This Row],[Precio Unitario]]-Cocina[[#This Row],[Costo Unitario]])*Cocina[[#This Row],[Cantidad Ordenada]]</f>
        <v>10</v>
      </c>
      <c r="K928" s="4">
        <f>Cocina[[#This Row],[Ganancia neta]]/_xlfn.XLOOKUP(Cocina[[#This Row],[Número de Orden]],Sala[Número de Orden],Sala[Monto total],"fracaso",0,1)</f>
        <v>0.16129032258064516</v>
      </c>
      <c r="L928" t="s">
        <v>607</v>
      </c>
    </row>
    <row r="929" spans="1:12" x14ac:dyDescent="0.25">
      <c r="A929">
        <v>362</v>
      </c>
      <c r="B929">
        <v>15</v>
      </c>
      <c r="C929" t="s">
        <v>79</v>
      </c>
      <c r="D929" t="s">
        <v>635</v>
      </c>
      <c r="E929">
        <v>10</v>
      </c>
      <c r="F929">
        <v>18</v>
      </c>
      <c r="G929">
        <v>1</v>
      </c>
      <c r="H929">
        <v>24</v>
      </c>
      <c r="I929">
        <f>Cocina[[#This Row],[Precio Unitario]]*Cocina[[#This Row],[Cantidad Ordenada]]</f>
        <v>18</v>
      </c>
      <c r="J929">
        <f>(Cocina[[#This Row],[Precio Unitario]]-Cocina[[#This Row],[Costo Unitario]])*Cocina[[#This Row],[Cantidad Ordenada]]</f>
        <v>8</v>
      </c>
      <c r="K929" s="4">
        <f>Cocina[[#This Row],[Ganancia neta]]/_xlfn.XLOOKUP(Cocina[[#This Row],[Número de Orden]],Sala[Número de Orden],Sala[Monto total],"fracaso",0,1)</f>
        <v>0.12903225806451613</v>
      </c>
      <c r="L929" t="s">
        <v>607</v>
      </c>
    </row>
    <row r="930" spans="1:12" x14ac:dyDescent="0.25">
      <c r="A930">
        <v>363</v>
      </c>
      <c r="B930">
        <v>5</v>
      </c>
      <c r="C930" t="s">
        <v>68</v>
      </c>
      <c r="D930" t="s">
        <v>619</v>
      </c>
      <c r="E930">
        <v>18</v>
      </c>
      <c r="F930">
        <v>30</v>
      </c>
      <c r="G930">
        <v>1</v>
      </c>
      <c r="H930">
        <v>48</v>
      </c>
      <c r="I930">
        <f>Cocina[[#This Row],[Precio Unitario]]*Cocina[[#This Row],[Cantidad Ordenada]]</f>
        <v>30</v>
      </c>
      <c r="J930">
        <f>(Cocina[[#This Row],[Precio Unitario]]-Cocina[[#This Row],[Costo Unitario]])*Cocina[[#This Row],[Cantidad Ordenada]]</f>
        <v>12</v>
      </c>
      <c r="K930" s="4">
        <f>Cocina[[#This Row],[Ganancia neta]]/_xlfn.XLOOKUP(Cocina[[#This Row],[Número de Orden]],Sala[Número de Orden],Sala[Monto total],"fracaso",0,1)</f>
        <v>0.05</v>
      </c>
      <c r="L930" t="s">
        <v>607</v>
      </c>
    </row>
    <row r="931" spans="1:12" x14ac:dyDescent="0.25">
      <c r="A931">
        <v>363</v>
      </c>
      <c r="B931">
        <v>5</v>
      </c>
      <c r="C931" t="s">
        <v>158</v>
      </c>
      <c r="D931" t="s">
        <v>617</v>
      </c>
      <c r="E931">
        <v>14</v>
      </c>
      <c r="F931">
        <v>24</v>
      </c>
      <c r="G931">
        <v>3</v>
      </c>
      <c r="H931">
        <v>41</v>
      </c>
      <c r="I931">
        <f>Cocina[[#This Row],[Precio Unitario]]*Cocina[[#This Row],[Cantidad Ordenada]]</f>
        <v>72</v>
      </c>
      <c r="J931">
        <f>(Cocina[[#This Row],[Precio Unitario]]-Cocina[[#This Row],[Costo Unitario]])*Cocina[[#This Row],[Cantidad Ordenada]]</f>
        <v>30</v>
      </c>
      <c r="K931" s="4">
        <f>Cocina[[#This Row],[Ganancia neta]]/_xlfn.XLOOKUP(Cocina[[#This Row],[Número de Orden]],Sala[Número de Orden],Sala[Monto total],"fracaso",0,1)</f>
        <v>0.125</v>
      </c>
      <c r="L931" t="s">
        <v>608</v>
      </c>
    </row>
    <row r="932" spans="1:12" x14ac:dyDescent="0.25">
      <c r="A932">
        <v>363</v>
      </c>
      <c r="B932">
        <v>5</v>
      </c>
      <c r="C932" t="s">
        <v>73</v>
      </c>
      <c r="D932" t="s">
        <v>623</v>
      </c>
      <c r="E932">
        <v>22</v>
      </c>
      <c r="F932">
        <v>36</v>
      </c>
      <c r="G932">
        <v>2</v>
      </c>
      <c r="H932">
        <v>42</v>
      </c>
      <c r="I932">
        <f>Cocina[[#This Row],[Precio Unitario]]*Cocina[[#This Row],[Cantidad Ordenada]]</f>
        <v>72</v>
      </c>
      <c r="J932">
        <f>(Cocina[[#This Row],[Precio Unitario]]-Cocina[[#This Row],[Costo Unitario]])*Cocina[[#This Row],[Cantidad Ordenada]]</f>
        <v>28</v>
      </c>
      <c r="K932" s="4">
        <f>Cocina[[#This Row],[Ganancia neta]]/_xlfn.XLOOKUP(Cocina[[#This Row],[Número de Orden]],Sala[Número de Orden],Sala[Monto total],"fracaso",0,1)</f>
        <v>0.11666666666666667</v>
      </c>
      <c r="L932" t="s">
        <v>607</v>
      </c>
    </row>
    <row r="933" spans="1:12" x14ac:dyDescent="0.25">
      <c r="A933">
        <v>363</v>
      </c>
      <c r="B933">
        <v>5</v>
      </c>
      <c r="C933" t="s">
        <v>261</v>
      </c>
      <c r="D933" t="s">
        <v>625</v>
      </c>
      <c r="E933">
        <v>20</v>
      </c>
      <c r="F933">
        <v>33</v>
      </c>
      <c r="G933">
        <v>2</v>
      </c>
      <c r="H933">
        <v>18</v>
      </c>
      <c r="I933">
        <f>Cocina[[#This Row],[Precio Unitario]]*Cocina[[#This Row],[Cantidad Ordenada]]</f>
        <v>66</v>
      </c>
      <c r="J933">
        <f>(Cocina[[#This Row],[Precio Unitario]]-Cocina[[#This Row],[Costo Unitario]])*Cocina[[#This Row],[Cantidad Ordenada]]</f>
        <v>26</v>
      </c>
      <c r="K933" s="4">
        <f>Cocina[[#This Row],[Ganancia neta]]/_xlfn.XLOOKUP(Cocina[[#This Row],[Número de Orden]],Sala[Número de Orden],Sala[Monto total],"fracaso",0,1)</f>
        <v>0.10833333333333334</v>
      </c>
      <c r="L933" t="s">
        <v>607</v>
      </c>
    </row>
    <row r="934" spans="1:12" x14ac:dyDescent="0.25">
      <c r="A934">
        <v>364</v>
      </c>
      <c r="B934">
        <v>15</v>
      </c>
      <c r="C934" t="s">
        <v>42</v>
      </c>
      <c r="D934" t="s">
        <v>626</v>
      </c>
      <c r="E934">
        <v>16</v>
      </c>
      <c r="F934">
        <v>28</v>
      </c>
      <c r="G934">
        <v>2</v>
      </c>
      <c r="H934">
        <v>52</v>
      </c>
      <c r="I934">
        <f>Cocina[[#This Row],[Precio Unitario]]*Cocina[[#This Row],[Cantidad Ordenada]]</f>
        <v>56</v>
      </c>
      <c r="J934">
        <f>(Cocina[[#This Row],[Precio Unitario]]-Cocina[[#This Row],[Costo Unitario]])*Cocina[[#This Row],[Cantidad Ordenada]]</f>
        <v>24</v>
      </c>
      <c r="K934" s="4">
        <f>Cocina[[#This Row],[Ganancia neta]]/_xlfn.XLOOKUP(Cocina[[#This Row],[Número de Orden]],Sala[Número de Orden],Sala[Monto total],"fracaso",0,1)</f>
        <v>0.15286624203821655</v>
      </c>
      <c r="L934" t="s">
        <v>607</v>
      </c>
    </row>
    <row r="935" spans="1:12" x14ac:dyDescent="0.25">
      <c r="A935">
        <v>364</v>
      </c>
      <c r="B935">
        <v>15</v>
      </c>
      <c r="C935" t="s">
        <v>203</v>
      </c>
      <c r="D935" t="s">
        <v>630</v>
      </c>
      <c r="E935">
        <v>13</v>
      </c>
      <c r="F935">
        <v>22</v>
      </c>
      <c r="G935">
        <v>1</v>
      </c>
      <c r="H935">
        <v>20</v>
      </c>
      <c r="I935">
        <f>Cocina[[#This Row],[Precio Unitario]]*Cocina[[#This Row],[Cantidad Ordenada]]</f>
        <v>22</v>
      </c>
      <c r="J935">
        <f>(Cocina[[#This Row],[Precio Unitario]]-Cocina[[#This Row],[Costo Unitario]])*Cocina[[#This Row],[Cantidad Ordenada]]</f>
        <v>9</v>
      </c>
      <c r="K935" s="4">
        <f>Cocina[[#This Row],[Ganancia neta]]/_xlfn.XLOOKUP(Cocina[[#This Row],[Número de Orden]],Sala[Número de Orden],Sala[Monto total],"fracaso",0,1)</f>
        <v>5.7324840764331211E-2</v>
      </c>
      <c r="L935" t="s">
        <v>607</v>
      </c>
    </row>
    <row r="936" spans="1:12" x14ac:dyDescent="0.25">
      <c r="A936">
        <v>364</v>
      </c>
      <c r="B936">
        <v>15</v>
      </c>
      <c r="C936" t="s">
        <v>122</v>
      </c>
      <c r="D936" t="s">
        <v>637</v>
      </c>
      <c r="E936">
        <v>15</v>
      </c>
      <c r="F936">
        <v>25</v>
      </c>
      <c r="G936">
        <v>2</v>
      </c>
      <c r="H936">
        <v>14</v>
      </c>
      <c r="I936">
        <f>Cocina[[#This Row],[Precio Unitario]]*Cocina[[#This Row],[Cantidad Ordenada]]</f>
        <v>50</v>
      </c>
      <c r="J936">
        <f>(Cocina[[#This Row],[Precio Unitario]]-Cocina[[#This Row],[Costo Unitario]])*Cocina[[#This Row],[Cantidad Ordenada]]</f>
        <v>20</v>
      </c>
      <c r="K936" s="4">
        <f>Cocina[[#This Row],[Ganancia neta]]/_xlfn.XLOOKUP(Cocina[[#This Row],[Número de Orden]],Sala[Número de Orden],Sala[Monto total],"fracaso",0,1)</f>
        <v>0.12738853503184713</v>
      </c>
      <c r="L936" t="s">
        <v>607</v>
      </c>
    </row>
    <row r="937" spans="1:12" x14ac:dyDescent="0.25">
      <c r="A937">
        <v>364</v>
      </c>
      <c r="B937">
        <v>15</v>
      </c>
      <c r="C937" t="s">
        <v>38</v>
      </c>
      <c r="D937" t="s">
        <v>624</v>
      </c>
      <c r="E937">
        <v>17</v>
      </c>
      <c r="F937">
        <v>29</v>
      </c>
      <c r="G937">
        <v>1</v>
      </c>
      <c r="H937">
        <v>26</v>
      </c>
      <c r="I937">
        <f>Cocina[[#This Row],[Precio Unitario]]*Cocina[[#This Row],[Cantidad Ordenada]]</f>
        <v>29</v>
      </c>
      <c r="J937">
        <f>(Cocina[[#This Row],[Precio Unitario]]-Cocina[[#This Row],[Costo Unitario]])*Cocina[[#This Row],[Cantidad Ordenada]]</f>
        <v>12</v>
      </c>
      <c r="K937" s="4">
        <f>Cocina[[#This Row],[Ganancia neta]]/_xlfn.XLOOKUP(Cocina[[#This Row],[Número de Orden]],Sala[Número de Orden],Sala[Monto total],"fracaso",0,1)</f>
        <v>7.6433121019108277E-2</v>
      </c>
      <c r="L937" t="s">
        <v>607</v>
      </c>
    </row>
    <row r="938" spans="1:12" x14ac:dyDescent="0.25">
      <c r="A938">
        <v>365</v>
      </c>
      <c r="B938">
        <v>4</v>
      </c>
      <c r="C938" t="s">
        <v>73</v>
      </c>
      <c r="D938" t="s">
        <v>623</v>
      </c>
      <c r="E938">
        <v>22</v>
      </c>
      <c r="F938">
        <v>36</v>
      </c>
      <c r="G938">
        <v>3</v>
      </c>
      <c r="H938">
        <v>25</v>
      </c>
      <c r="I938">
        <f>Cocina[[#This Row],[Precio Unitario]]*Cocina[[#This Row],[Cantidad Ordenada]]</f>
        <v>108</v>
      </c>
      <c r="J938">
        <f>(Cocina[[#This Row],[Precio Unitario]]-Cocina[[#This Row],[Costo Unitario]])*Cocina[[#This Row],[Cantidad Ordenada]]</f>
        <v>42</v>
      </c>
      <c r="K938" s="4">
        <f>Cocina[[#This Row],[Ganancia neta]]/_xlfn.XLOOKUP(Cocina[[#This Row],[Número de Orden]],Sala[Número de Orden],Sala[Monto total],"fracaso",0,1)</f>
        <v>0.3888888888888889</v>
      </c>
      <c r="L938" t="s">
        <v>608</v>
      </c>
    </row>
    <row r="939" spans="1:12" x14ac:dyDescent="0.25">
      <c r="A939">
        <v>366</v>
      </c>
      <c r="B939">
        <v>17</v>
      </c>
      <c r="C939" t="s">
        <v>106</v>
      </c>
      <c r="D939" t="s">
        <v>621</v>
      </c>
      <c r="E939">
        <v>16</v>
      </c>
      <c r="F939">
        <v>27</v>
      </c>
      <c r="G939">
        <v>2</v>
      </c>
      <c r="H939">
        <v>30</v>
      </c>
      <c r="I939">
        <f>Cocina[[#This Row],[Precio Unitario]]*Cocina[[#This Row],[Cantidad Ordenada]]</f>
        <v>54</v>
      </c>
      <c r="J939">
        <f>(Cocina[[#This Row],[Precio Unitario]]-Cocina[[#This Row],[Costo Unitario]])*Cocina[[#This Row],[Cantidad Ordenada]]</f>
        <v>22</v>
      </c>
      <c r="K939" s="4">
        <f>Cocina[[#This Row],[Ganancia neta]]/_xlfn.XLOOKUP(Cocina[[#This Row],[Número de Orden]],Sala[Número de Orden],Sala[Monto total],"fracaso",0,1)</f>
        <v>9.2050209205020925E-2</v>
      </c>
      <c r="L939" t="s">
        <v>607</v>
      </c>
    </row>
    <row r="940" spans="1:12" x14ac:dyDescent="0.25">
      <c r="A940">
        <v>366</v>
      </c>
      <c r="B940">
        <v>17</v>
      </c>
      <c r="C940" t="s">
        <v>26</v>
      </c>
      <c r="D940" t="s">
        <v>628</v>
      </c>
      <c r="E940">
        <v>21</v>
      </c>
      <c r="F940">
        <v>35</v>
      </c>
      <c r="G940">
        <v>3</v>
      </c>
      <c r="H940">
        <v>51</v>
      </c>
      <c r="I940">
        <f>Cocina[[#This Row],[Precio Unitario]]*Cocina[[#This Row],[Cantidad Ordenada]]</f>
        <v>105</v>
      </c>
      <c r="J940">
        <f>(Cocina[[#This Row],[Precio Unitario]]-Cocina[[#This Row],[Costo Unitario]])*Cocina[[#This Row],[Cantidad Ordenada]]</f>
        <v>42</v>
      </c>
      <c r="K940" s="4">
        <f>Cocina[[#This Row],[Ganancia neta]]/_xlfn.XLOOKUP(Cocina[[#This Row],[Número de Orden]],Sala[Número de Orden],Sala[Monto total],"fracaso",0,1)</f>
        <v>0.17573221757322174</v>
      </c>
      <c r="L940" t="s">
        <v>608</v>
      </c>
    </row>
    <row r="941" spans="1:12" x14ac:dyDescent="0.25">
      <c r="A941">
        <v>366</v>
      </c>
      <c r="B941">
        <v>17</v>
      </c>
      <c r="C941" t="s">
        <v>48</v>
      </c>
      <c r="D941" t="s">
        <v>622</v>
      </c>
      <c r="E941">
        <v>25</v>
      </c>
      <c r="F941">
        <v>40</v>
      </c>
      <c r="G941">
        <v>2</v>
      </c>
      <c r="H941">
        <v>9</v>
      </c>
      <c r="I941">
        <f>Cocina[[#This Row],[Precio Unitario]]*Cocina[[#This Row],[Cantidad Ordenada]]</f>
        <v>80</v>
      </c>
      <c r="J941">
        <f>(Cocina[[#This Row],[Precio Unitario]]-Cocina[[#This Row],[Costo Unitario]])*Cocina[[#This Row],[Cantidad Ordenada]]</f>
        <v>30</v>
      </c>
      <c r="K941" s="4">
        <f>Cocina[[#This Row],[Ganancia neta]]/_xlfn.XLOOKUP(Cocina[[#This Row],[Número de Orden]],Sala[Número de Orden],Sala[Monto total],"fracaso",0,1)</f>
        <v>0.12552301255230125</v>
      </c>
      <c r="L941" t="s">
        <v>607</v>
      </c>
    </row>
    <row r="942" spans="1:12" x14ac:dyDescent="0.25">
      <c r="A942">
        <v>367</v>
      </c>
      <c r="B942">
        <v>12</v>
      </c>
      <c r="C942" t="s">
        <v>155</v>
      </c>
      <c r="D942" t="s">
        <v>636</v>
      </c>
      <c r="E942">
        <v>15</v>
      </c>
      <c r="F942">
        <v>26</v>
      </c>
      <c r="G942">
        <v>2</v>
      </c>
      <c r="H942">
        <v>34</v>
      </c>
      <c r="I942">
        <f>Cocina[[#This Row],[Precio Unitario]]*Cocina[[#This Row],[Cantidad Ordenada]]</f>
        <v>52</v>
      </c>
      <c r="J942">
        <f>(Cocina[[#This Row],[Precio Unitario]]-Cocina[[#This Row],[Costo Unitario]])*Cocina[[#This Row],[Cantidad Ordenada]]</f>
        <v>22</v>
      </c>
      <c r="K942" s="4">
        <f>Cocina[[#This Row],[Ganancia neta]]/_xlfn.XLOOKUP(Cocina[[#This Row],[Número de Orden]],Sala[Número de Orden],Sala[Monto total],"fracaso",0,1)</f>
        <v>0.21782178217821782</v>
      </c>
      <c r="L942" t="s">
        <v>608</v>
      </c>
    </row>
    <row r="943" spans="1:12" x14ac:dyDescent="0.25">
      <c r="A943">
        <v>367</v>
      </c>
      <c r="B943">
        <v>12</v>
      </c>
      <c r="C943" t="s">
        <v>38</v>
      </c>
      <c r="D943" t="s">
        <v>624</v>
      </c>
      <c r="E943">
        <v>17</v>
      </c>
      <c r="F943">
        <v>29</v>
      </c>
      <c r="G943">
        <v>1</v>
      </c>
      <c r="H943">
        <v>26</v>
      </c>
      <c r="I943">
        <f>Cocina[[#This Row],[Precio Unitario]]*Cocina[[#This Row],[Cantidad Ordenada]]</f>
        <v>29</v>
      </c>
      <c r="J943">
        <f>(Cocina[[#This Row],[Precio Unitario]]-Cocina[[#This Row],[Costo Unitario]])*Cocina[[#This Row],[Cantidad Ordenada]]</f>
        <v>12</v>
      </c>
      <c r="K943" s="4">
        <f>Cocina[[#This Row],[Ganancia neta]]/_xlfn.XLOOKUP(Cocina[[#This Row],[Número de Orden]],Sala[Número de Orden],Sala[Monto total],"fracaso",0,1)</f>
        <v>0.11881188118811881</v>
      </c>
      <c r="L943" t="s">
        <v>608</v>
      </c>
    </row>
    <row r="944" spans="1:12" x14ac:dyDescent="0.25">
      <c r="A944">
        <v>367</v>
      </c>
      <c r="B944">
        <v>12</v>
      </c>
      <c r="C944" t="s">
        <v>146</v>
      </c>
      <c r="D944" t="s">
        <v>632</v>
      </c>
      <c r="E944">
        <v>12</v>
      </c>
      <c r="F944">
        <v>20</v>
      </c>
      <c r="G944">
        <v>1</v>
      </c>
      <c r="H944">
        <v>13</v>
      </c>
      <c r="I944">
        <f>Cocina[[#This Row],[Precio Unitario]]*Cocina[[#This Row],[Cantidad Ordenada]]</f>
        <v>20</v>
      </c>
      <c r="J944">
        <f>(Cocina[[#This Row],[Precio Unitario]]-Cocina[[#This Row],[Costo Unitario]])*Cocina[[#This Row],[Cantidad Ordenada]]</f>
        <v>8</v>
      </c>
      <c r="K944" s="4">
        <f>Cocina[[#This Row],[Ganancia neta]]/_xlfn.XLOOKUP(Cocina[[#This Row],[Número de Orden]],Sala[Número de Orden],Sala[Monto total],"fracaso",0,1)</f>
        <v>7.9207920792079209E-2</v>
      </c>
      <c r="L944" t="s">
        <v>608</v>
      </c>
    </row>
    <row r="945" spans="1:12" x14ac:dyDescent="0.25">
      <c r="A945">
        <v>368</v>
      </c>
      <c r="B945">
        <v>13</v>
      </c>
      <c r="C945" t="s">
        <v>261</v>
      </c>
      <c r="D945" t="s">
        <v>625</v>
      </c>
      <c r="E945">
        <v>20</v>
      </c>
      <c r="F945">
        <v>33</v>
      </c>
      <c r="G945">
        <v>3</v>
      </c>
      <c r="H945">
        <v>45</v>
      </c>
      <c r="I945">
        <f>Cocina[[#This Row],[Precio Unitario]]*Cocina[[#This Row],[Cantidad Ordenada]]</f>
        <v>99</v>
      </c>
      <c r="J945">
        <f>(Cocina[[#This Row],[Precio Unitario]]-Cocina[[#This Row],[Costo Unitario]])*Cocina[[#This Row],[Cantidad Ordenada]]</f>
        <v>39</v>
      </c>
      <c r="K945" s="4">
        <f>Cocina[[#This Row],[Ganancia neta]]/_xlfn.XLOOKUP(Cocina[[#This Row],[Número de Orden]],Sala[Número de Orden],Sala[Monto total],"fracaso",0,1)</f>
        <v>0.31707317073170732</v>
      </c>
      <c r="L945" t="s">
        <v>607</v>
      </c>
    </row>
    <row r="946" spans="1:12" x14ac:dyDescent="0.25">
      <c r="A946">
        <v>368</v>
      </c>
      <c r="B946">
        <v>13</v>
      </c>
      <c r="C946" t="s">
        <v>158</v>
      </c>
      <c r="D946" t="s">
        <v>617</v>
      </c>
      <c r="E946">
        <v>14</v>
      </c>
      <c r="F946">
        <v>24</v>
      </c>
      <c r="G946">
        <v>1</v>
      </c>
      <c r="H946">
        <v>40</v>
      </c>
      <c r="I946">
        <f>Cocina[[#This Row],[Precio Unitario]]*Cocina[[#This Row],[Cantidad Ordenada]]</f>
        <v>24</v>
      </c>
      <c r="J946">
        <f>(Cocina[[#This Row],[Precio Unitario]]-Cocina[[#This Row],[Costo Unitario]])*Cocina[[#This Row],[Cantidad Ordenada]]</f>
        <v>10</v>
      </c>
      <c r="K946" s="4">
        <f>Cocina[[#This Row],[Ganancia neta]]/_xlfn.XLOOKUP(Cocina[[#This Row],[Número de Orden]],Sala[Número de Orden],Sala[Monto total],"fracaso",0,1)</f>
        <v>8.1300813008130079E-2</v>
      </c>
      <c r="L946" t="s">
        <v>608</v>
      </c>
    </row>
    <row r="947" spans="1:12" x14ac:dyDescent="0.25">
      <c r="A947">
        <v>369</v>
      </c>
      <c r="B947">
        <v>20</v>
      </c>
      <c r="C947" t="s">
        <v>116</v>
      </c>
      <c r="D947" t="s">
        <v>620</v>
      </c>
      <c r="E947">
        <v>19</v>
      </c>
      <c r="F947">
        <v>31</v>
      </c>
      <c r="G947">
        <v>2</v>
      </c>
      <c r="H947">
        <v>7</v>
      </c>
      <c r="I947">
        <f>Cocina[[#This Row],[Precio Unitario]]*Cocina[[#This Row],[Cantidad Ordenada]]</f>
        <v>62</v>
      </c>
      <c r="J947">
        <f>(Cocina[[#This Row],[Precio Unitario]]-Cocina[[#This Row],[Costo Unitario]])*Cocina[[#This Row],[Cantidad Ordenada]]</f>
        <v>24</v>
      </c>
      <c r="K947" s="4">
        <f>Cocina[[#This Row],[Ganancia neta]]/_xlfn.XLOOKUP(Cocina[[#This Row],[Número de Orden]],Sala[Número de Orden],Sala[Monto total],"fracaso",0,1)</f>
        <v>9.9173553719008267E-2</v>
      </c>
      <c r="L947" t="s">
        <v>608</v>
      </c>
    </row>
    <row r="948" spans="1:12" x14ac:dyDescent="0.25">
      <c r="A948">
        <v>369</v>
      </c>
      <c r="B948">
        <v>20</v>
      </c>
      <c r="C948" t="s">
        <v>200</v>
      </c>
      <c r="D948" t="s">
        <v>633</v>
      </c>
      <c r="E948">
        <v>14</v>
      </c>
      <c r="F948">
        <v>23</v>
      </c>
      <c r="G948">
        <v>2</v>
      </c>
      <c r="H948">
        <v>7</v>
      </c>
      <c r="I948">
        <f>Cocina[[#This Row],[Precio Unitario]]*Cocina[[#This Row],[Cantidad Ordenada]]</f>
        <v>46</v>
      </c>
      <c r="J948">
        <f>(Cocina[[#This Row],[Precio Unitario]]-Cocina[[#This Row],[Costo Unitario]])*Cocina[[#This Row],[Cantidad Ordenada]]</f>
        <v>18</v>
      </c>
      <c r="K948" s="4">
        <f>Cocina[[#This Row],[Ganancia neta]]/_xlfn.XLOOKUP(Cocina[[#This Row],[Número de Orden]],Sala[Número de Orden],Sala[Monto total],"fracaso",0,1)</f>
        <v>7.43801652892562E-2</v>
      </c>
      <c r="L948" t="s">
        <v>608</v>
      </c>
    </row>
    <row r="949" spans="1:12" x14ac:dyDescent="0.25">
      <c r="A949">
        <v>369</v>
      </c>
      <c r="B949">
        <v>20</v>
      </c>
      <c r="C949" t="s">
        <v>42</v>
      </c>
      <c r="D949" t="s">
        <v>626</v>
      </c>
      <c r="E949">
        <v>16</v>
      </c>
      <c r="F949">
        <v>28</v>
      </c>
      <c r="G949">
        <v>2</v>
      </c>
      <c r="H949">
        <v>8</v>
      </c>
      <c r="I949">
        <f>Cocina[[#This Row],[Precio Unitario]]*Cocina[[#This Row],[Cantidad Ordenada]]</f>
        <v>56</v>
      </c>
      <c r="J949">
        <f>(Cocina[[#This Row],[Precio Unitario]]-Cocina[[#This Row],[Costo Unitario]])*Cocina[[#This Row],[Cantidad Ordenada]]</f>
        <v>24</v>
      </c>
      <c r="K949" s="4">
        <f>Cocina[[#This Row],[Ganancia neta]]/_xlfn.XLOOKUP(Cocina[[#This Row],[Número de Orden]],Sala[Número de Orden],Sala[Monto total],"fracaso",0,1)</f>
        <v>9.9173553719008267E-2</v>
      </c>
      <c r="L949" t="s">
        <v>608</v>
      </c>
    </row>
    <row r="950" spans="1:12" x14ac:dyDescent="0.25">
      <c r="A950">
        <v>369</v>
      </c>
      <c r="B950">
        <v>20</v>
      </c>
      <c r="C950" t="s">
        <v>155</v>
      </c>
      <c r="D950" t="s">
        <v>636</v>
      </c>
      <c r="E950">
        <v>15</v>
      </c>
      <c r="F950">
        <v>26</v>
      </c>
      <c r="G950">
        <v>3</v>
      </c>
      <c r="H950">
        <v>20</v>
      </c>
      <c r="I950">
        <f>Cocina[[#This Row],[Precio Unitario]]*Cocina[[#This Row],[Cantidad Ordenada]]</f>
        <v>78</v>
      </c>
      <c r="J950">
        <f>(Cocina[[#This Row],[Precio Unitario]]-Cocina[[#This Row],[Costo Unitario]])*Cocina[[#This Row],[Cantidad Ordenada]]</f>
        <v>33</v>
      </c>
      <c r="K950" s="4">
        <f>Cocina[[#This Row],[Ganancia neta]]/_xlfn.XLOOKUP(Cocina[[#This Row],[Número de Orden]],Sala[Número de Orden],Sala[Monto total],"fracaso",0,1)</f>
        <v>0.13636363636363635</v>
      </c>
      <c r="L950" t="s">
        <v>608</v>
      </c>
    </row>
    <row r="951" spans="1:12" x14ac:dyDescent="0.25">
      <c r="A951">
        <v>370</v>
      </c>
      <c r="B951">
        <v>13</v>
      </c>
      <c r="C951" t="s">
        <v>73</v>
      </c>
      <c r="D951" t="s">
        <v>623</v>
      </c>
      <c r="E951">
        <v>22</v>
      </c>
      <c r="F951">
        <v>36</v>
      </c>
      <c r="G951">
        <v>2</v>
      </c>
      <c r="H951">
        <v>33</v>
      </c>
      <c r="I951">
        <f>Cocina[[#This Row],[Precio Unitario]]*Cocina[[#This Row],[Cantidad Ordenada]]</f>
        <v>72</v>
      </c>
      <c r="J951">
        <f>(Cocina[[#This Row],[Precio Unitario]]-Cocina[[#This Row],[Costo Unitario]])*Cocina[[#This Row],[Cantidad Ordenada]]</f>
        <v>28</v>
      </c>
      <c r="K951" s="4">
        <f>Cocina[[#This Row],[Ganancia neta]]/_xlfn.XLOOKUP(Cocina[[#This Row],[Número de Orden]],Sala[Número de Orden],Sala[Monto total],"fracaso",0,1)</f>
        <v>0.3888888888888889</v>
      </c>
      <c r="L951" t="s">
        <v>608</v>
      </c>
    </row>
    <row r="952" spans="1:12" x14ac:dyDescent="0.25">
      <c r="A952">
        <v>371</v>
      </c>
      <c r="B952">
        <v>4</v>
      </c>
      <c r="C952" t="s">
        <v>116</v>
      </c>
      <c r="D952" t="s">
        <v>620</v>
      </c>
      <c r="E952">
        <v>19</v>
      </c>
      <c r="F952">
        <v>31</v>
      </c>
      <c r="G952">
        <v>2</v>
      </c>
      <c r="H952">
        <v>11</v>
      </c>
      <c r="I952">
        <f>Cocina[[#This Row],[Precio Unitario]]*Cocina[[#This Row],[Cantidad Ordenada]]</f>
        <v>62</v>
      </c>
      <c r="J952">
        <f>(Cocina[[#This Row],[Precio Unitario]]-Cocina[[#This Row],[Costo Unitario]])*Cocina[[#This Row],[Cantidad Ordenada]]</f>
        <v>24</v>
      </c>
      <c r="K952" s="4">
        <f>Cocina[[#This Row],[Ganancia neta]]/_xlfn.XLOOKUP(Cocina[[#This Row],[Número de Orden]],Sala[Número de Orden],Sala[Monto total],"fracaso",0,1)</f>
        <v>0.12</v>
      </c>
      <c r="L952" t="s">
        <v>608</v>
      </c>
    </row>
    <row r="953" spans="1:12" x14ac:dyDescent="0.25">
      <c r="A953">
        <v>371</v>
      </c>
      <c r="B953">
        <v>4</v>
      </c>
      <c r="C953" t="s">
        <v>73</v>
      </c>
      <c r="D953" t="s">
        <v>623</v>
      </c>
      <c r="E953">
        <v>22</v>
      </c>
      <c r="F953">
        <v>36</v>
      </c>
      <c r="G953">
        <v>1</v>
      </c>
      <c r="H953">
        <v>13</v>
      </c>
      <c r="I953">
        <f>Cocina[[#This Row],[Precio Unitario]]*Cocina[[#This Row],[Cantidad Ordenada]]</f>
        <v>36</v>
      </c>
      <c r="J953">
        <f>(Cocina[[#This Row],[Precio Unitario]]-Cocina[[#This Row],[Costo Unitario]])*Cocina[[#This Row],[Cantidad Ordenada]]</f>
        <v>14</v>
      </c>
      <c r="K953" s="4">
        <f>Cocina[[#This Row],[Ganancia neta]]/_xlfn.XLOOKUP(Cocina[[#This Row],[Número de Orden]],Sala[Número de Orden],Sala[Monto total],"fracaso",0,1)</f>
        <v>7.0000000000000007E-2</v>
      </c>
      <c r="L953" t="s">
        <v>607</v>
      </c>
    </row>
    <row r="954" spans="1:12" x14ac:dyDescent="0.25">
      <c r="A954">
        <v>371</v>
      </c>
      <c r="B954">
        <v>4</v>
      </c>
      <c r="C954" t="s">
        <v>42</v>
      </c>
      <c r="D954" t="s">
        <v>626</v>
      </c>
      <c r="E954">
        <v>16</v>
      </c>
      <c r="F954">
        <v>28</v>
      </c>
      <c r="G954">
        <v>2</v>
      </c>
      <c r="H954">
        <v>11</v>
      </c>
      <c r="I954">
        <f>Cocina[[#This Row],[Precio Unitario]]*Cocina[[#This Row],[Cantidad Ordenada]]</f>
        <v>56</v>
      </c>
      <c r="J954">
        <f>(Cocina[[#This Row],[Precio Unitario]]-Cocina[[#This Row],[Costo Unitario]])*Cocina[[#This Row],[Cantidad Ordenada]]</f>
        <v>24</v>
      </c>
      <c r="K954" s="4">
        <f>Cocina[[#This Row],[Ganancia neta]]/_xlfn.XLOOKUP(Cocina[[#This Row],[Número de Orden]],Sala[Número de Orden],Sala[Monto total],"fracaso",0,1)</f>
        <v>0.12</v>
      </c>
      <c r="L954" t="s">
        <v>607</v>
      </c>
    </row>
    <row r="955" spans="1:12" x14ac:dyDescent="0.25">
      <c r="A955">
        <v>371</v>
      </c>
      <c r="B955">
        <v>4</v>
      </c>
      <c r="C955" t="s">
        <v>200</v>
      </c>
      <c r="D955" t="s">
        <v>633</v>
      </c>
      <c r="E955">
        <v>14</v>
      </c>
      <c r="F955">
        <v>23</v>
      </c>
      <c r="G955">
        <v>2</v>
      </c>
      <c r="H955">
        <v>14</v>
      </c>
      <c r="I955">
        <f>Cocina[[#This Row],[Precio Unitario]]*Cocina[[#This Row],[Cantidad Ordenada]]</f>
        <v>46</v>
      </c>
      <c r="J955">
        <f>(Cocina[[#This Row],[Precio Unitario]]-Cocina[[#This Row],[Costo Unitario]])*Cocina[[#This Row],[Cantidad Ordenada]]</f>
        <v>18</v>
      </c>
      <c r="K955" s="4">
        <f>Cocina[[#This Row],[Ganancia neta]]/_xlfn.XLOOKUP(Cocina[[#This Row],[Número de Orden]],Sala[Número de Orden],Sala[Monto total],"fracaso",0,1)</f>
        <v>0.09</v>
      </c>
      <c r="L955" t="s">
        <v>608</v>
      </c>
    </row>
    <row r="956" spans="1:12" x14ac:dyDescent="0.25">
      <c r="A956">
        <v>372</v>
      </c>
      <c r="B956">
        <v>14</v>
      </c>
      <c r="C956" t="s">
        <v>79</v>
      </c>
      <c r="D956" t="s">
        <v>635</v>
      </c>
      <c r="E956">
        <v>10</v>
      </c>
      <c r="F956">
        <v>18</v>
      </c>
      <c r="G956">
        <v>2</v>
      </c>
      <c r="H956">
        <v>22</v>
      </c>
      <c r="I956">
        <f>Cocina[[#This Row],[Precio Unitario]]*Cocina[[#This Row],[Cantidad Ordenada]]</f>
        <v>36</v>
      </c>
      <c r="J956">
        <f>(Cocina[[#This Row],[Precio Unitario]]-Cocina[[#This Row],[Costo Unitario]])*Cocina[[#This Row],[Cantidad Ordenada]]</f>
        <v>16</v>
      </c>
      <c r="K956" s="4">
        <f>Cocina[[#This Row],[Ganancia neta]]/_xlfn.XLOOKUP(Cocina[[#This Row],[Número de Orden]],Sala[Número de Orden],Sala[Monto total],"fracaso",0,1)</f>
        <v>0.44444444444444442</v>
      </c>
      <c r="L956" t="s">
        <v>607</v>
      </c>
    </row>
    <row r="957" spans="1:12" x14ac:dyDescent="0.25">
      <c r="A957">
        <v>373</v>
      </c>
      <c r="B957">
        <v>19</v>
      </c>
      <c r="C957" t="s">
        <v>70</v>
      </c>
      <c r="D957" t="s">
        <v>634</v>
      </c>
      <c r="E957">
        <v>13</v>
      </c>
      <c r="F957">
        <v>21</v>
      </c>
      <c r="G957">
        <v>1</v>
      </c>
      <c r="H957">
        <v>41</v>
      </c>
      <c r="I957">
        <f>Cocina[[#This Row],[Precio Unitario]]*Cocina[[#This Row],[Cantidad Ordenada]]</f>
        <v>21</v>
      </c>
      <c r="J957">
        <f>(Cocina[[#This Row],[Precio Unitario]]-Cocina[[#This Row],[Costo Unitario]])*Cocina[[#This Row],[Cantidad Ordenada]]</f>
        <v>8</v>
      </c>
      <c r="K957" s="4">
        <f>Cocina[[#This Row],[Ganancia neta]]/_xlfn.XLOOKUP(Cocina[[#This Row],[Número de Orden]],Sala[Número de Orden],Sala[Monto total],"fracaso",0,1)</f>
        <v>0.05</v>
      </c>
      <c r="L957" t="s">
        <v>608</v>
      </c>
    </row>
    <row r="958" spans="1:12" x14ac:dyDescent="0.25">
      <c r="A958">
        <v>373</v>
      </c>
      <c r="B958">
        <v>19</v>
      </c>
      <c r="C958" t="s">
        <v>26</v>
      </c>
      <c r="D958" t="s">
        <v>628</v>
      </c>
      <c r="E958">
        <v>21</v>
      </c>
      <c r="F958">
        <v>35</v>
      </c>
      <c r="G958">
        <v>1</v>
      </c>
      <c r="H958">
        <v>49</v>
      </c>
      <c r="I958">
        <f>Cocina[[#This Row],[Precio Unitario]]*Cocina[[#This Row],[Cantidad Ordenada]]</f>
        <v>35</v>
      </c>
      <c r="J958">
        <f>(Cocina[[#This Row],[Precio Unitario]]-Cocina[[#This Row],[Costo Unitario]])*Cocina[[#This Row],[Cantidad Ordenada]]</f>
        <v>14</v>
      </c>
      <c r="K958" s="4">
        <f>Cocina[[#This Row],[Ganancia neta]]/_xlfn.XLOOKUP(Cocina[[#This Row],[Número de Orden]],Sala[Número de Orden],Sala[Monto total],"fracaso",0,1)</f>
        <v>8.7499999999999994E-2</v>
      </c>
      <c r="L958" t="s">
        <v>607</v>
      </c>
    </row>
    <row r="959" spans="1:12" x14ac:dyDescent="0.25">
      <c r="A959">
        <v>373</v>
      </c>
      <c r="B959">
        <v>19</v>
      </c>
      <c r="C959" t="s">
        <v>203</v>
      </c>
      <c r="D959" t="s">
        <v>630</v>
      </c>
      <c r="E959">
        <v>13</v>
      </c>
      <c r="F959">
        <v>22</v>
      </c>
      <c r="G959">
        <v>2</v>
      </c>
      <c r="H959">
        <v>17</v>
      </c>
      <c r="I959">
        <f>Cocina[[#This Row],[Precio Unitario]]*Cocina[[#This Row],[Cantidad Ordenada]]</f>
        <v>44</v>
      </c>
      <c r="J959">
        <f>(Cocina[[#This Row],[Precio Unitario]]-Cocina[[#This Row],[Costo Unitario]])*Cocina[[#This Row],[Cantidad Ordenada]]</f>
        <v>18</v>
      </c>
      <c r="K959" s="4">
        <f>Cocina[[#This Row],[Ganancia neta]]/_xlfn.XLOOKUP(Cocina[[#This Row],[Número de Orden]],Sala[Número de Orden],Sala[Monto total],"fracaso",0,1)</f>
        <v>0.1125</v>
      </c>
      <c r="L959" t="s">
        <v>608</v>
      </c>
    </row>
    <row r="960" spans="1:12" x14ac:dyDescent="0.25">
      <c r="A960">
        <v>373</v>
      </c>
      <c r="B960">
        <v>19</v>
      </c>
      <c r="C960" t="s">
        <v>146</v>
      </c>
      <c r="D960" t="s">
        <v>632</v>
      </c>
      <c r="E960">
        <v>12</v>
      </c>
      <c r="F960">
        <v>20</v>
      </c>
      <c r="G960">
        <v>3</v>
      </c>
      <c r="H960">
        <v>9</v>
      </c>
      <c r="I960">
        <f>Cocina[[#This Row],[Precio Unitario]]*Cocina[[#This Row],[Cantidad Ordenada]]</f>
        <v>60</v>
      </c>
      <c r="J960">
        <f>(Cocina[[#This Row],[Precio Unitario]]-Cocina[[#This Row],[Costo Unitario]])*Cocina[[#This Row],[Cantidad Ordenada]]</f>
        <v>24</v>
      </c>
      <c r="K960" s="4">
        <f>Cocina[[#This Row],[Ganancia neta]]/_xlfn.XLOOKUP(Cocina[[#This Row],[Número de Orden]],Sala[Número de Orden],Sala[Monto total],"fracaso",0,1)</f>
        <v>0.15</v>
      </c>
      <c r="L960" t="s">
        <v>608</v>
      </c>
    </row>
    <row r="961" spans="1:12" x14ac:dyDescent="0.25">
      <c r="A961">
        <v>374</v>
      </c>
      <c r="B961">
        <v>18</v>
      </c>
      <c r="C961" t="s">
        <v>26</v>
      </c>
      <c r="D961" t="s">
        <v>628</v>
      </c>
      <c r="E961">
        <v>21</v>
      </c>
      <c r="F961">
        <v>35</v>
      </c>
      <c r="G961">
        <v>1</v>
      </c>
      <c r="H961">
        <v>9</v>
      </c>
      <c r="I961">
        <f>Cocina[[#This Row],[Precio Unitario]]*Cocina[[#This Row],[Cantidad Ordenada]]</f>
        <v>35</v>
      </c>
      <c r="J961">
        <f>(Cocina[[#This Row],[Precio Unitario]]-Cocina[[#This Row],[Costo Unitario]])*Cocina[[#This Row],[Cantidad Ordenada]]</f>
        <v>14</v>
      </c>
      <c r="K961" s="4">
        <f>Cocina[[#This Row],[Ganancia neta]]/_xlfn.XLOOKUP(Cocina[[#This Row],[Número de Orden]],Sala[Número de Orden],Sala[Monto total],"fracaso",0,1)</f>
        <v>0.4</v>
      </c>
      <c r="L961" t="s">
        <v>608</v>
      </c>
    </row>
    <row r="962" spans="1:12" x14ac:dyDescent="0.25">
      <c r="A962">
        <v>375</v>
      </c>
      <c r="B962">
        <v>18</v>
      </c>
      <c r="C962" t="s">
        <v>116</v>
      </c>
      <c r="D962" t="s">
        <v>620</v>
      </c>
      <c r="E962">
        <v>19</v>
      </c>
      <c r="F962">
        <v>31</v>
      </c>
      <c r="G962">
        <v>3</v>
      </c>
      <c r="H962">
        <v>27</v>
      </c>
      <c r="I962">
        <f>Cocina[[#This Row],[Precio Unitario]]*Cocina[[#This Row],[Cantidad Ordenada]]</f>
        <v>93</v>
      </c>
      <c r="J962">
        <f>(Cocina[[#This Row],[Precio Unitario]]-Cocina[[#This Row],[Costo Unitario]])*Cocina[[#This Row],[Cantidad Ordenada]]</f>
        <v>36</v>
      </c>
      <c r="K962" s="4">
        <f>Cocina[[#This Row],[Ganancia neta]]/_xlfn.XLOOKUP(Cocina[[#This Row],[Número de Orden]],Sala[Número de Orden],Sala[Monto total],"fracaso",0,1)</f>
        <v>0.38709677419354838</v>
      </c>
      <c r="L962" t="s">
        <v>607</v>
      </c>
    </row>
    <row r="963" spans="1:12" x14ac:dyDescent="0.25">
      <c r="A963">
        <v>376</v>
      </c>
      <c r="B963">
        <v>16</v>
      </c>
      <c r="C963" t="s">
        <v>200</v>
      </c>
      <c r="D963" t="s">
        <v>633</v>
      </c>
      <c r="E963">
        <v>14</v>
      </c>
      <c r="F963">
        <v>23</v>
      </c>
      <c r="G963">
        <v>2</v>
      </c>
      <c r="H963">
        <v>5</v>
      </c>
      <c r="I963">
        <f>Cocina[[#This Row],[Precio Unitario]]*Cocina[[#This Row],[Cantidad Ordenada]]</f>
        <v>46</v>
      </c>
      <c r="J963">
        <f>(Cocina[[#This Row],[Precio Unitario]]-Cocina[[#This Row],[Costo Unitario]])*Cocina[[#This Row],[Cantidad Ordenada]]</f>
        <v>18</v>
      </c>
      <c r="K963" s="4">
        <f>Cocina[[#This Row],[Ganancia neta]]/_xlfn.XLOOKUP(Cocina[[#This Row],[Número de Orden]],Sala[Número de Orden],Sala[Monto total],"fracaso",0,1)</f>
        <v>0.39130434782608697</v>
      </c>
      <c r="L963" t="s">
        <v>608</v>
      </c>
    </row>
    <row r="964" spans="1:12" x14ac:dyDescent="0.25">
      <c r="A964">
        <v>377</v>
      </c>
      <c r="B964">
        <v>5</v>
      </c>
      <c r="C964" t="s">
        <v>55</v>
      </c>
      <c r="D964" t="s">
        <v>631</v>
      </c>
      <c r="E964">
        <v>20</v>
      </c>
      <c r="F964">
        <v>34</v>
      </c>
      <c r="G964">
        <v>2</v>
      </c>
      <c r="H964">
        <v>13</v>
      </c>
      <c r="I964">
        <f>Cocina[[#This Row],[Precio Unitario]]*Cocina[[#This Row],[Cantidad Ordenada]]</f>
        <v>68</v>
      </c>
      <c r="J964">
        <f>(Cocina[[#This Row],[Precio Unitario]]-Cocina[[#This Row],[Costo Unitario]])*Cocina[[#This Row],[Cantidad Ordenada]]</f>
        <v>28</v>
      </c>
      <c r="K964" s="4">
        <f>Cocina[[#This Row],[Ganancia neta]]/_xlfn.XLOOKUP(Cocina[[#This Row],[Número de Orden]],Sala[Número de Orden],Sala[Monto total],"fracaso",0,1)</f>
        <v>0.28000000000000003</v>
      </c>
      <c r="L964" t="s">
        <v>607</v>
      </c>
    </row>
    <row r="965" spans="1:12" x14ac:dyDescent="0.25">
      <c r="A965">
        <v>377</v>
      </c>
      <c r="B965">
        <v>5</v>
      </c>
      <c r="C965" t="s">
        <v>247</v>
      </c>
      <c r="D965" t="s">
        <v>629</v>
      </c>
      <c r="E965">
        <v>19</v>
      </c>
      <c r="F965">
        <v>32</v>
      </c>
      <c r="G965">
        <v>1</v>
      </c>
      <c r="H965">
        <v>33</v>
      </c>
      <c r="I965">
        <f>Cocina[[#This Row],[Precio Unitario]]*Cocina[[#This Row],[Cantidad Ordenada]]</f>
        <v>32</v>
      </c>
      <c r="J965">
        <f>(Cocina[[#This Row],[Precio Unitario]]-Cocina[[#This Row],[Costo Unitario]])*Cocina[[#This Row],[Cantidad Ordenada]]</f>
        <v>13</v>
      </c>
      <c r="K965" s="4">
        <f>Cocina[[#This Row],[Ganancia neta]]/_xlfn.XLOOKUP(Cocina[[#This Row],[Número de Orden]],Sala[Número de Orden],Sala[Monto total],"fracaso",0,1)</f>
        <v>0.13</v>
      </c>
      <c r="L965" t="s">
        <v>607</v>
      </c>
    </row>
    <row r="966" spans="1:12" x14ac:dyDescent="0.25">
      <c r="A966">
        <v>378</v>
      </c>
      <c r="B966">
        <v>3</v>
      </c>
      <c r="C966" t="s">
        <v>68</v>
      </c>
      <c r="D966" t="s">
        <v>619</v>
      </c>
      <c r="E966">
        <v>18</v>
      </c>
      <c r="F966">
        <v>30</v>
      </c>
      <c r="G966">
        <v>1</v>
      </c>
      <c r="H966">
        <v>14</v>
      </c>
      <c r="I966">
        <f>Cocina[[#This Row],[Precio Unitario]]*Cocina[[#This Row],[Cantidad Ordenada]]</f>
        <v>30</v>
      </c>
      <c r="J966">
        <f>(Cocina[[#This Row],[Precio Unitario]]-Cocina[[#This Row],[Costo Unitario]])*Cocina[[#This Row],[Cantidad Ordenada]]</f>
        <v>12</v>
      </c>
      <c r="K966" s="4">
        <f>Cocina[[#This Row],[Ganancia neta]]/_xlfn.XLOOKUP(Cocina[[#This Row],[Número de Orden]],Sala[Número de Orden],Sala[Monto total],"fracaso",0,1)</f>
        <v>0.24489795918367346</v>
      </c>
      <c r="L966" t="s">
        <v>608</v>
      </c>
    </row>
    <row r="967" spans="1:12" x14ac:dyDescent="0.25">
      <c r="A967">
        <v>378</v>
      </c>
      <c r="B967">
        <v>3</v>
      </c>
      <c r="C967" t="s">
        <v>112</v>
      </c>
      <c r="D967" t="s">
        <v>627</v>
      </c>
      <c r="E967">
        <v>11</v>
      </c>
      <c r="F967">
        <v>19</v>
      </c>
      <c r="G967">
        <v>1</v>
      </c>
      <c r="H967">
        <v>7</v>
      </c>
      <c r="I967">
        <f>Cocina[[#This Row],[Precio Unitario]]*Cocina[[#This Row],[Cantidad Ordenada]]</f>
        <v>19</v>
      </c>
      <c r="J967">
        <f>(Cocina[[#This Row],[Precio Unitario]]-Cocina[[#This Row],[Costo Unitario]])*Cocina[[#This Row],[Cantidad Ordenada]]</f>
        <v>8</v>
      </c>
      <c r="K967" s="4">
        <f>Cocina[[#This Row],[Ganancia neta]]/_xlfn.XLOOKUP(Cocina[[#This Row],[Número de Orden]],Sala[Número de Orden],Sala[Monto total],"fracaso",0,1)</f>
        <v>0.16326530612244897</v>
      </c>
      <c r="L967" t="s">
        <v>608</v>
      </c>
    </row>
    <row r="968" spans="1:12" x14ac:dyDescent="0.25">
      <c r="A968">
        <v>379</v>
      </c>
      <c r="B968">
        <v>4</v>
      </c>
      <c r="C968" t="s">
        <v>26</v>
      </c>
      <c r="D968" t="s">
        <v>628</v>
      </c>
      <c r="E968">
        <v>21</v>
      </c>
      <c r="F968">
        <v>35</v>
      </c>
      <c r="G968">
        <v>2</v>
      </c>
      <c r="H968">
        <v>6</v>
      </c>
      <c r="I968">
        <f>Cocina[[#This Row],[Precio Unitario]]*Cocina[[#This Row],[Cantidad Ordenada]]</f>
        <v>70</v>
      </c>
      <c r="J968">
        <f>(Cocina[[#This Row],[Precio Unitario]]-Cocina[[#This Row],[Costo Unitario]])*Cocina[[#This Row],[Cantidad Ordenada]]</f>
        <v>28</v>
      </c>
      <c r="K968" s="4">
        <f>Cocina[[#This Row],[Ganancia neta]]/_xlfn.XLOOKUP(Cocina[[#This Row],[Número de Orden]],Sala[Número de Orden],Sala[Monto total],"fracaso",0,1)</f>
        <v>0.4</v>
      </c>
      <c r="L968" t="s">
        <v>607</v>
      </c>
    </row>
    <row r="969" spans="1:12" x14ac:dyDescent="0.25">
      <c r="A969">
        <v>380</v>
      </c>
      <c r="B969">
        <v>5</v>
      </c>
      <c r="C969" t="s">
        <v>261</v>
      </c>
      <c r="D969" t="s">
        <v>625</v>
      </c>
      <c r="E969">
        <v>20</v>
      </c>
      <c r="F969">
        <v>33</v>
      </c>
      <c r="G969">
        <v>3</v>
      </c>
      <c r="H969">
        <v>58</v>
      </c>
      <c r="I969">
        <f>Cocina[[#This Row],[Precio Unitario]]*Cocina[[#This Row],[Cantidad Ordenada]]</f>
        <v>99</v>
      </c>
      <c r="J969">
        <f>(Cocina[[#This Row],[Precio Unitario]]-Cocina[[#This Row],[Costo Unitario]])*Cocina[[#This Row],[Cantidad Ordenada]]</f>
        <v>39</v>
      </c>
      <c r="K969" s="4">
        <f>Cocina[[#This Row],[Ganancia neta]]/_xlfn.XLOOKUP(Cocina[[#This Row],[Número de Orden]],Sala[Número de Orden],Sala[Monto total],"fracaso",0,1)</f>
        <v>0.28467153284671531</v>
      </c>
      <c r="L969" t="s">
        <v>607</v>
      </c>
    </row>
    <row r="970" spans="1:12" x14ac:dyDescent="0.25">
      <c r="A970">
        <v>380</v>
      </c>
      <c r="B970">
        <v>5</v>
      </c>
      <c r="C970" t="s">
        <v>112</v>
      </c>
      <c r="D970" t="s">
        <v>627</v>
      </c>
      <c r="E970">
        <v>11</v>
      </c>
      <c r="F970">
        <v>19</v>
      </c>
      <c r="G970">
        <v>2</v>
      </c>
      <c r="H970">
        <v>35</v>
      </c>
      <c r="I970">
        <f>Cocina[[#This Row],[Precio Unitario]]*Cocina[[#This Row],[Cantidad Ordenada]]</f>
        <v>38</v>
      </c>
      <c r="J970">
        <f>(Cocina[[#This Row],[Precio Unitario]]-Cocina[[#This Row],[Costo Unitario]])*Cocina[[#This Row],[Cantidad Ordenada]]</f>
        <v>16</v>
      </c>
      <c r="K970" s="4">
        <f>Cocina[[#This Row],[Ganancia neta]]/_xlfn.XLOOKUP(Cocina[[#This Row],[Número de Orden]],Sala[Número de Orden],Sala[Monto total],"fracaso",0,1)</f>
        <v>0.11678832116788321</v>
      </c>
      <c r="L970" t="s">
        <v>607</v>
      </c>
    </row>
    <row r="971" spans="1:12" x14ac:dyDescent="0.25">
      <c r="A971">
        <v>381</v>
      </c>
      <c r="B971">
        <v>4</v>
      </c>
      <c r="C971" t="s">
        <v>155</v>
      </c>
      <c r="D971" t="s">
        <v>636</v>
      </c>
      <c r="E971">
        <v>15</v>
      </c>
      <c r="F971">
        <v>26</v>
      </c>
      <c r="G971">
        <v>3</v>
      </c>
      <c r="H971">
        <v>35</v>
      </c>
      <c r="I971">
        <f>Cocina[[#This Row],[Precio Unitario]]*Cocina[[#This Row],[Cantidad Ordenada]]</f>
        <v>78</v>
      </c>
      <c r="J971">
        <f>(Cocina[[#This Row],[Precio Unitario]]-Cocina[[#This Row],[Costo Unitario]])*Cocina[[#This Row],[Cantidad Ordenada]]</f>
        <v>33</v>
      </c>
      <c r="K971" s="4">
        <f>Cocina[[#This Row],[Ganancia neta]]/_xlfn.XLOOKUP(Cocina[[#This Row],[Número de Orden]],Sala[Número de Orden],Sala[Monto total],"fracaso",0,1)</f>
        <v>0.22916666666666666</v>
      </c>
      <c r="L971" t="s">
        <v>607</v>
      </c>
    </row>
    <row r="972" spans="1:12" x14ac:dyDescent="0.25">
      <c r="A972">
        <v>381</v>
      </c>
      <c r="B972">
        <v>4</v>
      </c>
      <c r="C972" t="s">
        <v>261</v>
      </c>
      <c r="D972" t="s">
        <v>625</v>
      </c>
      <c r="E972">
        <v>20</v>
      </c>
      <c r="F972">
        <v>33</v>
      </c>
      <c r="G972">
        <v>2</v>
      </c>
      <c r="H972">
        <v>12</v>
      </c>
      <c r="I972">
        <f>Cocina[[#This Row],[Precio Unitario]]*Cocina[[#This Row],[Cantidad Ordenada]]</f>
        <v>66</v>
      </c>
      <c r="J972">
        <f>(Cocina[[#This Row],[Precio Unitario]]-Cocina[[#This Row],[Costo Unitario]])*Cocina[[#This Row],[Cantidad Ordenada]]</f>
        <v>26</v>
      </c>
      <c r="K972" s="4">
        <f>Cocina[[#This Row],[Ganancia neta]]/_xlfn.XLOOKUP(Cocina[[#This Row],[Número de Orden]],Sala[Número de Orden],Sala[Monto total],"fracaso",0,1)</f>
        <v>0.18055555555555555</v>
      </c>
      <c r="L972" t="s">
        <v>607</v>
      </c>
    </row>
    <row r="973" spans="1:12" x14ac:dyDescent="0.25">
      <c r="A973">
        <v>382</v>
      </c>
      <c r="B973">
        <v>20</v>
      </c>
      <c r="C973" t="s">
        <v>38</v>
      </c>
      <c r="D973" t="s">
        <v>624</v>
      </c>
      <c r="E973">
        <v>17</v>
      </c>
      <c r="F973">
        <v>29</v>
      </c>
      <c r="G973">
        <v>3</v>
      </c>
      <c r="H973">
        <v>54</v>
      </c>
      <c r="I973">
        <f>Cocina[[#This Row],[Precio Unitario]]*Cocina[[#This Row],[Cantidad Ordenada]]</f>
        <v>87</v>
      </c>
      <c r="J973">
        <f>(Cocina[[#This Row],[Precio Unitario]]-Cocina[[#This Row],[Costo Unitario]])*Cocina[[#This Row],[Cantidad Ordenada]]</f>
        <v>36</v>
      </c>
      <c r="K973" s="4">
        <f>Cocina[[#This Row],[Ganancia neta]]/_xlfn.XLOOKUP(Cocina[[#This Row],[Número de Orden]],Sala[Número de Orden],Sala[Monto total],"fracaso",0,1)</f>
        <v>0.41379310344827586</v>
      </c>
      <c r="L973" t="s">
        <v>608</v>
      </c>
    </row>
    <row r="974" spans="1:12" x14ac:dyDescent="0.25">
      <c r="A974">
        <v>383</v>
      </c>
      <c r="B974">
        <v>6</v>
      </c>
      <c r="C974" t="s">
        <v>73</v>
      </c>
      <c r="D974" t="s">
        <v>623</v>
      </c>
      <c r="E974">
        <v>22</v>
      </c>
      <c r="F974">
        <v>36</v>
      </c>
      <c r="G974">
        <v>3</v>
      </c>
      <c r="H974">
        <v>9</v>
      </c>
      <c r="I974">
        <f>Cocina[[#This Row],[Precio Unitario]]*Cocina[[#This Row],[Cantidad Ordenada]]</f>
        <v>108</v>
      </c>
      <c r="J974">
        <f>(Cocina[[#This Row],[Precio Unitario]]-Cocina[[#This Row],[Costo Unitario]])*Cocina[[#This Row],[Cantidad Ordenada]]</f>
        <v>42</v>
      </c>
      <c r="K974" s="4">
        <f>Cocina[[#This Row],[Ganancia neta]]/_xlfn.XLOOKUP(Cocina[[#This Row],[Número de Orden]],Sala[Número de Orden],Sala[Monto total],"fracaso",0,1)</f>
        <v>0.3888888888888889</v>
      </c>
      <c r="L974" t="s">
        <v>608</v>
      </c>
    </row>
    <row r="975" spans="1:12" x14ac:dyDescent="0.25">
      <c r="A975">
        <v>384</v>
      </c>
      <c r="B975">
        <v>1</v>
      </c>
      <c r="C975" t="s">
        <v>79</v>
      </c>
      <c r="D975" t="s">
        <v>635</v>
      </c>
      <c r="E975">
        <v>10</v>
      </c>
      <c r="F975">
        <v>18</v>
      </c>
      <c r="G975">
        <v>2</v>
      </c>
      <c r="H975">
        <v>26</v>
      </c>
      <c r="I975">
        <f>Cocina[[#This Row],[Precio Unitario]]*Cocina[[#This Row],[Cantidad Ordenada]]</f>
        <v>36</v>
      </c>
      <c r="J975">
        <f>(Cocina[[#This Row],[Precio Unitario]]-Cocina[[#This Row],[Costo Unitario]])*Cocina[[#This Row],[Cantidad Ordenada]]</f>
        <v>16</v>
      </c>
      <c r="K975" s="4">
        <f>Cocina[[#This Row],[Ganancia neta]]/_xlfn.XLOOKUP(Cocina[[#This Row],[Número de Orden]],Sala[Número de Orden],Sala[Monto total],"fracaso",0,1)</f>
        <v>0.13333333333333333</v>
      </c>
      <c r="L975" t="s">
        <v>607</v>
      </c>
    </row>
    <row r="976" spans="1:12" x14ac:dyDescent="0.25">
      <c r="A976">
        <v>384</v>
      </c>
      <c r="B976">
        <v>1</v>
      </c>
      <c r="C976" t="s">
        <v>112</v>
      </c>
      <c r="D976" t="s">
        <v>627</v>
      </c>
      <c r="E976">
        <v>11</v>
      </c>
      <c r="F976">
        <v>19</v>
      </c>
      <c r="G976">
        <v>3</v>
      </c>
      <c r="H976">
        <v>35</v>
      </c>
      <c r="I976">
        <f>Cocina[[#This Row],[Precio Unitario]]*Cocina[[#This Row],[Cantidad Ordenada]]</f>
        <v>57</v>
      </c>
      <c r="J976">
        <f>(Cocina[[#This Row],[Precio Unitario]]-Cocina[[#This Row],[Costo Unitario]])*Cocina[[#This Row],[Cantidad Ordenada]]</f>
        <v>24</v>
      </c>
      <c r="K976" s="4">
        <f>Cocina[[#This Row],[Ganancia neta]]/_xlfn.XLOOKUP(Cocina[[#This Row],[Número de Orden]],Sala[Número de Orden],Sala[Monto total],"fracaso",0,1)</f>
        <v>0.2</v>
      </c>
      <c r="L976" t="s">
        <v>608</v>
      </c>
    </row>
    <row r="977" spans="1:12" x14ac:dyDescent="0.25">
      <c r="A977">
        <v>384</v>
      </c>
      <c r="B977">
        <v>1</v>
      </c>
      <c r="C977" t="s">
        <v>106</v>
      </c>
      <c r="D977" t="s">
        <v>621</v>
      </c>
      <c r="E977">
        <v>16</v>
      </c>
      <c r="F977">
        <v>27</v>
      </c>
      <c r="G977">
        <v>1</v>
      </c>
      <c r="H977">
        <v>49</v>
      </c>
      <c r="I977">
        <f>Cocina[[#This Row],[Precio Unitario]]*Cocina[[#This Row],[Cantidad Ordenada]]</f>
        <v>27</v>
      </c>
      <c r="J977">
        <f>(Cocina[[#This Row],[Precio Unitario]]-Cocina[[#This Row],[Costo Unitario]])*Cocina[[#This Row],[Cantidad Ordenada]]</f>
        <v>11</v>
      </c>
      <c r="K977" s="4">
        <f>Cocina[[#This Row],[Ganancia neta]]/_xlfn.XLOOKUP(Cocina[[#This Row],[Número de Orden]],Sala[Número de Orden],Sala[Monto total],"fracaso",0,1)</f>
        <v>9.166666666666666E-2</v>
      </c>
      <c r="L977" t="s">
        <v>608</v>
      </c>
    </row>
    <row r="978" spans="1:12" x14ac:dyDescent="0.25">
      <c r="A978">
        <v>385</v>
      </c>
      <c r="B978">
        <v>6</v>
      </c>
      <c r="C978" t="s">
        <v>68</v>
      </c>
      <c r="D978" t="s">
        <v>619</v>
      </c>
      <c r="E978">
        <v>18</v>
      </c>
      <c r="F978">
        <v>30</v>
      </c>
      <c r="G978">
        <v>2</v>
      </c>
      <c r="H978">
        <v>22</v>
      </c>
      <c r="I978">
        <f>Cocina[[#This Row],[Precio Unitario]]*Cocina[[#This Row],[Cantidad Ordenada]]</f>
        <v>60</v>
      </c>
      <c r="J978">
        <f>(Cocina[[#This Row],[Precio Unitario]]-Cocina[[#This Row],[Costo Unitario]])*Cocina[[#This Row],[Cantidad Ordenada]]</f>
        <v>24</v>
      </c>
      <c r="K978" s="4">
        <f>Cocina[[#This Row],[Ganancia neta]]/_xlfn.XLOOKUP(Cocina[[#This Row],[Número de Orden]],Sala[Número de Orden],Sala[Monto total],"fracaso",0,1)</f>
        <v>0.4</v>
      </c>
      <c r="L978" t="s">
        <v>607</v>
      </c>
    </row>
    <row r="979" spans="1:12" x14ac:dyDescent="0.25">
      <c r="A979">
        <v>386</v>
      </c>
      <c r="B979">
        <v>5</v>
      </c>
      <c r="C979" t="s">
        <v>261</v>
      </c>
      <c r="D979" t="s">
        <v>625</v>
      </c>
      <c r="E979">
        <v>20</v>
      </c>
      <c r="F979">
        <v>33</v>
      </c>
      <c r="G979">
        <v>3</v>
      </c>
      <c r="H979">
        <v>40</v>
      </c>
      <c r="I979">
        <f>Cocina[[#This Row],[Precio Unitario]]*Cocina[[#This Row],[Cantidad Ordenada]]</f>
        <v>99</v>
      </c>
      <c r="J979">
        <f>(Cocina[[#This Row],[Precio Unitario]]-Cocina[[#This Row],[Costo Unitario]])*Cocina[[#This Row],[Cantidad Ordenada]]</f>
        <v>39</v>
      </c>
      <c r="K979" s="4">
        <f>Cocina[[#This Row],[Ganancia neta]]/_xlfn.XLOOKUP(Cocina[[#This Row],[Número de Orden]],Sala[Número de Orden],Sala[Monto total],"fracaso",0,1)</f>
        <v>0.39393939393939392</v>
      </c>
      <c r="L979" t="s">
        <v>608</v>
      </c>
    </row>
    <row r="980" spans="1:12" x14ac:dyDescent="0.25">
      <c r="A980">
        <v>387</v>
      </c>
      <c r="B980">
        <v>6</v>
      </c>
      <c r="C980" t="s">
        <v>116</v>
      </c>
      <c r="D980" t="s">
        <v>620</v>
      </c>
      <c r="E980">
        <v>19</v>
      </c>
      <c r="F980">
        <v>31</v>
      </c>
      <c r="G980">
        <v>3</v>
      </c>
      <c r="H980">
        <v>18</v>
      </c>
      <c r="I980">
        <f>Cocina[[#This Row],[Precio Unitario]]*Cocina[[#This Row],[Cantidad Ordenada]]</f>
        <v>93</v>
      </c>
      <c r="J980">
        <f>(Cocina[[#This Row],[Precio Unitario]]-Cocina[[#This Row],[Costo Unitario]])*Cocina[[#This Row],[Cantidad Ordenada]]</f>
        <v>36</v>
      </c>
      <c r="K980" s="4">
        <f>Cocina[[#This Row],[Ganancia neta]]/_xlfn.XLOOKUP(Cocina[[#This Row],[Número de Orden]],Sala[Número de Orden],Sala[Monto total],"fracaso",0,1)</f>
        <v>0.38709677419354838</v>
      </c>
      <c r="L980" t="s">
        <v>608</v>
      </c>
    </row>
    <row r="981" spans="1:12" x14ac:dyDescent="0.25">
      <c r="A981">
        <v>388</v>
      </c>
      <c r="B981">
        <v>18</v>
      </c>
      <c r="C981" t="s">
        <v>116</v>
      </c>
      <c r="D981" t="s">
        <v>620</v>
      </c>
      <c r="E981">
        <v>19</v>
      </c>
      <c r="F981">
        <v>31</v>
      </c>
      <c r="G981">
        <v>2</v>
      </c>
      <c r="H981">
        <v>52</v>
      </c>
      <c r="I981">
        <f>Cocina[[#This Row],[Precio Unitario]]*Cocina[[#This Row],[Cantidad Ordenada]]</f>
        <v>62</v>
      </c>
      <c r="J981">
        <f>(Cocina[[#This Row],[Precio Unitario]]-Cocina[[#This Row],[Costo Unitario]])*Cocina[[#This Row],[Cantidad Ordenada]]</f>
        <v>24</v>
      </c>
      <c r="K981" s="4">
        <f>Cocina[[#This Row],[Ganancia neta]]/_xlfn.XLOOKUP(Cocina[[#This Row],[Número de Orden]],Sala[Número de Orden],Sala[Monto total],"fracaso",0,1)</f>
        <v>8.247422680412371E-2</v>
      </c>
      <c r="L981" t="s">
        <v>608</v>
      </c>
    </row>
    <row r="982" spans="1:12" x14ac:dyDescent="0.25">
      <c r="A982">
        <v>388</v>
      </c>
      <c r="B982">
        <v>18</v>
      </c>
      <c r="C982" t="s">
        <v>73</v>
      </c>
      <c r="D982" t="s">
        <v>623</v>
      </c>
      <c r="E982">
        <v>22</v>
      </c>
      <c r="F982">
        <v>36</v>
      </c>
      <c r="G982">
        <v>2</v>
      </c>
      <c r="H982">
        <v>37</v>
      </c>
      <c r="I982">
        <f>Cocina[[#This Row],[Precio Unitario]]*Cocina[[#This Row],[Cantidad Ordenada]]</f>
        <v>72</v>
      </c>
      <c r="J982">
        <f>(Cocina[[#This Row],[Precio Unitario]]-Cocina[[#This Row],[Costo Unitario]])*Cocina[[#This Row],[Cantidad Ordenada]]</f>
        <v>28</v>
      </c>
      <c r="K982" s="4">
        <f>Cocina[[#This Row],[Ganancia neta]]/_xlfn.XLOOKUP(Cocina[[#This Row],[Número de Orden]],Sala[Número de Orden],Sala[Monto total],"fracaso",0,1)</f>
        <v>9.6219931271477668E-2</v>
      </c>
      <c r="L982" t="s">
        <v>607</v>
      </c>
    </row>
    <row r="983" spans="1:12" x14ac:dyDescent="0.25">
      <c r="A983">
        <v>388</v>
      </c>
      <c r="B983">
        <v>18</v>
      </c>
      <c r="C983" t="s">
        <v>38</v>
      </c>
      <c r="D983" t="s">
        <v>624</v>
      </c>
      <c r="E983">
        <v>17</v>
      </c>
      <c r="F983">
        <v>29</v>
      </c>
      <c r="G983">
        <v>2</v>
      </c>
      <c r="H983">
        <v>31</v>
      </c>
      <c r="I983">
        <f>Cocina[[#This Row],[Precio Unitario]]*Cocina[[#This Row],[Cantidad Ordenada]]</f>
        <v>58</v>
      </c>
      <c r="J983">
        <f>(Cocina[[#This Row],[Precio Unitario]]-Cocina[[#This Row],[Costo Unitario]])*Cocina[[#This Row],[Cantidad Ordenada]]</f>
        <v>24</v>
      </c>
      <c r="K983" s="4">
        <f>Cocina[[#This Row],[Ganancia neta]]/_xlfn.XLOOKUP(Cocina[[#This Row],[Número de Orden]],Sala[Número de Orden],Sala[Monto total],"fracaso",0,1)</f>
        <v>8.247422680412371E-2</v>
      </c>
      <c r="L983" t="s">
        <v>608</v>
      </c>
    </row>
    <row r="984" spans="1:12" x14ac:dyDescent="0.25">
      <c r="A984">
        <v>388</v>
      </c>
      <c r="B984">
        <v>18</v>
      </c>
      <c r="C984" t="s">
        <v>261</v>
      </c>
      <c r="D984" t="s">
        <v>625</v>
      </c>
      <c r="E984">
        <v>20</v>
      </c>
      <c r="F984">
        <v>33</v>
      </c>
      <c r="G984">
        <v>3</v>
      </c>
      <c r="H984">
        <v>51</v>
      </c>
      <c r="I984">
        <f>Cocina[[#This Row],[Precio Unitario]]*Cocina[[#This Row],[Cantidad Ordenada]]</f>
        <v>99</v>
      </c>
      <c r="J984">
        <f>(Cocina[[#This Row],[Precio Unitario]]-Cocina[[#This Row],[Costo Unitario]])*Cocina[[#This Row],[Cantidad Ordenada]]</f>
        <v>39</v>
      </c>
      <c r="K984" s="4">
        <f>Cocina[[#This Row],[Ganancia neta]]/_xlfn.XLOOKUP(Cocina[[#This Row],[Número de Orden]],Sala[Número de Orden],Sala[Monto total],"fracaso",0,1)</f>
        <v>0.13402061855670103</v>
      </c>
      <c r="L984" t="s">
        <v>608</v>
      </c>
    </row>
    <row r="985" spans="1:12" x14ac:dyDescent="0.25">
      <c r="A985">
        <v>389</v>
      </c>
      <c r="B985">
        <v>19</v>
      </c>
      <c r="C985" t="s">
        <v>261</v>
      </c>
      <c r="D985" t="s">
        <v>625</v>
      </c>
      <c r="E985">
        <v>20</v>
      </c>
      <c r="F985">
        <v>33</v>
      </c>
      <c r="G985">
        <v>1</v>
      </c>
      <c r="H985">
        <v>24</v>
      </c>
      <c r="I985">
        <f>Cocina[[#This Row],[Precio Unitario]]*Cocina[[#This Row],[Cantidad Ordenada]]</f>
        <v>33</v>
      </c>
      <c r="J985">
        <f>(Cocina[[#This Row],[Precio Unitario]]-Cocina[[#This Row],[Costo Unitario]])*Cocina[[#This Row],[Cantidad Ordenada]]</f>
        <v>13</v>
      </c>
      <c r="K985" s="4">
        <f>Cocina[[#This Row],[Ganancia neta]]/_xlfn.XLOOKUP(Cocina[[#This Row],[Número de Orden]],Sala[Número de Orden],Sala[Monto total],"fracaso",0,1)</f>
        <v>0.39393939393939392</v>
      </c>
      <c r="L985" t="s">
        <v>607</v>
      </c>
    </row>
    <row r="986" spans="1:12" x14ac:dyDescent="0.25">
      <c r="A986">
        <v>390</v>
      </c>
      <c r="B986">
        <v>9</v>
      </c>
      <c r="C986" t="s">
        <v>203</v>
      </c>
      <c r="D986" t="s">
        <v>630</v>
      </c>
      <c r="E986">
        <v>13</v>
      </c>
      <c r="F986">
        <v>22</v>
      </c>
      <c r="G986">
        <v>2</v>
      </c>
      <c r="H986">
        <v>52</v>
      </c>
      <c r="I986">
        <f>Cocina[[#This Row],[Precio Unitario]]*Cocina[[#This Row],[Cantidad Ordenada]]</f>
        <v>44</v>
      </c>
      <c r="J986">
        <f>(Cocina[[#This Row],[Precio Unitario]]-Cocina[[#This Row],[Costo Unitario]])*Cocina[[#This Row],[Cantidad Ordenada]]</f>
        <v>18</v>
      </c>
      <c r="K986" s="4">
        <f>Cocina[[#This Row],[Ganancia neta]]/_xlfn.XLOOKUP(Cocina[[#This Row],[Número de Orden]],Sala[Número de Orden],Sala[Monto total],"fracaso",0,1)</f>
        <v>0.12587412587412589</v>
      </c>
      <c r="L986" t="s">
        <v>608</v>
      </c>
    </row>
    <row r="987" spans="1:12" x14ac:dyDescent="0.25">
      <c r="A987">
        <v>390</v>
      </c>
      <c r="B987">
        <v>9</v>
      </c>
      <c r="C987" t="s">
        <v>155</v>
      </c>
      <c r="D987" t="s">
        <v>636</v>
      </c>
      <c r="E987">
        <v>15</v>
      </c>
      <c r="F987">
        <v>26</v>
      </c>
      <c r="G987">
        <v>3</v>
      </c>
      <c r="H987">
        <v>13</v>
      </c>
      <c r="I987">
        <f>Cocina[[#This Row],[Precio Unitario]]*Cocina[[#This Row],[Cantidad Ordenada]]</f>
        <v>78</v>
      </c>
      <c r="J987">
        <f>(Cocina[[#This Row],[Precio Unitario]]-Cocina[[#This Row],[Costo Unitario]])*Cocina[[#This Row],[Cantidad Ordenada]]</f>
        <v>33</v>
      </c>
      <c r="K987" s="4">
        <f>Cocina[[#This Row],[Ganancia neta]]/_xlfn.XLOOKUP(Cocina[[#This Row],[Número de Orden]],Sala[Número de Orden],Sala[Monto total],"fracaso",0,1)</f>
        <v>0.23076923076923078</v>
      </c>
      <c r="L987" t="s">
        <v>608</v>
      </c>
    </row>
    <row r="988" spans="1:12" x14ac:dyDescent="0.25">
      <c r="A988">
        <v>390</v>
      </c>
      <c r="B988">
        <v>9</v>
      </c>
      <c r="C988" t="s">
        <v>70</v>
      </c>
      <c r="D988" t="s">
        <v>634</v>
      </c>
      <c r="E988">
        <v>13</v>
      </c>
      <c r="F988">
        <v>21</v>
      </c>
      <c r="G988">
        <v>1</v>
      </c>
      <c r="H988">
        <v>28</v>
      </c>
      <c r="I988">
        <f>Cocina[[#This Row],[Precio Unitario]]*Cocina[[#This Row],[Cantidad Ordenada]]</f>
        <v>21</v>
      </c>
      <c r="J988">
        <f>(Cocina[[#This Row],[Precio Unitario]]-Cocina[[#This Row],[Costo Unitario]])*Cocina[[#This Row],[Cantidad Ordenada]]</f>
        <v>8</v>
      </c>
      <c r="K988" s="4">
        <f>Cocina[[#This Row],[Ganancia neta]]/_xlfn.XLOOKUP(Cocina[[#This Row],[Número de Orden]],Sala[Número de Orden],Sala[Monto total],"fracaso",0,1)</f>
        <v>5.5944055944055944E-2</v>
      </c>
      <c r="L988" t="s">
        <v>608</v>
      </c>
    </row>
    <row r="989" spans="1:12" x14ac:dyDescent="0.25">
      <c r="A989">
        <v>391</v>
      </c>
      <c r="B989">
        <v>15</v>
      </c>
      <c r="C989" t="s">
        <v>203</v>
      </c>
      <c r="D989" t="s">
        <v>630</v>
      </c>
      <c r="E989">
        <v>13</v>
      </c>
      <c r="F989">
        <v>22</v>
      </c>
      <c r="G989">
        <v>1</v>
      </c>
      <c r="H989">
        <v>35</v>
      </c>
      <c r="I989">
        <f>Cocina[[#This Row],[Precio Unitario]]*Cocina[[#This Row],[Cantidad Ordenada]]</f>
        <v>22</v>
      </c>
      <c r="J989">
        <f>(Cocina[[#This Row],[Precio Unitario]]-Cocina[[#This Row],[Costo Unitario]])*Cocina[[#This Row],[Cantidad Ordenada]]</f>
        <v>9</v>
      </c>
      <c r="K989" s="4">
        <f>Cocina[[#This Row],[Ganancia neta]]/_xlfn.XLOOKUP(Cocina[[#This Row],[Número de Orden]],Sala[Número de Orden],Sala[Monto total],"fracaso",0,1)</f>
        <v>0.40909090909090912</v>
      </c>
      <c r="L989" t="s">
        <v>607</v>
      </c>
    </row>
    <row r="990" spans="1:12" x14ac:dyDescent="0.25">
      <c r="A990">
        <v>392</v>
      </c>
      <c r="B990">
        <v>14</v>
      </c>
      <c r="C990" t="s">
        <v>247</v>
      </c>
      <c r="D990" t="s">
        <v>629</v>
      </c>
      <c r="E990">
        <v>19</v>
      </c>
      <c r="F990">
        <v>32</v>
      </c>
      <c r="G990">
        <v>3</v>
      </c>
      <c r="H990">
        <v>17</v>
      </c>
      <c r="I990">
        <f>Cocina[[#This Row],[Precio Unitario]]*Cocina[[#This Row],[Cantidad Ordenada]]</f>
        <v>96</v>
      </c>
      <c r="J990">
        <f>(Cocina[[#This Row],[Precio Unitario]]-Cocina[[#This Row],[Costo Unitario]])*Cocina[[#This Row],[Cantidad Ordenada]]</f>
        <v>39</v>
      </c>
      <c r="K990" s="4">
        <f>Cocina[[#This Row],[Ganancia neta]]/_xlfn.XLOOKUP(Cocina[[#This Row],[Número de Orden]],Sala[Número de Orden],Sala[Monto total],"fracaso",0,1)</f>
        <v>0.32500000000000001</v>
      </c>
      <c r="L990" t="s">
        <v>607</v>
      </c>
    </row>
    <row r="991" spans="1:12" x14ac:dyDescent="0.25">
      <c r="A991">
        <v>392</v>
      </c>
      <c r="B991">
        <v>14</v>
      </c>
      <c r="C991" t="s">
        <v>158</v>
      </c>
      <c r="D991" t="s">
        <v>617</v>
      </c>
      <c r="E991">
        <v>14</v>
      </c>
      <c r="F991">
        <v>24</v>
      </c>
      <c r="G991">
        <v>1</v>
      </c>
      <c r="H991">
        <v>37</v>
      </c>
      <c r="I991">
        <f>Cocina[[#This Row],[Precio Unitario]]*Cocina[[#This Row],[Cantidad Ordenada]]</f>
        <v>24</v>
      </c>
      <c r="J991">
        <f>(Cocina[[#This Row],[Precio Unitario]]-Cocina[[#This Row],[Costo Unitario]])*Cocina[[#This Row],[Cantidad Ordenada]]</f>
        <v>10</v>
      </c>
      <c r="K991" s="4">
        <f>Cocina[[#This Row],[Ganancia neta]]/_xlfn.XLOOKUP(Cocina[[#This Row],[Número de Orden]],Sala[Número de Orden],Sala[Monto total],"fracaso",0,1)</f>
        <v>8.3333333333333329E-2</v>
      </c>
      <c r="L991" t="s">
        <v>608</v>
      </c>
    </row>
    <row r="992" spans="1:12" x14ac:dyDescent="0.25">
      <c r="A992">
        <v>393</v>
      </c>
      <c r="B992">
        <v>13</v>
      </c>
      <c r="C992" t="s">
        <v>112</v>
      </c>
      <c r="D992" t="s">
        <v>627</v>
      </c>
      <c r="E992">
        <v>11</v>
      </c>
      <c r="F992">
        <v>19</v>
      </c>
      <c r="G992">
        <v>2</v>
      </c>
      <c r="H992">
        <v>40</v>
      </c>
      <c r="I992">
        <f>Cocina[[#This Row],[Precio Unitario]]*Cocina[[#This Row],[Cantidad Ordenada]]</f>
        <v>38</v>
      </c>
      <c r="J992">
        <f>(Cocina[[#This Row],[Precio Unitario]]-Cocina[[#This Row],[Costo Unitario]])*Cocina[[#This Row],[Cantidad Ordenada]]</f>
        <v>16</v>
      </c>
      <c r="K992" s="4">
        <f>Cocina[[#This Row],[Ganancia neta]]/_xlfn.XLOOKUP(Cocina[[#This Row],[Número de Orden]],Sala[Número de Orden],Sala[Monto total],"fracaso",0,1)</f>
        <v>7.6923076923076927E-2</v>
      </c>
      <c r="L992" t="s">
        <v>607</v>
      </c>
    </row>
    <row r="993" spans="1:12" x14ac:dyDescent="0.25">
      <c r="A993">
        <v>393</v>
      </c>
      <c r="B993">
        <v>13</v>
      </c>
      <c r="C993" t="s">
        <v>26</v>
      </c>
      <c r="D993" t="s">
        <v>628</v>
      </c>
      <c r="E993">
        <v>21</v>
      </c>
      <c r="F993">
        <v>35</v>
      </c>
      <c r="G993">
        <v>3</v>
      </c>
      <c r="H993">
        <v>23</v>
      </c>
      <c r="I993">
        <f>Cocina[[#This Row],[Precio Unitario]]*Cocina[[#This Row],[Cantidad Ordenada]]</f>
        <v>105</v>
      </c>
      <c r="J993">
        <f>(Cocina[[#This Row],[Precio Unitario]]-Cocina[[#This Row],[Costo Unitario]])*Cocina[[#This Row],[Cantidad Ordenada]]</f>
        <v>42</v>
      </c>
      <c r="K993" s="4">
        <f>Cocina[[#This Row],[Ganancia neta]]/_xlfn.XLOOKUP(Cocina[[#This Row],[Número de Orden]],Sala[Número de Orden],Sala[Monto total],"fracaso",0,1)</f>
        <v>0.20192307692307693</v>
      </c>
      <c r="L993" t="s">
        <v>607</v>
      </c>
    </row>
    <row r="994" spans="1:12" x14ac:dyDescent="0.25">
      <c r="A994">
        <v>393</v>
      </c>
      <c r="B994">
        <v>13</v>
      </c>
      <c r="C994" t="s">
        <v>70</v>
      </c>
      <c r="D994" t="s">
        <v>634</v>
      </c>
      <c r="E994">
        <v>13</v>
      </c>
      <c r="F994">
        <v>21</v>
      </c>
      <c r="G994">
        <v>1</v>
      </c>
      <c r="H994">
        <v>20</v>
      </c>
      <c r="I994">
        <f>Cocina[[#This Row],[Precio Unitario]]*Cocina[[#This Row],[Cantidad Ordenada]]</f>
        <v>21</v>
      </c>
      <c r="J994">
        <f>(Cocina[[#This Row],[Precio Unitario]]-Cocina[[#This Row],[Costo Unitario]])*Cocina[[#This Row],[Cantidad Ordenada]]</f>
        <v>8</v>
      </c>
      <c r="K994" s="4">
        <f>Cocina[[#This Row],[Ganancia neta]]/_xlfn.XLOOKUP(Cocina[[#This Row],[Número de Orden]],Sala[Número de Orden],Sala[Monto total],"fracaso",0,1)</f>
        <v>3.8461538461538464E-2</v>
      </c>
      <c r="L994" t="s">
        <v>608</v>
      </c>
    </row>
    <row r="995" spans="1:12" x14ac:dyDescent="0.25">
      <c r="A995">
        <v>393</v>
      </c>
      <c r="B995">
        <v>13</v>
      </c>
      <c r="C995" t="s">
        <v>203</v>
      </c>
      <c r="D995" t="s">
        <v>630</v>
      </c>
      <c r="E995">
        <v>13</v>
      </c>
      <c r="F995">
        <v>22</v>
      </c>
      <c r="G995">
        <v>2</v>
      </c>
      <c r="H995">
        <v>26</v>
      </c>
      <c r="I995">
        <f>Cocina[[#This Row],[Precio Unitario]]*Cocina[[#This Row],[Cantidad Ordenada]]</f>
        <v>44</v>
      </c>
      <c r="J995">
        <f>(Cocina[[#This Row],[Precio Unitario]]-Cocina[[#This Row],[Costo Unitario]])*Cocina[[#This Row],[Cantidad Ordenada]]</f>
        <v>18</v>
      </c>
      <c r="K995" s="4">
        <f>Cocina[[#This Row],[Ganancia neta]]/_xlfn.XLOOKUP(Cocina[[#This Row],[Número de Orden]],Sala[Número de Orden],Sala[Monto total],"fracaso",0,1)</f>
        <v>8.6538461538461536E-2</v>
      </c>
      <c r="L995" t="s">
        <v>608</v>
      </c>
    </row>
    <row r="996" spans="1:12" x14ac:dyDescent="0.25">
      <c r="A996">
        <v>394</v>
      </c>
      <c r="B996">
        <v>17</v>
      </c>
      <c r="C996" t="s">
        <v>158</v>
      </c>
      <c r="D996" t="s">
        <v>617</v>
      </c>
      <c r="E996">
        <v>14</v>
      </c>
      <c r="F996">
        <v>24</v>
      </c>
      <c r="G996">
        <v>2</v>
      </c>
      <c r="H996">
        <v>5</v>
      </c>
      <c r="I996">
        <f>Cocina[[#This Row],[Precio Unitario]]*Cocina[[#This Row],[Cantidad Ordenada]]</f>
        <v>48</v>
      </c>
      <c r="J996">
        <f>(Cocina[[#This Row],[Precio Unitario]]-Cocina[[#This Row],[Costo Unitario]])*Cocina[[#This Row],[Cantidad Ordenada]]</f>
        <v>20</v>
      </c>
      <c r="K996" s="4">
        <f>Cocina[[#This Row],[Ganancia neta]]/_xlfn.XLOOKUP(Cocina[[#This Row],[Número de Orden]],Sala[Número de Orden],Sala[Monto total],"fracaso",0,1)</f>
        <v>0.25974025974025972</v>
      </c>
      <c r="L996" t="s">
        <v>607</v>
      </c>
    </row>
    <row r="997" spans="1:12" x14ac:dyDescent="0.25">
      <c r="A997">
        <v>394</v>
      </c>
      <c r="B997">
        <v>17</v>
      </c>
      <c r="C997" t="s">
        <v>38</v>
      </c>
      <c r="D997" t="s">
        <v>624</v>
      </c>
      <c r="E997">
        <v>17</v>
      </c>
      <c r="F997">
        <v>29</v>
      </c>
      <c r="G997">
        <v>1</v>
      </c>
      <c r="H997">
        <v>42</v>
      </c>
      <c r="I997">
        <f>Cocina[[#This Row],[Precio Unitario]]*Cocina[[#This Row],[Cantidad Ordenada]]</f>
        <v>29</v>
      </c>
      <c r="J997">
        <f>(Cocina[[#This Row],[Precio Unitario]]-Cocina[[#This Row],[Costo Unitario]])*Cocina[[#This Row],[Cantidad Ordenada]]</f>
        <v>12</v>
      </c>
      <c r="K997" s="4">
        <f>Cocina[[#This Row],[Ganancia neta]]/_xlfn.XLOOKUP(Cocina[[#This Row],[Número de Orden]],Sala[Número de Orden],Sala[Monto total],"fracaso",0,1)</f>
        <v>0.15584415584415584</v>
      </c>
      <c r="L997" t="s">
        <v>608</v>
      </c>
    </row>
    <row r="998" spans="1:12" x14ac:dyDescent="0.25">
      <c r="A998">
        <v>395</v>
      </c>
      <c r="B998">
        <v>2</v>
      </c>
      <c r="C998" t="s">
        <v>112</v>
      </c>
      <c r="D998" t="s">
        <v>627</v>
      </c>
      <c r="E998">
        <v>11</v>
      </c>
      <c r="F998">
        <v>19</v>
      </c>
      <c r="G998">
        <v>2</v>
      </c>
      <c r="H998">
        <v>8</v>
      </c>
      <c r="I998">
        <f>Cocina[[#This Row],[Precio Unitario]]*Cocina[[#This Row],[Cantidad Ordenada]]</f>
        <v>38</v>
      </c>
      <c r="J998">
        <f>(Cocina[[#This Row],[Precio Unitario]]-Cocina[[#This Row],[Costo Unitario]])*Cocina[[#This Row],[Cantidad Ordenada]]</f>
        <v>16</v>
      </c>
      <c r="K998" s="4">
        <f>Cocina[[#This Row],[Ganancia neta]]/_xlfn.XLOOKUP(Cocina[[#This Row],[Número de Orden]],Sala[Número de Orden],Sala[Monto total],"fracaso",0,1)</f>
        <v>0.42105263157894735</v>
      </c>
      <c r="L998" t="s">
        <v>607</v>
      </c>
    </row>
    <row r="999" spans="1:12" x14ac:dyDescent="0.25">
      <c r="A999">
        <v>396</v>
      </c>
      <c r="B999">
        <v>11</v>
      </c>
      <c r="C999" t="s">
        <v>146</v>
      </c>
      <c r="D999" t="s">
        <v>632</v>
      </c>
      <c r="E999">
        <v>12</v>
      </c>
      <c r="F999">
        <v>20</v>
      </c>
      <c r="G999">
        <v>1</v>
      </c>
      <c r="H999">
        <v>31</v>
      </c>
      <c r="I999">
        <f>Cocina[[#This Row],[Precio Unitario]]*Cocina[[#This Row],[Cantidad Ordenada]]</f>
        <v>20</v>
      </c>
      <c r="J999">
        <f>(Cocina[[#This Row],[Precio Unitario]]-Cocina[[#This Row],[Costo Unitario]])*Cocina[[#This Row],[Cantidad Ordenada]]</f>
        <v>8</v>
      </c>
      <c r="K999" s="4">
        <f>Cocina[[#This Row],[Ganancia neta]]/_xlfn.XLOOKUP(Cocina[[#This Row],[Número de Orden]],Sala[Número de Orden],Sala[Monto total],"fracaso",0,1)</f>
        <v>9.6385542168674704E-2</v>
      </c>
      <c r="L999" t="s">
        <v>608</v>
      </c>
    </row>
    <row r="1000" spans="1:12" x14ac:dyDescent="0.25">
      <c r="A1000">
        <v>396</v>
      </c>
      <c r="B1000">
        <v>11</v>
      </c>
      <c r="C1000" t="s">
        <v>70</v>
      </c>
      <c r="D1000" t="s">
        <v>634</v>
      </c>
      <c r="E1000">
        <v>13</v>
      </c>
      <c r="F1000">
        <v>21</v>
      </c>
      <c r="G1000">
        <v>3</v>
      </c>
      <c r="H1000">
        <v>26</v>
      </c>
      <c r="I1000">
        <f>Cocina[[#This Row],[Precio Unitario]]*Cocina[[#This Row],[Cantidad Ordenada]]</f>
        <v>63</v>
      </c>
      <c r="J1000">
        <f>(Cocina[[#This Row],[Precio Unitario]]-Cocina[[#This Row],[Costo Unitario]])*Cocina[[#This Row],[Cantidad Ordenada]]</f>
        <v>24</v>
      </c>
      <c r="K1000" s="4">
        <f>Cocina[[#This Row],[Ganancia neta]]/_xlfn.XLOOKUP(Cocina[[#This Row],[Número de Orden]],Sala[Número de Orden],Sala[Monto total],"fracaso",0,1)</f>
        <v>0.28915662650602408</v>
      </c>
      <c r="L1000" t="s">
        <v>608</v>
      </c>
    </row>
    <row r="1001" spans="1:12" x14ac:dyDescent="0.25">
      <c r="A1001">
        <v>397</v>
      </c>
      <c r="B1001">
        <v>4</v>
      </c>
      <c r="C1001" t="s">
        <v>106</v>
      </c>
      <c r="D1001" t="s">
        <v>621</v>
      </c>
      <c r="E1001">
        <v>16</v>
      </c>
      <c r="F1001">
        <v>27</v>
      </c>
      <c r="G1001">
        <v>2</v>
      </c>
      <c r="H1001">
        <v>10</v>
      </c>
      <c r="I1001">
        <f>Cocina[[#This Row],[Precio Unitario]]*Cocina[[#This Row],[Cantidad Ordenada]]</f>
        <v>54</v>
      </c>
      <c r="J1001">
        <f>(Cocina[[#This Row],[Precio Unitario]]-Cocina[[#This Row],[Costo Unitario]])*Cocina[[#This Row],[Cantidad Ordenada]]</f>
        <v>22</v>
      </c>
      <c r="K1001" s="4">
        <f>Cocina[[#This Row],[Ganancia neta]]/_xlfn.XLOOKUP(Cocina[[#This Row],[Número de Orden]],Sala[Número de Orden],Sala[Monto total],"fracaso",0,1)</f>
        <v>0.14965986394557823</v>
      </c>
      <c r="L1001" t="s">
        <v>608</v>
      </c>
    </row>
    <row r="1002" spans="1:12" x14ac:dyDescent="0.25">
      <c r="A1002">
        <v>397</v>
      </c>
      <c r="B1002">
        <v>4</v>
      </c>
      <c r="C1002" t="s">
        <v>116</v>
      </c>
      <c r="D1002" t="s">
        <v>620</v>
      </c>
      <c r="E1002">
        <v>19</v>
      </c>
      <c r="F1002">
        <v>31</v>
      </c>
      <c r="G1002">
        <v>3</v>
      </c>
      <c r="H1002">
        <v>59</v>
      </c>
      <c r="I1002">
        <f>Cocina[[#This Row],[Precio Unitario]]*Cocina[[#This Row],[Cantidad Ordenada]]</f>
        <v>93</v>
      </c>
      <c r="J1002">
        <f>(Cocina[[#This Row],[Precio Unitario]]-Cocina[[#This Row],[Costo Unitario]])*Cocina[[#This Row],[Cantidad Ordenada]]</f>
        <v>36</v>
      </c>
      <c r="K1002" s="4">
        <f>Cocina[[#This Row],[Ganancia neta]]/_xlfn.XLOOKUP(Cocina[[#This Row],[Número de Orden]],Sala[Número de Orden],Sala[Monto total],"fracaso",0,1)</f>
        <v>0.24489795918367346</v>
      </c>
      <c r="L1002" t="s">
        <v>608</v>
      </c>
    </row>
    <row r="1003" spans="1:12" x14ac:dyDescent="0.25">
      <c r="A1003">
        <v>398</v>
      </c>
      <c r="B1003">
        <v>9</v>
      </c>
      <c r="C1003" t="s">
        <v>42</v>
      </c>
      <c r="D1003" t="s">
        <v>626</v>
      </c>
      <c r="E1003">
        <v>16</v>
      </c>
      <c r="F1003">
        <v>28</v>
      </c>
      <c r="G1003">
        <v>2</v>
      </c>
      <c r="H1003">
        <v>50</v>
      </c>
      <c r="I1003">
        <f>Cocina[[#This Row],[Precio Unitario]]*Cocina[[#This Row],[Cantidad Ordenada]]</f>
        <v>56</v>
      </c>
      <c r="J1003">
        <f>(Cocina[[#This Row],[Precio Unitario]]-Cocina[[#This Row],[Costo Unitario]])*Cocina[[#This Row],[Cantidad Ordenada]]</f>
        <v>24</v>
      </c>
      <c r="K1003" s="4">
        <f>Cocina[[#This Row],[Ganancia neta]]/_xlfn.XLOOKUP(Cocina[[#This Row],[Número de Orden]],Sala[Número de Orden],Sala[Monto total],"fracaso",0,1)</f>
        <v>0.19672131147540983</v>
      </c>
      <c r="L1003" t="s">
        <v>607</v>
      </c>
    </row>
    <row r="1004" spans="1:12" x14ac:dyDescent="0.25">
      <c r="A1004">
        <v>398</v>
      </c>
      <c r="B1004">
        <v>9</v>
      </c>
      <c r="C1004" t="s">
        <v>261</v>
      </c>
      <c r="D1004" t="s">
        <v>625</v>
      </c>
      <c r="E1004">
        <v>20</v>
      </c>
      <c r="F1004">
        <v>33</v>
      </c>
      <c r="G1004">
        <v>2</v>
      </c>
      <c r="H1004">
        <v>21</v>
      </c>
      <c r="I1004">
        <f>Cocina[[#This Row],[Precio Unitario]]*Cocina[[#This Row],[Cantidad Ordenada]]</f>
        <v>66</v>
      </c>
      <c r="J1004">
        <f>(Cocina[[#This Row],[Precio Unitario]]-Cocina[[#This Row],[Costo Unitario]])*Cocina[[#This Row],[Cantidad Ordenada]]</f>
        <v>26</v>
      </c>
      <c r="K1004" s="4">
        <f>Cocina[[#This Row],[Ganancia neta]]/_xlfn.XLOOKUP(Cocina[[#This Row],[Número de Orden]],Sala[Número de Orden],Sala[Monto total],"fracaso",0,1)</f>
        <v>0.21311475409836064</v>
      </c>
      <c r="L1004" t="s">
        <v>608</v>
      </c>
    </row>
    <row r="1005" spans="1:12" x14ac:dyDescent="0.25">
      <c r="A1005">
        <v>399</v>
      </c>
      <c r="B1005">
        <v>7</v>
      </c>
      <c r="C1005" t="s">
        <v>261</v>
      </c>
      <c r="D1005" t="s">
        <v>625</v>
      </c>
      <c r="E1005">
        <v>20</v>
      </c>
      <c r="F1005">
        <v>33</v>
      </c>
      <c r="G1005">
        <v>3</v>
      </c>
      <c r="H1005">
        <v>45</v>
      </c>
      <c r="I1005">
        <f>Cocina[[#This Row],[Precio Unitario]]*Cocina[[#This Row],[Cantidad Ordenada]]</f>
        <v>99</v>
      </c>
      <c r="J1005">
        <f>(Cocina[[#This Row],[Precio Unitario]]-Cocina[[#This Row],[Costo Unitario]])*Cocina[[#This Row],[Cantidad Ordenada]]</f>
        <v>39</v>
      </c>
      <c r="K1005" s="4">
        <f>Cocina[[#This Row],[Ganancia neta]]/_xlfn.XLOOKUP(Cocina[[#This Row],[Número de Orden]],Sala[Número de Orden],Sala[Monto total],"fracaso",0,1)</f>
        <v>0.18840579710144928</v>
      </c>
      <c r="L1005" t="s">
        <v>607</v>
      </c>
    </row>
    <row r="1006" spans="1:12" x14ac:dyDescent="0.25">
      <c r="A1006">
        <v>399</v>
      </c>
      <c r="B1006">
        <v>7</v>
      </c>
      <c r="C1006" t="s">
        <v>73</v>
      </c>
      <c r="D1006" t="s">
        <v>623</v>
      </c>
      <c r="E1006">
        <v>22</v>
      </c>
      <c r="F1006">
        <v>36</v>
      </c>
      <c r="G1006">
        <v>3</v>
      </c>
      <c r="H1006">
        <v>46</v>
      </c>
      <c r="I1006">
        <f>Cocina[[#This Row],[Precio Unitario]]*Cocina[[#This Row],[Cantidad Ordenada]]</f>
        <v>108</v>
      </c>
      <c r="J1006">
        <f>(Cocina[[#This Row],[Precio Unitario]]-Cocina[[#This Row],[Costo Unitario]])*Cocina[[#This Row],[Cantidad Ordenada]]</f>
        <v>42</v>
      </c>
      <c r="K1006" s="4">
        <f>Cocina[[#This Row],[Ganancia neta]]/_xlfn.XLOOKUP(Cocina[[#This Row],[Número de Orden]],Sala[Número de Orden],Sala[Monto total],"fracaso",0,1)</f>
        <v>0.20289855072463769</v>
      </c>
      <c r="L1006" t="s">
        <v>608</v>
      </c>
    </row>
    <row r="1007" spans="1:12" x14ac:dyDescent="0.25">
      <c r="A1007">
        <v>400</v>
      </c>
      <c r="B1007">
        <v>9</v>
      </c>
      <c r="C1007" t="s">
        <v>48</v>
      </c>
      <c r="D1007" t="s">
        <v>622</v>
      </c>
      <c r="E1007">
        <v>25</v>
      </c>
      <c r="F1007">
        <v>40</v>
      </c>
      <c r="G1007">
        <v>2</v>
      </c>
      <c r="H1007">
        <v>28</v>
      </c>
      <c r="I1007">
        <f>Cocina[[#This Row],[Precio Unitario]]*Cocina[[#This Row],[Cantidad Ordenada]]</f>
        <v>80</v>
      </c>
      <c r="J1007">
        <f>(Cocina[[#This Row],[Precio Unitario]]-Cocina[[#This Row],[Costo Unitario]])*Cocina[[#This Row],[Cantidad Ordenada]]</f>
        <v>30</v>
      </c>
      <c r="K1007" s="4">
        <f>Cocina[[#This Row],[Ganancia neta]]/_xlfn.XLOOKUP(Cocina[[#This Row],[Número de Orden]],Sala[Número de Orden],Sala[Monto total],"fracaso",0,1)</f>
        <v>0.15151515151515152</v>
      </c>
      <c r="L1007" t="s">
        <v>607</v>
      </c>
    </row>
    <row r="1008" spans="1:12" x14ac:dyDescent="0.25">
      <c r="A1008">
        <v>400</v>
      </c>
      <c r="B1008">
        <v>9</v>
      </c>
      <c r="C1008" t="s">
        <v>42</v>
      </c>
      <c r="D1008" t="s">
        <v>626</v>
      </c>
      <c r="E1008">
        <v>16</v>
      </c>
      <c r="F1008">
        <v>28</v>
      </c>
      <c r="G1008">
        <v>2</v>
      </c>
      <c r="H1008">
        <v>13</v>
      </c>
      <c r="I1008">
        <f>Cocina[[#This Row],[Precio Unitario]]*Cocina[[#This Row],[Cantidad Ordenada]]</f>
        <v>56</v>
      </c>
      <c r="J1008">
        <f>(Cocina[[#This Row],[Precio Unitario]]-Cocina[[#This Row],[Costo Unitario]])*Cocina[[#This Row],[Cantidad Ordenada]]</f>
        <v>24</v>
      </c>
      <c r="K1008" s="4">
        <f>Cocina[[#This Row],[Ganancia neta]]/_xlfn.XLOOKUP(Cocina[[#This Row],[Número de Orden]],Sala[Número de Orden],Sala[Monto total],"fracaso",0,1)</f>
        <v>0.12121212121212122</v>
      </c>
      <c r="L1008" t="s">
        <v>607</v>
      </c>
    </row>
    <row r="1009" spans="1:12" x14ac:dyDescent="0.25">
      <c r="A1009">
        <v>400</v>
      </c>
      <c r="B1009">
        <v>9</v>
      </c>
      <c r="C1009" t="s">
        <v>116</v>
      </c>
      <c r="D1009" t="s">
        <v>620</v>
      </c>
      <c r="E1009">
        <v>19</v>
      </c>
      <c r="F1009">
        <v>31</v>
      </c>
      <c r="G1009">
        <v>2</v>
      </c>
      <c r="H1009">
        <v>38</v>
      </c>
      <c r="I1009">
        <f>Cocina[[#This Row],[Precio Unitario]]*Cocina[[#This Row],[Cantidad Ordenada]]</f>
        <v>62</v>
      </c>
      <c r="J1009">
        <f>(Cocina[[#This Row],[Precio Unitario]]-Cocina[[#This Row],[Costo Unitario]])*Cocina[[#This Row],[Cantidad Ordenada]]</f>
        <v>24</v>
      </c>
      <c r="K1009" s="4">
        <f>Cocina[[#This Row],[Ganancia neta]]/_xlfn.XLOOKUP(Cocina[[#This Row],[Número de Orden]],Sala[Número de Orden],Sala[Monto total],"fracaso",0,1)</f>
        <v>0.12121212121212122</v>
      </c>
      <c r="L1009" t="s">
        <v>608</v>
      </c>
    </row>
    <row r="1010" spans="1:12" x14ac:dyDescent="0.25">
      <c r="A1010">
        <v>401</v>
      </c>
      <c r="B1010">
        <v>16</v>
      </c>
      <c r="C1010" t="s">
        <v>70</v>
      </c>
      <c r="D1010" t="s">
        <v>634</v>
      </c>
      <c r="E1010">
        <v>13</v>
      </c>
      <c r="F1010">
        <v>21</v>
      </c>
      <c r="G1010">
        <v>2</v>
      </c>
      <c r="H1010">
        <v>20</v>
      </c>
      <c r="I1010">
        <f>Cocina[[#This Row],[Precio Unitario]]*Cocina[[#This Row],[Cantidad Ordenada]]</f>
        <v>42</v>
      </c>
      <c r="J1010">
        <f>(Cocina[[#This Row],[Precio Unitario]]-Cocina[[#This Row],[Costo Unitario]])*Cocina[[#This Row],[Cantidad Ordenada]]</f>
        <v>16</v>
      </c>
      <c r="K1010" s="4">
        <f>Cocina[[#This Row],[Ganancia neta]]/_xlfn.XLOOKUP(Cocina[[#This Row],[Número de Orden]],Sala[Número de Orden],Sala[Monto total],"fracaso",0,1)</f>
        <v>0.38095238095238093</v>
      </c>
      <c r="L1010" t="s">
        <v>607</v>
      </c>
    </row>
    <row r="1011" spans="1:12" x14ac:dyDescent="0.25">
      <c r="A1011">
        <v>402</v>
      </c>
      <c r="B1011">
        <v>18</v>
      </c>
      <c r="C1011" t="s">
        <v>122</v>
      </c>
      <c r="D1011" t="s">
        <v>637</v>
      </c>
      <c r="E1011">
        <v>15</v>
      </c>
      <c r="F1011">
        <v>25</v>
      </c>
      <c r="G1011">
        <v>2</v>
      </c>
      <c r="H1011">
        <v>16</v>
      </c>
      <c r="I1011">
        <f>Cocina[[#This Row],[Precio Unitario]]*Cocina[[#This Row],[Cantidad Ordenada]]</f>
        <v>50</v>
      </c>
      <c r="J1011">
        <f>(Cocina[[#This Row],[Precio Unitario]]-Cocina[[#This Row],[Costo Unitario]])*Cocina[[#This Row],[Cantidad Ordenada]]</f>
        <v>20</v>
      </c>
      <c r="K1011" s="4">
        <f>Cocina[[#This Row],[Ganancia neta]]/_xlfn.XLOOKUP(Cocina[[#This Row],[Número de Orden]],Sala[Número de Orden],Sala[Monto total],"fracaso",0,1)</f>
        <v>0.13245033112582782</v>
      </c>
      <c r="L1011" t="s">
        <v>608</v>
      </c>
    </row>
    <row r="1012" spans="1:12" x14ac:dyDescent="0.25">
      <c r="A1012">
        <v>402</v>
      </c>
      <c r="B1012">
        <v>18</v>
      </c>
      <c r="C1012" t="s">
        <v>112</v>
      </c>
      <c r="D1012" t="s">
        <v>627</v>
      </c>
      <c r="E1012">
        <v>11</v>
      </c>
      <c r="F1012">
        <v>19</v>
      </c>
      <c r="G1012">
        <v>3</v>
      </c>
      <c r="H1012">
        <v>29</v>
      </c>
      <c r="I1012">
        <f>Cocina[[#This Row],[Precio Unitario]]*Cocina[[#This Row],[Cantidad Ordenada]]</f>
        <v>57</v>
      </c>
      <c r="J1012">
        <f>(Cocina[[#This Row],[Precio Unitario]]-Cocina[[#This Row],[Costo Unitario]])*Cocina[[#This Row],[Cantidad Ordenada]]</f>
        <v>24</v>
      </c>
      <c r="K1012" s="4">
        <f>Cocina[[#This Row],[Ganancia neta]]/_xlfn.XLOOKUP(Cocina[[#This Row],[Número de Orden]],Sala[Número de Orden],Sala[Monto total],"fracaso",0,1)</f>
        <v>0.15894039735099338</v>
      </c>
      <c r="L1012" t="s">
        <v>608</v>
      </c>
    </row>
    <row r="1013" spans="1:12" x14ac:dyDescent="0.25">
      <c r="A1013">
        <v>402</v>
      </c>
      <c r="B1013">
        <v>18</v>
      </c>
      <c r="C1013" t="s">
        <v>203</v>
      </c>
      <c r="D1013" t="s">
        <v>630</v>
      </c>
      <c r="E1013">
        <v>13</v>
      </c>
      <c r="F1013">
        <v>22</v>
      </c>
      <c r="G1013">
        <v>2</v>
      </c>
      <c r="H1013">
        <v>21</v>
      </c>
      <c r="I1013">
        <f>Cocina[[#This Row],[Precio Unitario]]*Cocina[[#This Row],[Cantidad Ordenada]]</f>
        <v>44</v>
      </c>
      <c r="J1013">
        <f>(Cocina[[#This Row],[Precio Unitario]]-Cocina[[#This Row],[Costo Unitario]])*Cocina[[#This Row],[Cantidad Ordenada]]</f>
        <v>18</v>
      </c>
      <c r="K1013" s="4">
        <f>Cocina[[#This Row],[Ganancia neta]]/_xlfn.XLOOKUP(Cocina[[#This Row],[Número de Orden]],Sala[Número de Orden],Sala[Monto total],"fracaso",0,1)</f>
        <v>0.11920529801324503</v>
      </c>
      <c r="L1013" t="s">
        <v>607</v>
      </c>
    </row>
    <row r="1014" spans="1:12" x14ac:dyDescent="0.25">
      <c r="A1014">
        <v>403</v>
      </c>
      <c r="B1014">
        <v>14</v>
      </c>
      <c r="C1014" t="s">
        <v>203</v>
      </c>
      <c r="D1014" t="s">
        <v>630</v>
      </c>
      <c r="E1014">
        <v>13</v>
      </c>
      <c r="F1014">
        <v>22</v>
      </c>
      <c r="G1014">
        <v>3</v>
      </c>
      <c r="H1014">
        <v>17</v>
      </c>
      <c r="I1014">
        <f>Cocina[[#This Row],[Precio Unitario]]*Cocina[[#This Row],[Cantidad Ordenada]]</f>
        <v>66</v>
      </c>
      <c r="J1014">
        <f>(Cocina[[#This Row],[Precio Unitario]]-Cocina[[#This Row],[Costo Unitario]])*Cocina[[#This Row],[Cantidad Ordenada]]</f>
        <v>27</v>
      </c>
      <c r="K1014" s="4">
        <f>Cocina[[#This Row],[Ganancia neta]]/_xlfn.XLOOKUP(Cocina[[#This Row],[Número de Orden]],Sala[Número de Orden],Sala[Monto total],"fracaso",0,1)</f>
        <v>0.14210526315789473</v>
      </c>
      <c r="L1014" t="s">
        <v>607</v>
      </c>
    </row>
    <row r="1015" spans="1:12" x14ac:dyDescent="0.25">
      <c r="A1015">
        <v>403</v>
      </c>
      <c r="B1015">
        <v>14</v>
      </c>
      <c r="C1015" t="s">
        <v>79</v>
      </c>
      <c r="D1015" t="s">
        <v>635</v>
      </c>
      <c r="E1015">
        <v>10</v>
      </c>
      <c r="F1015">
        <v>18</v>
      </c>
      <c r="G1015">
        <v>2</v>
      </c>
      <c r="H1015">
        <v>5</v>
      </c>
      <c r="I1015">
        <f>Cocina[[#This Row],[Precio Unitario]]*Cocina[[#This Row],[Cantidad Ordenada]]</f>
        <v>36</v>
      </c>
      <c r="J1015">
        <f>(Cocina[[#This Row],[Precio Unitario]]-Cocina[[#This Row],[Costo Unitario]])*Cocina[[#This Row],[Cantidad Ordenada]]</f>
        <v>16</v>
      </c>
      <c r="K1015" s="4">
        <f>Cocina[[#This Row],[Ganancia neta]]/_xlfn.XLOOKUP(Cocina[[#This Row],[Número de Orden]],Sala[Número de Orden],Sala[Monto total],"fracaso",0,1)</f>
        <v>8.4210526315789472E-2</v>
      </c>
      <c r="L1015" t="s">
        <v>608</v>
      </c>
    </row>
    <row r="1016" spans="1:12" x14ac:dyDescent="0.25">
      <c r="A1016">
        <v>403</v>
      </c>
      <c r="B1016">
        <v>14</v>
      </c>
      <c r="C1016" t="s">
        <v>247</v>
      </c>
      <c r="D1016" t="s">
        <v>629</v>
      </c>
      <c r="E1016">
        <v>19</v>
      </c>
      <c r="F1016">
        <v>32</v>
      </c>
      <c r="G1016">
        <v>2</v>
      </c>
      <c r="H1016">
        <v>8</v>
      </c>
      <c r="I1016">
        <f>Cocina[[#This Row],[Precio Unitario]]*Cocina[[#This Row],[Cantidad Ordenada]]</f>
        <v>64</v>
      </c>
      <c r="J1016">
        <f>(Cocina[[#This Row],[Precio Unitario]]-Cocina[[#This Row],[Costo Unitario]])*Cocina[[#This Row],[Cantidad Ordenada]]</f>
        <v>26</v>
      </c>
      <c r="K1016" s="4">
        <f>Cocina[[#This Row],[Ganancia neta]]/_xlfn.XLOOKUP(Cocina[[#This Row],[Número de Orden]],Sala[Número de Orden],Sala[Monto total],"fracaso",0,1)</f>
        <v>0.1368421052631579</v>
      </c>
      <c r="L1016" t="s">
        <v>608</v>
      </c>
    </row>
    <row r="1017" spans="1:12" x14ac:dyDescent="0.25">
      <c r="A1017">
        <v>403</v>
      </c>
      <c r="B1017">
        <v>14</v>
      </c>
      <c r="C1017" t="s">
        <v>158</v>
      </c>
      <c r="D1017" t="s">
        <v>617</v>
      </c>
      <c r="E1017">
        <v>14</v>
      </c>
      <c r="F1017">
        <v>24</v>
      </c>
      <c r="G1017">
        <v>1</v>
      </c>
      <c r="H1017">
        <v>55</v>
      </c>
      <c r="I1017">
        <f>Cocina[[#This Row],[Precio Unitario]]*Cocina[[#This Row],[Cantidad Ordenada]]</f>
        <v>24</v>
      </c>
      <c r="J1017">
        <f>(Cocina[[#This Row],[Precio Unitario]]-Cocina[[#This Row],[Costo Unitario]])*Cocina[[#This Row],[Cantidad Ordenada]]</f>
        <v>10</v>
      </c>
      <c r="K1017" s="4">
        <f>Cocina[[#This Row],[Ganancia neta]]/_xlfn.XLOOKUP(Cocina[[#This Row],[Número de Orden]],Sala[Número de Orden],Sala[Monto total],"fracaso",0,1)</f>
        <v>5.2631578947368418E-2</v>
      </c>
      <c r="L1017" t="s">
        <v>608</v>
      </c>
    </row>
    <row r="1018" spans="1:12" x14ac:dyDescent="0.25">
      <c r="A1018">
        <v>404</v>
      </c>
      <c r="B1018">
        <v>17</v>
      </c>
      <c r="C1018" t="s">
        <v>70</v>
      </c>
      <c r="D1018" t="s">
        <v>634</v>
      </c>
      <c r="E1018">
        <v>13</v>
      </c>
      <c r="F1018">
        <v>21</v>
      </c>
      <c r="G1018">
        <v>2</v>
      </c>
      <c r="H1018">
        <v>20</v>
      </c>
      <c r="I1018">
        <f>Cocina[[#This Row],[Precio Unitario]]*Cocina[[#This Row],[Cantidad Ordenada]]</f>
        <v>42</v>
      </c>
      <c r="J1018">
        <f>(Cocina[[#This Row],[Precio Unitario]]-Cocina[[#This Row],[Costo Unitario]])*Cocina[[#This Row],[Cantidad Ordenada]]</f>
        <v>16</v>
      </c>
      <c r="K1018" s="4">
        <f>Cocina[[#This Row],[Ganancia neta]]/_xlfn.XLOOKUP(Cocina[[#This Row],[Número de Orden]],Sala[Número de Orden],Sala[Monto total],"fracaso",0,1)</f>
        <v>8.7912087912087919E-2</v>
      </c>
      <c r="L1018" t="s">
        <v>607</v>
      </c>
    </row>
    <row r="1019" spans="1:12" x14ac:dyDescent="0.25">
      <c r="A1019">
        <v>404</v>
      </c>
      <c r="B1019">
        <v>17</v>
      </c>
      <c r="C1019" t="s">
        <v>146</v>
      </c>
      <c r="D1019" t="s">
        <v>632</v>
      </c>
      <c r="E1019">
        <v>12</v>
      </c>
      <c r="F1019">
        <v>20</v>
      </c>
      <c r="G1019">
        <v>1</v>
      </c>
      <c r="H1019">
        <v>53</v>
      </c>
      <c r="I1019">
        <f>Cocina[[#This Row],[Precio Unitario]]*Cocina[[#This Row],[Cantidad Ordenada]]</f>
        <v>20</v>
      </c>
      <c r="J1019">
        <f>(Cocina[[#This Row],[Precio Unitario]]-Cocina[[#This Row],[Costo Unitario]])*Cocina[[#This Row],[Cantidad Ordenada]]</f>
        <v>8</v>
      </c>
      <c r="K1019" s="4">
        <f>Cocina[[#This Row],[Ganancia neta]]/_xlfn.XLOOKUP(Cocina[[#This Row],[Número de Orden]],Sala[Número de Orden],Sala[Monto total],"fracaso",0,1)</f>
        <v>4.3956043956043959E-2</v>
      </c>
      <c r="L1019" t="s">
        <v>608</v>
      </c>
    </row>
    <row r="1020" spans="1:12" x14ac:dyDescent="0.25">
      <c r="A1020">
        <v>404</v>
      </c>
      <c r="B1020">
        <v>17</v>
      </c>
      <c r="C1020" t="s">
        <v>48</v>
      </c>
      <c r="D1020" t="s">
        <v>622</v>
      </c>
      <c r="E1020">
        <v>25</v>
      </c>
      <c r="F1020">
        <v>40</v>
      </c>
      <c r="G1020">
        <v>3</v>
      </c>
      <c r="H1020">
        <v>29</v>
      </c>
      <c r="I1020">
        <f>Cocina[[#This Row],[Precio Unitario]]*Cocina[[#This Row],[Cantidad Ordenada]]</f>
        <v>120</v>
      </c>
      <c r="J1020">
        <f>(Cocina[[#This Row],[Precio Unitario]]-Cocina[[#This Row],[Costo Unitario]])*Cocina[[#This Row],[Cantidad Ordenada]]</f>
        <v>45</v>
      </c>
      <c r="K1020" s="4">
        <f>Cocina[[#This Row],[Ganancia neta]]/_xlfn.XLOOKUP(Cocina[[#This Row],[Número de Orden]],Sala[Número de Orden],Sala[Monto total],"fracaso",0,1)</f>
        <v>0.24725274725274726</v>
      </c>
      <c r="L1020" t="s">
        <v>608</v>
      </c>
    </row>
    <row r="1021" spans="1:12" x14ac:dyDescent="0.25">
      <c r="A1021">
        <v>405</v>
      </c>
      <c r="B1021">
        <v>5</v>
      </c>
      <c r="C1021" t="s">
        <v>155</v>
      </c>
      <c r="D1021" t="s">
        <v>636</v>
      </c>
      <c r="E1021">
        <v>15</v>
      </c>
      <c r="F1021">
        <v>26</v>
      </c>
      <c r="G1021">
        <v>1</v>
      </c>
      <c r="H1021">
        <v>41</v>
      </c>
      <c r="I1021">
        <f>Cocina[[#This Row],[Precio Unitario]]*Cocina[[#This Row],[Cantidad Ordenada]]</f>
        <v>26</v>
      </c>
      <c r="J1021">
        <f>(Cocina[[#This Row],[Precio Unitario]]-Cocina[[#This Row],[Costo Unitario]])*Cocina[[#This Row],[Cantidad Ordenada]]</f>
        <v>11</v>
      </c>
      <c r="K1021" s="4">
        <f>Cocina[[#This Row],[Ganancia neta]]/_xlfn.XLOOKUP(Cocina[[#This Row],[Número de Orden]],Sala[Número de Orden],Sala[Monto total],"fracaso",0,1)</f>
        <v>0.10377358490566038</v>
      </c>
      <c r="L1021" t="s">
        <v>608</v>
      </c>
    </row>
    <row r="1022" spans="1:12" x14ac:dyDescent="0.25">
      <c r="A1022">
        <v>405</v>
      </c>
      <c r="B1022">
        <v>5</v>
      </c>
      <c r="C1022" t="s">
        <v>48</v>
      </c>
      <c r="D1022" t="s">
        <v>622</v>
      </c>
      <c r="E1022">
        <v>25</v>
      </c>
      <c r="F1022">
        <v>40</v>
      </c>
      <c r="G1022">
        <v>1</v>
      </c>
      <c r="H1022">
        <v>44</v>
      </c>
      <c r="I1022">
        <f>Cocina[[#This Row],[Precio Unitario]]*Cocina[[#This Row],[Cantidad Ordenada]]</f>
        <v>40</v>
      </c>
      <c r="J1022">
        <f>(Cocina[[#This Row],[Precio Unitario]]-Cocina[[#This Row],[Costo Unitario]])*Cocina[[#This Row],[Cantidad Ordenada]]</f>
        <v>15</v>
      </c>
      <c r="K1022" s="4">
        <f>Cocina[[#This Row],[Ganancia neta]]/_xlfn.XLOOKUP(Cocina[[#This Row],[Número de Orden]],Sala[Número de Orden],Sala[Monto total],"fracaso",0,1)</f>
        <v>0.14150943396226415</v>
      </c>
      <c r="L1022" t="s">
        <v>607</v>
      </c>
    </row>
    <row r="1023" spans="1:12" x14ac:dyDescent="0.25">
      <c r="A1023">
        <v>405</v>
      </c>
      <c r="B1023">
        <v>5</v>
      </c>
      <c r="C1023" t="s">
        <v>146</v>
      </c>
      <c r="D1023" t="s">
        <v>632</v>
      </c>
      <c r="E1023">
        <v>12</v>
      </c>
      <c r="F1023">
        <v>20</v>
      </c>
      <c r="G1023">
        <v>2</v>
      </c>
      <c r="H1023">
        <v>13</v>
      </c>
      <c r="I1023">
        <f>Cocina[[#This Row],[Precio Unitario]]*Cocina[[#This Row],[Cantidad Ordenada]]</f>
        <v>40</v>
      </c>
      <c r="J1023">
        <f>(Cocina[[#This Row],[Precio Unitario]]-Cocina[[#This Row],[Costo Unitario]])*Cocina[[#This Row],[Cantidad Ordenada]]</f>
        <v>16</v>
      </c>
      <c r="K1023" s="4">
        <f>Cocina[[#This Row],[Ganancia neta]]/_xlfn.XLOOKUP(Cocina[[#This Row],[Número de Orden]],Sala[Número de Orden],Sala[Monto total],"fracaso",0,1)</f>
        <v>0.15094339622641509</v>
      </c>
      <c r="L1023" t="s">
        <v>608</v>
      </c>
    </row>
    <row r="1024" spans="1:12" x14ac:dyDescent="0.25">
      <c r="A1024">
        <v>406</v>
      </c>
      <c r="B1024">
        <v>14</v>
      </c>
      <c r="C1024" t="s">
        <v>146</v>
      </c>
      <c r="D1024" t="s">
        <v>632</v>
      </c>
      <c r="E1024">
        <v>12</v>
      </c>
      <c r="F1024">
        <v>20</v>
      </c>
      <c r="G1024">
        <v>3</v>
      </c>
      <c r="H1024">
        <v>6</v>
      </c>
      <c r="I1024">
        <f>Cocina[[#This Row],[Precio Unitario]]*Cocina[[#This Row],[Cantidad Ordenada]]</f>
        <v>60</v>
      </c>
      <c r="J1024">
        <f>(Cocina[[#This Row],[Precio Unitario]]-Cocina[[#This Row],[Costo Unitario]])*Cocina[[#This Row],[Cantidad Ordenada]]</f>
        <v>24</v>
      </c>
      <c r="K1024" s="4">
        <f>Cocina[[#This Row],[Ganancia neta]]/_xlfn.XLOOKUP(Cocina[[#This Row],[Número de Orden]],Sala[Número de Orden],Sala[Monto total],"fracaso",0,1)</f>
        <v>0.15483870967741936</v>
      </c>
      <c r="L1024" t="s">
        <v>607</v>
      </c>
    </row>
    <row r="1025" spans="1:12" x14ac:dyDescent="0.25">
      <c r="A1025">
        <v>406</v>
      </c>
      <c r="B1025">
        <v>14</v>
      </c>
      <c r="C1025" t="s">
        <v>26</v>
      </c>
      <c r="D1025" t="s">
        <v>628</v>
      </c>
      <c r="E1025">
        <v>21</v>
      </c>
      <c r="F1025">
        <v>35</v>
      </c>
      <c r="G1025">
        <v>2</v>
      </c>
      <c r="H1025">
        <v>56</v>
      </c>
      <c r="I1025">
        <f>Cocina[[#This Row],[Precio Unitario]]*Cocina[[#This Row],[Cantidad Ordenada]]</f>
        <v>70</v>
      </c>
      <c r="J1025">
        <f>(Cocina[[#This Row],[Precio Unitario]]-Cocina[[#This Row],[Costo Unitario]])*Cocina[[#This Row],[Cantidad Ordenada]]</f>
        <v>28</v>
      </c>
      <c r="K1025" s="4">
        <f>Cocina[[#This Row],[Ganancia neta]]/_xlfn.XLOOKUP(Cocina[[#This Row],[Número de Orden]],Sala[Número de Orden],Sala[Monto total],"fracaso",0,1)</f>
        <v>0.18064516129032257</v>
      </c>
      <c r="L1025" t="s">
        <v>607</v>
      </c>
    </row>
    <row r="1026" spans="1:12" x14ac:dyDescent="0.25">
      <c r="A1026">
        <v>406</v>
      </c>
      <c r="B1026">
        <v>14</v>
      </c>
      <c r="C1026" t="s">
        <v>122</v>
      </c>
      <c r="D1026" t="s">
        <v>637</v>
      </c>
      <c r="E1026">
        <v>15</v>
      </c>
      <c r="F1026">
        <v>25</v>
      </c>
      <c r="G1026">
        <v>1</v>
      </c>
      <c r="H1026">
        <v>55</v>
      </c>
      <c r="I1026">
        <f>Cocina[[#This Row],[Precio Unitario]]*Cocina[[#This Row],[Cantidad Ordenada]]</f>
        <v>25</v>
      </c>
      <c r="J1026">
        <f>(Cocina[[#This Row],[Precio Unitario]]-Cocina[[#This Row],[Costo Unitario]])*Cocina[[#This Row],[Cantidad Ordenada]]</f>
        <v>10</v>
      </c>
      <c r="K1026" s="4">
        <f>Cocina[[#This Row],[Ganancia neta]]/_xlfn.XLOOKUP(Cocina[[#This Row],[Número de Orden]],Sala[Número de Orden],Sala[Monto total],"fracaso",0,1)</f>
        <v>6.4516129032258063E-2</v>
      </c>
      <c r="L1026" t="s">
        <v>608</v>
      </c>
    </row>
    <row r="1027" spans="1:12" x14ac:dyDescent="0.25">
      <c r="A1027">
        <v>407</v>
      </c>
      <c r="B1027">
        <v>4</v>
      </c>
      <c r="C1027" t="s">
        <v>146</v>
      </c>
      <c r="D1027" t="s">
        <v>632</v>
      </c>
      <c r="E1027">
        <v>12</v>
      </c>
      <c r="F1027">
        <v>20</v>
      </c>
      <c r="G1027">
        <v>3</v>
      </c>
      <c r="H1027">
        <v>32</v>
      </c>
      <c r="I1027">
        <f>Cocina[[#This Row],[Precio Unitario]]*Cocina[[#This Row],[Cantidad Ordenada]]</f>
        <v>60</v>
      </c>
      <c r="J1027">
        <f>(Cocina[[#This Row],[Precio Unitario]]-Cocina[[#This Row],[Costo Unitario]])*Cocina[[#This Row],[Cantidad Ordenada]]</f>
        <v>24</v>
      </c>
      <c r="K1027" s="4">
        <f>Cocina[[#This Row],[Ganancia neta]]/_xlfn.XLOOKUP(Cocina[[#This Row],[Número de Orden]],Sala[Número de Orden],Sala[Monto total],"fracaso",0,1)</f>
        <v>0.25263157894736843</v>
      </c>
      <c r="L1027" t="s">
        <v>607</v>
      </c>
    </row>
    <row r="1028" spans="1:12" x14ac:dyDescent="0.25">
      <c r="A1028">
        <v>407</v>
      </c>
      <c r="B1028">
        <v>4</v>
      </c>
      <c r="C1028" t="s">
        <v>26</v>
      </c>
      <c r="D1028" t="s">
        <v>628</v>
      </c>
      <c r="E1028">
        <v>21</v>
      </c>
      <c r="F1028">
        <v>35</v>
      </c>
      <c r="G1028">
        <v>1</v>
      </c>
      <c r="H1028">
        <v>18</v>
      </c>
      <c r="I1028">
        <f>Cocina[[#This Row],[Precio Unitario]]*Cocina[[#This Row],[Cantidad Ordenada]]</f>
        <v>35</v>
      </c>
      <c r="J1028">
        <f>(Cocina[[#This Row],[Precio Unitario]]-Cocina[[#This Row],[Costo Unitario]])*Cocina[[#This Row],[Cantidad Ordenada]]</f>
        <v>14</v>
      </c>
      <c r="K1028" s="4">
        <f>Cocina[[#This Row],[Ganancia neta]]/_xlfn.XLOOKUP(Cocina[[#This Row],[Número de Orden]],Sala[Número de Orden],Sala[Monto total],"fracaso",0,1)</f>
        <v>0.14736842105263157</v>
      </c>
      <c r="L1028" t="s">
        <v>608</v>
      </c>
    </row>
    <row r="1029" spans="1:12" x14ac:dyDescent="0.25">
      <c r="A1029">
        <v>408</v>
      </c>
      <c r="B1029">
        <v>17</v>
      </c>
      <c r="C1029" t="s">
        <v>122</v>
      </c>
      <c r="D1029" t="s">
        <v>637</v>
      </c>
      <c r="E1029">
        <v>15</v>
      </c>
      <c r="F1029">
        <v>25</v>
      </c>
      <c r="G1029">
        <v>1</v>
      </c>
      <c r="H1029">
        <v>58</v>
      </c>
      <c r="I1029">
        <f>Cocina[[#This Row],[Precio Unitario]]*Cocina[[#This Row],[Cantidad Ordenada]]</f>
        <v>25</v>
      </c>
      <c r="J1029">
        <f>(Cocina[[#This Row],[Precio Unitario]]-Cocina[[#This Row],[Costo Unitario]])*Cocina[[#This Row],[Cantidad Ordenada]]</f>
        <v>10</v>
      </c>
      <c r="K1029" s="4">
        <f>Cocina[[#This Row],[Ganancia neta]]/_xlfn.XLOOKUP(Cocina[[#This Row],[Número de Orden]],Sala[Número de Orden],Sala[Monto total],"fracaso",0,1)</f>
        <v>7.6335877862595422E-2</v>
      </c>
      <c r="L1029" t="s">
        <v>608</v>
      </c>
    </row>
    <row r="1030" spans="1:12" x14ac:dyDescent="0.25">
      <c r="A1030">
        <v>408</v>
      </c>
      <c r="B1030">
        <v>17</v>
      </c>
      <c r="C1030" t="s">
        <v>158</v>
      </c>
      <c r="D1030" t="s">
        <v>617</v>
      </c>
      <c r="E1030">
        <v>14</v>
      </c>
      <c r="F1030">
        <v>24</v>
      </c>
      <c r="G1030">
        <v>3</v>
      </c>
      <c r="H1030">
        <v>11</v>
      </c>
      <c r="I1030">
        <f>Cocina[[#This Row],[Precio Unitario]]*Cocina[[#This Row],[Cantidad Ordenada]]</f>
        <v>72</v>
      </c>
      <c r="J1030">
        <f>(Cocina[[#This Row],[Precio Unitario]]-Cocina[[#This Row],[Costo Unitario]])*Cocina[[#This Row],[Cantidad Ordenada]]</f>
        <v>30</v>
      </c>
      <c r="K1030" s="4">
        <f>Cocina[[#This Row],[Ganancia neta]]/_xlfn.XLOOKUP(Cocina[[#This Row],[Número de Orden]],Sala[Número de Orden],Sala[Monto total],"fracaso",0,1)</f>
        <v>0.22900763358778625</v>
      </c>
      <c r="L1030" t="s">
        <v>607</v>
      </c>
    </row>
    <row r="1031" spans="1:12" x14ac:dyDescent="0.25">
      <c r="A1031">
        <v>408</v>
      </c>
      <c r="B1031">
        <v>17</v>
      </c>
      <c r="C1031" t="s">
        <v>55</v>
      </c>
      <c r="D1031" t="s">
        <v>631</v>
      </c>
      <c r="E1031">
        <v>20</v>
      </c>
      <c r="F1031">
        <v>34</v>
      </c>
      <c r="G1031">
        <v>1</v>
      </c>
      <c r="H1031">
        <v>37</v>
      </c>
      <c r="I1031">
        <f>Cocina[[#This Row],[Precio Unitario]]*Cocina[[#This Row],[Cantidad Ordenada]]</f>
        <v>34</v>
      </c>
      <c r="J1031">
        <f>(Cocina[[#This Row],[Precio Unitario]]-Cocina[[#This Row],[Costo Unitario]])*Cocina[[#This Row],[Cantidad Ordenada]]</f>
        <v>14</v>
      </c>
      <c r="K1031" s="4">
        <f>Cocina[[#This Row],[Ganancia neta]]/_xlfn.XLOOKUP(Cocina[[#This Row],[Número de Orden]],Sala[Número de Orden],Sala[Monto total],"fracaso",0,1)</f>
        <v>0.10687022900763359</v>
      </c>
      <c r="L1031" t="s">
        <v>608</v>
      </c>
    </row>
    <row r="1032" spans="1:12" x14ac:dyDescent="0.25">
      <c r="A1032">
        <v>409</v>
      </c>
      <c r="B1032">
        <v>15</v>
      </c>
      <c r="C1032" t="s">
        <v>70</v>
      </c>
      <c r="D1032" t="s">
        <v>634</v>
      </c>
      <c r="E1032">
        <v>13</v>
      </c>
      <c r="F1032">
        <v>21</v>
      </c>
      <c r="G1032">
        <v>3</v>
      </c>
      <c r="H1032">
        <v>44</v>
      </c>
      <c r="I1032">
        <f>Cocina[[#This Row],[Precio Unitario]]*Cocina[[#This Row],[Cantidad Ordenada]]</f>
        <v>63</v>
      </c>
      <c r="J1032">
        <f>(Cocina[[#This Row],[Precio Unitario]]-Cocina[[#This Row],[Costo Unitario]])*Cocina[[#This Row],[Cantidad Ordenada]]</f>
        <v>24</v>
      </c>
      <c r="K1032" s="4">
        <f>Cocina[[#This Row],[Ganancia neta]]/_xlfn.XLOOKUP(Cocina[[#This Row],[Número de Orden]],Sala[Número de Orden],Sala[Monto total],"fracaso",0,1)</f>
        <v>0.11822660098522167</v>
      </c>
      <c r="L1032" t="s">
        <v>608</v>
      </c>
    </row>
    <row r="1033" spans="1:12" x14ac:dyDescent="0.25">
      <c r="A1033">
        <v>409</v>
      </c>
      <c r="B1033">
        <v>15</v>
      </c>
      <c r="C1033" t="s">
        <v>48</v>
      </c>
      <c r="D1033" t="s">
        <v>622</v>
      </c>
      <c r="E1033">
        <v>25</v>
      </c>
      <c r="F1033">
        <v>40</v>
      </c>
      <c r="G1033">
        <v>1</v>
      </c>
      <c r="H1033">
        <v>43</v>
      </c>
      <c r="I1033">
        <f>Cocina[[#This Row],[Precio Unitario]]*Cocina[[#This Row],[Cantidad Ordenada]]</f>
        <v>40</v>
      </c>
      <c r="J1033">
        <f>(Cocina[[#This Row],[Precio Unitario]]-Cocina[[#This Row],[Costo Unitario]])*Cocina[[#This Row],[Cantidad Ordenada]]</f>
        <v>15</v>
      </c>
      <c r="K1033" s="4">
        <f>Cocina[[#This Row],[Ganancia neta]]/_xlfn.XLOOKUP(Cocina[[#This Row],[Número de Orden]],Sala[Número de Orden],Sala[Monto total],"fracaso",0,1)</f>
        <v>7.3891625615763554E-2</v>
      </c>
      <c r="L1033" t="s">
        <v>607</v>
      </c>
    </row>
    <row r="1034" spans="1:12" x14ac:dyDescent="0.25">
      <c r="A1034">
        <v>409</v>
      </c>
      <c r="B1034">
        <v>15</v>
      </c>
      <c r="C1034" t="s">
        <v>42</v>
      </c>
      <c r="D1034" t="s">
        <v>626</v>
      </c>
      <c r="E1034">
        <v>16</v>
      </c>
      <c r="F1034">
        <v>28</v>
      </c>
      <c r="G1034">
        <v>1</v>
      </c>
      <c r="H1034">
        <v>47</v>
      </c>
      <c r="I1034">
        <f>Cocina[[#This Row],[Precio Unitario]]*Cocina[[#This Row],[Cantidad Ordenada]]</f>
        <v>28</v>
      </c>
      <c r="J1034">
        <f>(Cocina[[#This Row],[Precio Unitario]]-Cocina[[#This Row],[Costo Unitario]])*Cocina[[#This Row],[Cantidad Ordenada]]</f>
        <v>12</v>
      </c>
      <c r="K1034" s="4">
        <f>Cocina[[#This Row],[Ganancia neta]]/_xlfn.XLOOKUP(Cocina[[#This Row],[Número de Orden]],Sala[Número de Orden],Sala[Monto total],"fracaso",0,1)</f>
        <v>5.9113300492610835E-2</v>
      </c>
      <c r="L1034" t="s">
        <v>607</v>
      </c>
    </row>
    <row r="1035" spans="1:12" x14ac:dyDescent="0.25">
      <c r="A1035">
        <v>409</v>
      </c>
      <c r="B1035">
        <v>15</v>
      </c>
      <c r="C1035" t="s">
        <v>158</v>
      </c>
      <c r="D1035" t="s">
        <v>617</v>
      </c>
      <c r="E1035">
        <v>14</v>
      </c>
      <c r="F1035">
        <v>24</v>
      </c>
      <c r="G1035">
        <v>3</v>
      </c>
      <c r="H1035">
        <v>29</v>
      </c>
      <c r="I1035">
        <f>Cocina[[#This Row],[Precio Unitario]]*Cocina[[#This Row],[Cantidad Ordenada]]</f>
        <v>72</v>
      </c>
      <c r="J1035">
        <f>(Cocina[[#This Row],[Precio Unitario]]-Cocina[[#This Row],[Costo Unitario]])*Cocina[[#This Row],[Cantidad Ordenada]]</f>
        <v>30</v>
      </c>
      <c r="K1035" s="4">
        <f>Cocina[[#This Row],[Ganancia neta]]/_xlfn.XLOOKUP(Cocina[[#This Row],[Número de Orden]],Sala[Número de Orden],Sala[Monto total],"fracaso",0,1)</f>
        <v>0.14778325123152711</v>
      </c>
      <c r="L1035" t="s">
        <v>607</v>
      </c>
    </row>
    <row r="1036" spans="1:12" x14ac:dyDescent="0.25">
      <c r="A1036">
        <v>410</v>
      </c>
      <c r="B1036">
        <v>1</v>
      </c>
      <c r="C1036" t="s">
        <v>146</v>
      </c>
      <c r="D1036" t="s">
        <v>632</v>
      </c>
      <c r="E1036">
        <v>12</v>
      </c>
      <c r="F1036">
        <v>20</v>
      </c>
      <c r="G1036">
        <v>1</v>
      </c>
      <c r="H1036">
        <v>50</v>
      </c>
      <c r="I1036">
        <f>Cocina[[#This Row],[Precio Unitario]]*Cocina[[#This Row],[Cantidad Ordenada]]</f>
        <v>20</v>
      </c>
      <c r="J1036">
        <f>(Cocina[[#This Row],[Precio Unitario]]-Cocina[[#This Row],[Costo Unitario]])*Cocina[[#This Row],[Cantidad Ordenada]]</f>
        <v>8</v>
      </c>
      <c r="K1036" s="4">
        <f>Cocina[[#This Row],[Ganancia neta]]/_xlfn.XLOOKUP(Cocina[[#This Row],[Número de Orden]],Sala[Número de Orden],Sala[Monto total],"fracaso",0,1)</f>
        <v>0.14285714285714285</v>
      </c>
      <c r="L1036" t="s">
        <v>608</v>
      </c>
    </row>
    <row r="1037" spans="1:12" x14ac:dyDescent="0.25">
      <c r="A1037">
        <v>410</v>
      </c>
      <c r="B1037">
        <v>1</v>
      </c>
      <c r="C1037" t="s">
        <v>73</v>
      </c>
      <c r="D1037" t="s">
        <v>623</v>
      </c>
      <c r="E1037">
        <v>22</v>
      </c>
      <c r="F1037">
        <v>36</v>
      </c>
      <c r="G1037">
        <v>1</v>
      </c>
      <c r="H1037">
        <v>41</v>
      </c>
      <c r="I1037">
        <f>Cocina[[#This Row],[Precio Unitario]]*Cocina[[#This Row],[Cantidad Ordenada]]</f>
        <v>36</v>
      </c>
      <c r="J1037">
        <f>(Cocina[[#This Row],[Precio Unitario]]-Cocina[[#This Row],[Costo Unitario]])*Cocina[[#This Row],[Cantidad Ordenada]]</f>
        <v>14</v>
      </c>
      <c r="K1037" s="4">
        <f>Cocina[[#This Row],[Ganancia neta]]/_xlfn.XLOOKUP(Cocina[[#This Row],[Número de Orden]],Sala[Número de Orden],Sala[Monto total],"fracaso",0,1)</f>
        <v>0.25</v>
      </c>
      <c r="L1037" t="s">
        <v>607</v>
      </c>
    </row>
    <row r="1038" spans="1:12" x14ac:dyDescent="0.25">
      <c r="A1038">
        <v>411</v>
      </c>
      <c r="B1038">
        <v>3</v>
      </c>
      <c r="C1038" t="s">
        <v>48</v>
      </c>
      <c r="D1038" t="s">
        <v>622</v>
      </c>
      <c r="E1038">
        <v>25</v>
      </c>
      <c r="F1038">
        <v>40</v>
      </c>
      <c r="G1038">
        <v>3</v>
      </c>
      <c r="H1038">
        <v>36</v>
      </c>
      <c r="I1038">
        <f>Cocina[[#This Row],[Precio Unitario]]*Cocina[[#This Row],[Cantidad Ordenada]]</f>
        <v>120</v>
      </c>
      <c r="J1038">
        <f>(Cocina[[#This Row],[Precio Unitario]]-Cocina[[#This Row],[Costo Unitario]])*Cocina[[#This Row],[Cantidad Ordenada]]</f>
        <v>45</v>
      </c>
      <c r="K1038" s="4">
        <f>Cocina[[#This Row],[Ganancia neta]]/_xlfn.XLOOKUP(Cocina[[#This Row],[Número de Orden]],Sala[Número de Orden],Sala[Monto total],"fracaso",0,1)</f>
        <v>0.20547945205479451</v>
      </c>
      <c r="L1038" t="s">
        <v>608</v>
      </c>
    </row>
    <row r="1039" spans="1:12" x14ac:dyDescent="0.25">
      <c r="A1039">
        <v>411</v>
      </c>
      <c r="B1039">
        <v>3</v>
      </c>
      <c r="C1039" t="s">
        <v>79</v>
      </c>
      <c r="D1039" t="s">
        <v>635</v>
      </c>
      <c r="E1039">
        <v>10</v>
      </c>
      <c r="F1039">
        <v>18</v>
      </c>
      <c r="G1039">
        <v>1</v>
      </c>
      <c r="H1039">
        <v>33</v>
      </c>
      <c r="I1039">
        <f>Cocina[[#This Row],[Precio Unitario]]*Cocina[[#This Row],[Cantidad Ordenada]]</f>
        <v>18</v>
      </c>
      <c r="J1039">
        <f>(Cocina[[#This Row],[Precio Unitario]]-Cocina[[#This Row],[Costo Unitario]])*Cocina[[#This Row],[Cantidad Ordenada]]</f>
        <v>8</v>
      </c>
      <c r="K1039" s="4">
        <f>Cocina[[#This Row],[Ganancia neta]]/_xlfn.XLOOKUP(Cocina[[#This Row],[Número de Orden]],Sala[Número de Orden],Sala[Monto total],"fracaso",0,1)</f>
        <v>3.6529680365296802E-2</v>
      </c>
      <c r="L1039" t="s">
        <v>607</v>
      </c>
    </row>
    <row r="1040" spans="1:12" x14ac:dyDescent="0.25">
      <c r="A1040">
        <v>411</v>
      </c>
      <c r="B1040">
        <v>3</v>
      </c>
      <c r="C1040" t="s">
        <v>106</v>
      </c>
      <c r="D1040" t="s">
        <v>621</v>
      </c>
      <c r="E1040">
        <v>16</v>
      </c>
      <c r="F1040">
        <v>27</v>
      </c>
      <c r="G1040">
        <v>3</v>
      </c>
      <c r="H1040">
        <v>9</v>
      </c>
      <c r="I1040">
        <f>Cocina[[#This Row],[Precio Unitario]]*Cocina[[#This Row],[Cantidad Ordenada]]</f>
        <v>81</v>
      </c>
      <c r="J1040">
        <f>(Cocina[[#This Row],[Precio Unitario]]-Cocina[[#This Row],[Costo Unitario]])*Cocina[[#This Row],[Cantidad Ordenada]]</f>
        <v>33</v>
      </c>
      <c r="K1040" s="4">
        <f>Cocina[[#This Row],[Ganancia neta]]/_xlfn.XLOOKUP(Cocina[[#This Row],[Número de Orden]],Sala[Número de Orden],Sala[Monto total],"fracaso",0,1)</f>
        <v>0.15068493150684931</v>
      </c>
      <c r="L1040" t="s">
        <v>607</v>
      </c>
    </row>
    <row r="1041" spans="1:12" x14ac:dyDescent="0.25">
      <c r="A1041">
        <v>412</v>
      </c>
      <c r="B1041">
        <v>11</v>
      </c>
      <c r="C1041" t="s">
        <v>116</v>
      </c>
      <c r="D1041" t="s">
        <v>620</v>
      </c>
      <c r="E1041">
        <v>19</v>
      </c>
      <c r="F1041">
        <v>31</v>
      </c>
      <c r="G1041">
        <v>3</v>
      </c>
      <c r="H1041">
        <v>57</v>
      </c>
      <c r="I1041">
        <f>Cocina[[#This Row],[Precio Unitario]]*Cocina[[#This Row],[Cantidad Ordenada]]</f>
        <v>93</v>
      </c>
      <c r="J1041">
        <f>(Cocina[[#This Row],[Precio Unitario]]-Cocina[[#This Row],[Costo Unitario]])*Cocina[[#This Row],[Cantidad Ordenada]]</f>
        <v>36</v>
      </c>
      <c r="K1041" s="4">
        <f>Cocina[[#This Row],[Ganancia neta]]/_xlfn.XLOOKUP(Cocina[[#This Row],[Número de Orden]],Sala[Número de Orden],Sala[Monto total],"fracaso",0,1)</f>
        <v>0.38709677419354838</v>
      </c>
      <c r="L1041" t="s">
        <v>608</v>
      </c>
    </row>
    <row r="1042" spans="1:12" x14ac:dyDescent="0.25">
      <c r="A1042">
        <v>413</v>
      </c>
      <c r="B1042">
        <v>13</v>
      </c>
      <c r="C1042" t="s">
        <v>26</v>
      </c>
      <c r="D1042" t="s">
        <v>628</v>
      </c>
      <c r="E1042">
        <v>21</v>
      </c>
      <c r="F1042">
        <v>35</v>
      </c>
      <c r="G1042">
        <v>1</v>
      </c>
      <c r="H1042">
        <v>12</v>
      </c>
      <c r="I1042">
        <f>Cocina[[#This Row],[Precio Unitario]]*Cocina[[#This Row],[Cantidad Ordenada]]</f>
        <v>35</v>
      </c>
      <c r="J1042">
        <f>(Cocina[[#This Row],[Precio Unitario]]-Cocina[[#This Row],[Costo Unitario]])*Cocina[[#This Row],[Cantidad Ordenada]]</f>
        <v>14</v>
      </c>
      <c r="K1042" s="4">
        <f>Cocina[[#This Row],[Ganancia neta]]/_xlfn.XLOOKUP(Cocina[[#This Row],[Número de Orden]],Sala[Número de Orden],Sala[Monto total],"fracaso",0,1)</f>
        <v>0.4</v>
      </c>
      <c r="L1042" t="s">
        <v>608</v>
      </c>
    </row>
    <row r="1043" spans="1:12" x14ac:dyDescent="0.25">
      <c r="A1043">
        <v>414</v>
      </c>
      <c r="B1043">
        <v>14</v>
      </c>
      <c r="C1043" t="s">
        <v>261</v>
      </c>
      <c r="D1043" t="s">
        <v>625</v>
      </c>
      <c r="E1043">
        <v>20</v>
      </c>
      <c r="F1043">
        <v>33</v>
      </c>
      <c r="G1043">
        <v>1</v>
      </c>
      <c r="H1043">
        <v>38</v>
      </c>
      <c r="I1043">
        <f>Cocina[[#This Row],[Precio Unitario]]*Cocina[[#This Row],[Cantidad Ordenada]]</f>
        <v>33</v>
      </c>
      <c r="J1043">
        <f>(Cocina[[#This Row],[Precio Unitario]]-Cocina[[#This Row],[Costo Unitario]])*Cocina[[#This Row],[Cantidad Ordenada]]</f>
        <v>13</v>
      </c>
      <c r="K1043" s="4">
        <f>Cocina[[#This Row],[Ganancia neta]]/_xlfn.XLOOKUP(Cocina[[#This Row],[Número de Orden]],Sala[Número de Orden],Sala[Monto total],"fracaso",0,1)</f>
        <v>0.39393939393939392</v>
      </c>
      <c r="L1043" t="s">
        <v>607</v>
      </c>
    </row>
    <row r="1044" spans="1:12" x14ac:dyDescent="0.25">
      <c r="A1044">
        <v>415</v>
      </c>
      <c r="B1044">
        <v>14</v>
      </c>
      <c r="C1044" t="s">
        <v>106</v>
      </c>
      <c r="D1044" t="s">
        <v>621</v>
      </c>
      <c r="E1044">
        <v>16</v>
      </c>
      <c r="F1044">
        <v>27</v>
      </c>
      <c r="G1044">
        <v>2</v>
      </c>
      <c r="H1044">
        <v>32</v>
      </c>
      <c r="I1044">
        <f>Cocina[[#This Row],[Precio Unitario]]*Cocina[[#This Row],[Cantidad Ordenada]]</f>
        <v>54</v>
      </c>
      <c r="J1044">
        <f>(Cocina[[#This Row],[Precio Unitario]]-Cocina[[#This Row],[Costo Unitario]])*Cocina[[#This Row],[Cantidad Ordenada]]</f>
        <v>22</v>
      </c>
      <c r="K1044" s="4">
        <f>Cocina[[#This Row],[Ganancia neta]]/_xlfn.XLOOKUP(Cocina[[#This Row],[Número de Orden]],Sala[Número de Orden],Sala[Monto total],"fracaso",0,1)</f>
        <v>0.13924050632911392</v>
      </c>
      <c r="L1044" t="s">
        <v>607</v>
      </c>
    </row>
    <row r="1045" spans="1:12" x14ac:dyDescent="0.25">
      <c r="A1045">
        <v>415</v>
      </c>
      <c r="B1045">
        <v>14</v>
      </c>
      <c r="C1045" t="s">
        <v>55</v>
      </c>
      <c r="D1045" t="s">
        <v>631</v>
      </c>
      <c r="E1045">
        <v>20</v>
      </c>
      <c r="F1045">
        <v>34</v>
      </c>
      <c r="G1045">
        <v>2</v>
      </c>
      <c r="H1045">
        <v>16</v>
      </c>
      <c r="I1045">
        <f>Cocina[[#This Row],[Precio Unitario]]*Cocina[[#This Row],[Cantidad Ordenada]]</f>
        <v>68</v>
      </c>
      <c r="J1045">
        <f>(Cocina[[#This Row],[Precio Unitario]]-Cocina[[#This Row],[Costo Unitario]])*Cocina[[#This Row],[Cantidad Ordenada]]</f>
        <v>28</v>
      </c>
      <c r="K1045" s="4">
        <f>Cocina[[#This Row],[Ganancia neta]]/_xlfn.XLOOKUP(Cocina[[#This Row],[Número de Orden]],Sala[Número de Orden],Sala[Monto total],"fracaso",0,1)</f>
        <v>0.17721518987341772</v>
      </c>
      <c r="L1045" t="s">
        <v>608</v>
      </c>
    </row>
    <row r="1046" spans="1:12" x14ac:dyDescent="0.25">
      <c r="A1046">
        <v>415</v>
      </c>
      <c r="B1046">
        <v>14</v>
      </c>
      <c r="C1046" t="s">
        <v>73</v>
      </c>
      <c r="D1046" t="s">
        <v>623</v>
      </c>
      <c r="E1046">
        <v>22</v>
      </c>
      <c r="F1046">
        <v>36</v>
      </c>
      <c r="G1046">
        <v>1</v>
      </c>
      <c r="H1046">
        <v>39</v>
      </c>
      <c r="I1046">
        <f>Cocina[[#This Row],[Precio Unitario]]*Cocina[[#This Row],[Cantidad Ordenada]]</f>
        <v>36</v>
      </c>
      <c r="J1046">
        <f>(Cocina[[#This Row],[Precio Unitario]]-Cocina[[#This Row],[Costo Unitario]])*Cocina[[#This Row],[Cantidad Ordenada]]</f>
        <v>14</v>
      </c>
      <c r="K1046" s="4">
        <f>Cocina[[#This Row],[Ganancia neta]]/_xlfn.XLOOKUP(Cocina[[#This Row],[Número de Orden]],Sala[Número de Orden],Sala[Monto total],"fracaso",0,1)</f>
        <v>8.8607594936708861E-2</v>
      </c>
      <c r="L1046" t="s">
        <v>607</v>
      </c>
    </row>
    <row r="1047" spans="1:12" x14ac:dyDescent="0.25">
      <c r="A1047">
        <v>416</v>
      </c>
      <c r="B1047">
        <v>20</v>
      </c>
      <c r="C1047" t="s">
        <v>122</v>
      </c>
      <c r="D1047" t="s">
        <v>637</v>
      </c>
      <c r="E1047">
        <v>15</v>
      </c>
      <c r="F1047">
        <v>25</v>
      </c>
      <c r="G1047">
        <v>1</v>
      </c>
      <c r="H1047">
        <v>9</v>
      </c>
      <c r="I1047">
        <f>Cocina[[#This Row],[Precio Unitario]]*Cocina[[#This Row],[Cantidad Ordenada]]</f>
        <v>25</v>
      </c>
      <c r="J1047">
        <f>(Cocina[[#This Row],[Precio Unitario]]-Cocina[[#This Row],[Costo Unitario]])*Cocina[[#This Row],[Cantidad Ordenada]]</f>
        <v>10</v>
      </c>
      <c r="K1047" s="4">
        <f>Cocina[[#This Row],[Ganancia neta]]/_xlfn.XLOOKUP(Cocina[[#This Row],[Número de Orden]],Sala[Número de Orden],Sala[Monto total],"fracaso",0,1)</f>
        <v>0.4</v>
      </c>
      <c r="L1047" t="s">
        <v>608</v>
      </c>
    </row>
    <row r="1048" spans="1:12" x14ac:dyDescent="0.25">
      <c r="A1048">
        <v>417</v>
      </c>
      <c r="B1048">
        <v>7</v>
      </c>
      <c r="C1048" t="s">
        <v>38</v>
      </c>
      <c r="D1048" t="s">
        <v>624</v>
      </c>
      <c r="E1048">
        <v>17</v>
      </c>
      <c r="F1048">
        <v>29</v>
      </c>
      <c r="G1048">
        <v>1</v>
      </c>
      <c r="H1048">
        <v>23</v>
      </c>
      <c r="I1048">
        <f>Cocina[[#This Row],[Precio Unitario]]*Cocina[[#This Row],[Cantidad Ordenada]]</f>
        <v>29</v>
      </c>
      <c r="J1048">
        <f>(Cocina[[#This Row],[Precio Unitario]]-Cocina[[#This Row],[Costo Unitario]])*Cocina[[#This Row],[Cantidad Ordenada]]</f>
        <v>12</v>
      </c>
      <c r="K1048" s="4">
        <f>Cocina[[#This Row],[Ganancia neta]]/_xlfn.XLOOKUP(Cocina[[#This Row],[Número de Orden]],Sala[Número de Orden],Sala[Monto total],"fracaso",0,1)</f>
        <v>8.4507042253521125E-2</v>
      </c>
      <c r="L1048" t="s">
        <v>607</v>
      </c>
    </row>
    <row r="1049" spans="1:12" x14ac:dyDescent="0.25">
      <c r="A1049">
        <v>417</v>
      </c>
      <c r="B1049">
        <v>7</v>
      </c>
      <c r="C1049" t="s">
        <v>48</v>
      </c>
      <c r="D1049" t="s">
        <v>622</v>
      </c>
      <c r="E1049">
        <v>25</v>
      </c>
      <c r="F1049">
        <v>40</v>
      </c>
      <c r="G1049">
        <v>1</v>
      </c>
      <c r="H1049">
        <v>17</v>
      </c>
      <c r="I1049">
        <f>Cocina[[#This Row],[Precio Unitario]]*Cocina[[#This Row],[Cantidad Ordenada]]</f>
        <v>40</v>
      </c>
      <c r="J1049">
        <f>(Cocina[[#This Row],[Precio Unitario]]-Cocina[[#This Row],[Costo Unitario]])*Cocina[[#This Row],[Cantidad Ordenada]]</f>
        <v>15</v>
      </c>
      <c r="K1049" s="4">
        <f>Cocina[[#This Row],[Ganancia neta]]/_xlfn.XLOOKUP(Cocina[[#This Row],[Número de Orden]],Sala[Número de Orden],Sala[Monto total],"fracaso",0,1)</f>
        <v>0.10563380281690141</v>
      </c>
      <c r="L1049" t="s">
        <v>607</v>
      </c>
    </row>
    <row r="1050" spans="1:12" x14ac:dyDescent="0.25">
      <c r="A1050">
        <v>417</v>
      </c>
      <c r="B1050">
        <v>7</v>
      </c>
      <c r="C1050" t="s">
        <v>112</v>
      </c>
      <c r="D1050" t="s">
        <v>627</v>
      </c>
      <c r="E1050">
        <v>11</v>
      </c>
      <c r="F1050">
        <v>19</v>
      </c>
      <c r="G1050">
        <v>1</v>
      </c>
      <c r="H1050">
        <v>16</v>
      </c>
      <c r="I1050">
        <f>Cocina[[#This Row],[Precio Unitario]]*Cocina[[#This Row],[Cantidad Ordenada]]</f>
        <v>19</v>
      </c>
      <c r="J1050">
        <f>(Cocina[[#This Row],[Precio Unitario]]-Cocina[[#This Row],[Costo Unitario]])*Cocina[[#This Row],[Cantidad Ordenada]]</f>
        <v>8</v>
      </c>
      <c r="K1050" s="4">
        <f>Cocina[[#This Row],[Ganancia neta]]/_xlfn.XLOOKUP(Cocina[[#This Row],[Número de Orden]],Sala[Número de Orden],Sala[Monto total],"fracaso",0,1)</f>
        <v>5.6338028169014086E-2</v>
      </c>
      <c r="L1050" t="s">
        <v>608</v>
      </c>
    </row>
    <row r="1051" spans="1:12" x14ac:dyDescent="0.25">
      <c r="A1051">
        <v>417</v>
      </c>
      <c r="B1051">
        <v>7</v>
      </c>
      <c r="C1051" t="s">
        <v>106</v>
      </c>
      <c r="D1051" t="s">
        <v>621</v>
      </c>
      <c r="E1051">
        <v>16</v>
      </c>
      <c r="F1051">
        <v>27</v>
      </c>
      <c r="G1051">
        <v>2</v>
      </c>
      <c r="H1051">
        <v>34</v>
      </c>
      <c r="I1051">
        <f>Cocina[[#This Row],[Precio Unitario]]*Cocina[[#This Row],[Cantidad Ordenada]]</f>
        <v>54</v>
      </c>
      <c r="J1051">
        <f>(Cocina[[#This Row],[Precio Unitario]]-Cocina[[#This Row],[Costo Unitario]])*Cocina[[#This Row],[Cantidad Ordenada]]</f>
        <v>22</v>
      </c>
      <c r="K1051" s="4">
        <f>Cocina[[#This Row],[Ganancia neta]]/_xlfn.XLOOKUP(Cocina[[#This Row],[Número de Orden]],Sala[Número de Orden],Sala[Monto total],"fracaso",0,1)</f>
        <v>0.15492957746478872</v>
      </c>
      <c r="L1051" t="s">
        <v>608</v>
      </c>
    </row>
    <row r="1052" spans="1:12" x14ac:dyDescent="0.25">
      <c r="A1052">
        <v>418</v>
      </c>
      <c r="B1052">
        <v>17</v>
      </c>
      <c r="C1052" t="s">
        <v>122</v>
      </c>
      <c r="D1052" t="s">
        <v>637</v>
      </c>
      <c r="E1052">
        <v>15</v>
      </c>
      <c r="F1052">
        <v>25</v>
      </c>
      <c r="G1052">
        <v>1</v>
      </c>
      <c r="H1052">
        <v>45</v>
      </c>
      <c r="I1052">
        <f>Cocina[[#This Row],[Precio Unitario]]*Cocina[[#This Row],[Cantidad Ordenada]]</f>
        <v>25</v>
      </c>
      <c r="J1052">
        <f>(Cocina[[#This Row],[Precio Unitario]]-Cocina[[#This Row],[Costo Unitario]])*Cocina[[#This Row],[Cantidad Ordenada]]</f>
        <v>10</v>
      </c>
      <c r="K1052" s="4">
        <f>Cocina[[#This Row],[Ganancia neta]]/_xlfn.XLOOKUP(Cocina[[#This Row],[Número de Orden]],Sala[Número de Orden],Sala[Monto total],"fracaso",0,1)</f>
        <v>8.4745762711864403E-2</v>
      </c>
      <c r="L1052" t="s">
        <v>607</v>
      </c>
    </row>
    <row r="1053" spans="1:12" x14ac:dyDescent="0.25">
      <c r="A1053">
        <v>418</v>
      </c>
      <c r="B1053">
        <v>17</v>
      </c>
      <c r="C1053" t="s">
        <v>116</v>
      </c>
      <c r="D1053" t="s">
        <v>620</v>
      </c>
      <c r="E1053">
        <v>19</v>
      </c>
      <c r="F1053">
        <v>31</v>
      </c>
      <c r="G1053">
        <v>3</v>
      </c>
      <c r="H1053">
        <v>55</v>
      </c>
      <c r="I1053">
        <f>Cocina[[#This Row],[Precio Unitario]]*Cocina[[#This Row],[Cantidad Ordenada]]</f>
        <v>93</v>
      </c>
      <c r="J1053">
        <f>(Cocina[[#This Row],[Precio Unitario]]-Cocina[[#This Row],[Costo Unitario]])*Cocina[[#This Row],[Cantidad Ordenada]]</f>
        <v>36</v>
      </c>
      <c r="K1053" s="4">
        <f>Cocina[[#This Row],[Ganancia neta]]/_xlfn.XLOOKUP(Cocina[[#This Row],[Número de Orden]],Sala[Número de Orden],Sala[Monto total],"fracaso",0,1)</f>
        <v>0.30508474576271188</v>
      </c>
      <c r="L1053" t="s">
        <v>608</v>
      </c>
    </row>
    <row r="1054" spans="1:12" x14ac:dyDescent="0.25">
      <c r="A1054">
        <v>419</v>
      </c>
      <c r="B1054">
        <v>11</v>
      </c>
      <c r="C1054" t="s">
        <v>55</v>
      </c>
      <c r="D1054" t="s">
        <v>631</v>
      </c>
      <c r="E1054">
        <v>20</v>
      </c>
      <c r="F1054">
        <v>34</v>
      </c>
      <c r="G1054">
        <v>1</v>
      </c>
      <c r="H1054">
        <v>7</v>
      </c>
      <c r="I1054">
        <f>Cocina[[#This Row],[Precio Unitario]]*Cocina[[#This Row],[Cantidad Ordenada]]</f>
        <v>34</v>
      </c>
      <c r="J1054">
        <f>(Cocina[[#This Row],[Precio Unitario]]-Cocina[[#This Row],[Costo Unitario]])*Cocina[[#This Row],[Cantidad Ordenada]]</f>
        <v>14</v>
      </c>
      <c r="K1054" s="4">
        <f>Cocina[[#This Row],[Ganancia neta]]/_xlfn.XLOOKUP(Cocina[[#This Row],[Número de Orden]],Sala[Número de Orden],Sala[Monto total],"fracaso",0,1)</f>
        <v>0.20895522388059701</v>
      </c>
      <c r="L1054" t="s">
        <v>608</v>
      </c>
    </row>
    <row r="1055" spans="1:12" x14ac:dyDescent="0.25">
      <c r="A1055">
        <v>419</v>
      </c>
      <c r="B1055">
        <v>11</v>
      </c>
      <c r="C1055" t="s">
        <v>261</v>
      </c>
      <c r="D1055" t="s">
        <v>625</v>
      </c>
      <c r="E1055">
        <v>20</v>
      </c>
      <c r="F1055">
        <v>33</v>
      </c>
      <c r="G1055">
        <v>1</v>
      </c>
      <c r="H1055">
        <v>57</v>
      </c>
      <c r="I1055">
        <f>Cocina[[#This Row],[Precio Unitario]]*Cocina[[#This Row],[Cantidad Ordenada]]</f>
        <v>33</v>
      </c>
      <c r="J1055">
        <f>(Cocina[[#This Row],[Precio Unitario]]-Cocina[[#This Row],[Costo Unitario]])*Cocina[[#This Row],[Cantidad Ordenada]]</f>
        <v>13</v>
      </c>
      <c r="K1055" s="4">
        <f>Cocina[[#This Row],[Ganancia neta]]/_xlfn.XLOOKUP(Cocina[[#This Row],[Número de Orden]],Sala[Número de Orden],Sala[Monto total],"fracaso",0,1)</f>
        <v>0.19402985074626866</v>
      </c>
      <c r="L1055" t="s">
        <v>607</v>
      </c>
    </row>
    <row r="1056" spans="1:12" x14ac:dyDescent="0.25">
      <c r="A1056">
        <v>420</v>
      </c>
      <c r="B1056">
        <v>18</v>
      </c>
      <c r="C1056" t="s">
        <v>55</v>
      </c>
      <c r="D1056" t="s">
        <v>631</v>
      </c>
      <c r="E1056">
        <v>20</v>
      </c>
      <c r="F1056">
        <v>34</v>
      </c>
      <c r="G1056">
        <v>2</v>
      </c>
      <c r="H1056">
        <v>33</v>
      </c>
      <c r="I1056">
        <f>Cocina[[#This Row],[Precio Unitario]]*Cocina[[#This Row],[Cantidad Ordenada]]</f>
        <v>68</v>
      </c>
      <c r="J1056">
        <f>(Cocina[[#This Row],[Precio Unitario]]-Cocina[[#This Row],[Costo Unitario]])*Cocina[[#This Row],[Cantidad Ordenada]]</f>
        <v>28</v>
      </c>
      <c r="K1056" s="4">
        <f>Cocina[[#This Row],[Ganancia neta]]/_xlfn.XLOOKUP(Cocina[[#This Row],[Número de Orden]],Sala[Número de Orden],Sala[Monto total],"fracaso",0,1)</f>
        <v>0.11570247933884298</v>
      </c>
      <c r="L1056" t="s">
        <v>607</v>
      </c>
    </row>
    <row r="1057" spans="1:12" x14ac:dyDescent="0.25">
      <c r="A1057">
        <v>420</v>
      </c>
      <c r="B1057">
        <v>18</v>
      </c>
      <c r="C1057" t="s">
        <v>146</v>
      </c>
      <c r="D1057" t="s">
        <v>632</v>
      </c>
      <c r="E1057">
        <v>12</v>
      </c>
      <c r="F1057">
        <v>20</v>
      </c>
      <c r="G1057">
        <v>3</v>
      </c>
      <c r="H1057">
        <v>10</v>
      </c>
      <c r="I1057">
        <f>Cocina[[#This Row],[Precio Unitario]]*Cocina[[#This Row],[Cantidad Ordenada]]</f>
        <v>60</v>
      </c>
      <c r="J1057">
        <f>(Cocina[[#This Row],[Precio Unitario]]-Cocina[[#This Row],[Costo Unitario]])*Cocina[[#This Row],[Cantidad Ordenada]]</f>
        <v>24</v>
      </c>
      <c r="K1057" s="4">
        <f>Cocina[[#This Row],[Ganancia neta]]/_xlfn.XLOOKUP(Cocina[[#This Row],[Número de Orden]],Sala[Número de Orden],Sala[Monto total],"fracaso",0,1)</f>
        <v>9.9173553719008267E-2</v>
      </c>
      <c r="L1057" t="s">
        <v>607</v>
      </c>
    </row>
    <row r="1058" spans="1:12" x14ac:dyDescent="0.25">
      <c r="A1058">
        <v>420</v>
      </c>
      <c r="B1058">
        <v>18</v>
      </c>
      <c r="C1058" t="s">
        <v>122</v>
      </c>
      <c r="D1058" t="s">
        <v>637</v>
      </c>
      <c r="E1058">
        <v>15</v>
      </c>
      <c r="F1058">
        <v>25</v>
      </c>
      <c r="G1058">
        <v>2</v>
      </c>
      <c r="H1058">
        <v>28</v>
      </c>
      <c r="I1058">
        <f>Cocina[[#This Row],[Precio Unitario]]*Cocina[[#This Row],[Cantidad Ordenada]]</f>
        <v>50</v>
      </c>
      <c r="J1058">
        <f>(Cocina[[#This Row],[Precio Unitario]]-Cocina[[#This Row],[Costo Unitario]])*Cocina[[#This Row],[Cantidad Ordenada]]</f>
        <v>20</v>
      </c>
      <c r="K1058" s="4">
        <f>Cocina[[#This Row],[Ganancia neta]]/_xlfn.XLOOKUP(Cocina[[#This Row],[Número de Orden]],Sala[Número de Orden],Sala[Monto total],"fracaso",0,1)</f>
        <v>8.2644628099173556E-2</v>
      </c>
      <c r="L1058" t="s">
        <v>607</v>
      </c>
    </row>
    <row r="1059" spans="1:12" x14ac:dyDescent="0.25">
      <c r="A1059">
        <v>420</v>
      </c>
      <c r="B1059">
        <v>18</v>
      </c>
      <c r="C1059" t="s">
        <v>247</v>
      </c>
      <c r="D1059" t="s">
        <v>629</v>
      </c>
      <c r="E1059">
        <v>19</v>
      </c>
      <c r="F1059">
        <v>32</v>
      </c>
      <c r="G1059">
        <v>2</v>
      </c>
      <c r="H1059">
        <v>34</v>
      </c>
      <c r="I1059">
        <f>Cocina[[#This Row],[Precio Unitario]]*Cocina[[#This Row],[Cantidad Ordenada]]</f>
        <v>64</v>
      </c>
      <c r="J1059">
        <f>(Cocina[[#This Row],[Precio Unitario]]-Cocina[[#This Row],[Costo Unitario]])*Cocina[[#This Row],[Cantidad Ordenada]]</f>
        <v>26</v>
      </c>
      <c r="K1059" s="4">
        <f>Cocina[[#This Row],[Ganancia neta]]/_xlfn.XLOOKUP(Cocina[[#This Row],[Número de Orden]],Sala[Número de Orden],Sala[Monto total],"fracaso",0,1)</f>
        <v>0.10743801652892562</v>
      </c>
      <c r="L1059" t="s">
        <v>607</v>
      </c>
    </row>
    <row r="1060" spans="1:12" x14ac:dyDescent="0.25">
      <c r="A1060">
        <v>421</v>
      </c>
      <c r="B1060">
        <v>10</v>
      </c>
      <c r="C1060" t="s">
        <v>116</v>
      </c>
      <c r="D1060" t="s">
        <v>620</v>
      </c>
      <c r="E1060">
        <v>19</v>
      </c>
      <c r="F1060">
        <v>31</v>
      </c>
      <c r="G1060">
        <v>1</v>
      </c>
      <c r="H1060">
        <v>18</v>
      </c>
      <c r="I1060">
        <f>Cocina[[#This Row],[Precio Unitario]]*Cocina[[#This Row],[Cantidad Ordenada]]</f>
        <v>31</v>
      </c>
      <c r="J1060">
        <f>(Cocina[[#This Row],[Precio Unitario]]-Cocina[[#This Row],[Costo Unitario]])*Cocina[[#This Row],[Cantidad Ordenada]]</f>
        <v>12</v>
      </c>
      <c r="K1060" s="4">
        <f>Cocina[[#This Row],[Ganancia neta]]/_xlfn.XLOOKUP(Cocina[[#This Row],[Número de Orden]],Sala[Número de Orden],Sala[Monto total],"fracaso",0,1)</f>
        <v>0.14117647058823529</v>
      </c>
      <c r="L1060" t="s">
        <v>608</v>
      </c>
    </row>
    <row r="1061" spans="1:12" x14ac:dyDescent="0.25">
      <c r="A1061">
        <v>421</v>
      </c>
      <c r="B1061">
        <v>10</v>
      </c>
      <c r="C1061" t="s">
        <v>79</v>
      </c>
      <c r="D1061" t="s">
        <v>635</v>
      </c>
      <c r="E1061">
        <v>10</v>
      </c>
      <c r="F1061">
        <v>18</v>
      </c>
      <c r="G1061">
        <v>3</v>
      </c>
      <c r="H1061">
        <v>53</v>
      </c>
      <c r="I1061">
        <f>Cocina[[#This Row],[Precio Unitario]]*Cocina[[#This Row],[Cantidad Ordenada]]</f>
        <v>54</v>
      </c>
      <c r="J1061">
        <f>(Cocina[[#This Row],[Precio Unitario]]-Cocina[[#This Row],[Costo Unitario]])*Cocina[[#This Row],[Cantidad Ordenada]]</f>
        <v>24</v>
      </c>
      <c r="K1061" s="4">
        <f>Cocina[[#This Row],[Ganancia neta]]/_xlfn.XLOOKUP(Cocina[[#This Row],[Número de Orden]],Sala[Número de Orden],Sala[Monto total],"fracaso",0,1)</f>
        <v>0.28235294117647058</v>
      </c>
      <c r="L1061" t="s">
        <v>608</v>
      </c>
    </row>
    <row r="1062" spans="1:12" x14ac:dyDescent="0.25">
      <c r="A1062">
        <v>422</v>
      </c>
      <c r="B1062">
        <v>12</v>
      </c>
      <c r="C1062" t="s">
        <v>155</v>
      </c>
      <c r="D1062" t="s">
        <v>636</v>
      </c>
      <c r="E1062">
        <v>15</v>
      </c>
      <c r="F1062">
        <v>26</v>
      </c>
      <c r="G1062">
        <v>2</v>
      </c>
      <c r="H1062">
        <v>7</v>
      </c>
      <c r="I1062">
        <f>Cocina[[#This Row],[Precio Unitario]]*Cocina[[#This Row],[Cantidad Ordenada]]</f>
        <v>52</v>
      </c>
      <c r="J1062">
        <f>(Cocina[[#This Row],[Precio Unitario]]-Cocina[[#This Row],[Costo Unitario]])*Cocina[[#This Row],[Cantidad Ordenada]]</f>
        <v>22</v>
      </c>
      <c r="K1062" s="4">
        <f>Cocina[[#This Row],[Ganancia neta]]/_xlfn.XLOOKUP(Cocina[[#This Row],[Número de Orden]],Sala[Número de Orden],Sala[Monto total],"fracaso",0,1)</f>
        <v>0.25</v>
      </c>
      <c r="L1062" t="s">
        <v>608</v>
      </c>
    </row>
    <row r="1063" spans="1:12" x14ac:dyDescent="0.25">
      <c r="A1063">
        <v>422</v>
      </c>
      <c r="B1063">
        <v>12</v>
      </c>
      <c r="C1063" t="s">
        <v>73</v>
      </c>
      <c r="D1063" t="s">
        <v>623</v>
      </c>
      <c r="E1063">
        <v>22</v>
      </c>
      <c r="F1063">
        <v>36</v>
      </c>
      <c r="G1063">
        <v>1</v>
      </c>
      <c r="H1063">
        <v>27</v>
      </c>
      <c r="I1063">
        <f>Cocina[[#This Row],[Precio Unitario]]*Cocina[[#This Row],[Cantidad Ordenada]]</f>
        <v>36</v>
      </c>
      <c r="J1063">
        <f>(Cocina[[#This Row],[Precio Unitario]]-Cocina[[#This Row],[Costo Unitario]])*Cocina[[#This Row],[Cantidad Ordenada]]</f>
        <v>14</v>
      </c>
      <c r="K1063" s="4">
        <f>Cocina[[#This Row],[Ganancia neta]]/_xlfn.XLOOKUP(Cocina[[#This Row],[Número de Orden]],Sala[Número de Orden],Sala[Monto total],"fracaso",0,1)</f>
        <v>0.15909090909090909</v>
      </c>
      <c r="L1063" t="s">
        <v>607</v>
      </c>
    </row>
    <row r="1064" spans="1:12" x14ac:dyDescent="0.25">
      <c r="A1064">
        <v>423</v>
      </c>
      <c r="B1064">
        <v>4</v>
      </c>
      <c r="C1064" t="s">
        <v>42</v>
      </c>
      <c r="D1064" t="s">
        <v>626</v>
      </c>
      <c r="E1064">
        <v>16</v>
      </c>
      <c r="F1064">
        <v>28</v>
      </c>
      <c r="G1064">
        <v>2</v>
      </c>
      <c r="H1064">
        <v>24</v>
      </c>
      <c r="I1064">
        <f>Cocina[[#This Row],[Precio Unitario]]*Cocina[[#This Row],[Cantidad Ordenada]]</f>
        <v>56</v>
      </c>
      <c r="J1064">
        <f>(Cocina[[#This Row],[Precio Unitario]]-Cocina[[#This Row],[Costo Unitario]])*Cocina[[#This Row],[Cantidad Ordenada]]</f>
        <v>24</v>
      </c>
      <c r="K1064" s="4">
        <f>Cocina[[#This Row],[Ganancia neta]]/_xlfn.XLOOKUP(Cocina[[#This Row],[Número de Orden]],Sala[Número de Orden],Sala[Monto total],"fracaso",0,1)</f>
        <v>0.15789473684210525</v>
      </c>
      <c r="L1064" t="s">
        <v>607</v>
      </c>
    </row>
    <row r="1065" spans="1:12" x14ac:dyDescent="0.25">
      <c r="A1065">
        <v>423</v>
      </c>
      <c r="B1065">
        <v>4</v>
      </c>
      <c r="C1065" t="s">
        <v>247</v>
      </c>
      <c r="D1065" t="s">
        <v>629</v>
      </c>
      <c r="E1065">
        <v>19</v>
      </c>
      <c r="F1065">
        <v>32</v>
      </c>
      <c r="G1065">
        <v>3</v>
      </c>
      <c r="H1065">
        <v>7</v>
      </c>
      <c r="I1065">
        <f>Cocina[[#This Row],[Precio Unitario]]*Cocina[[#This Row],[Cantidad Ordenada]]</f>
        <v>96</v>
      </c>
      <c r="J1065">
        <f>(Cocina[[#This Row],[Precio Unitario]]-Cocina[[#This Row],[Costo Unitario]])*Cocina[[#This Row],[Cantidad Ordenada]]</f>
        <v>39</v>
      </c>
      <c r="K1065" s="4">
        <f>Cocina[[#This Row],[Ganancia neta]]/_xlfn.XLOOKUP(Cocina[[#This Row],[Número de Orden]],Sala[Número de Orden],Sala[Monto total],"fracaso",0,1)</f>
        <v>0.25657894736842107</v>
      </c>
      <c r="L1065" t="s">
        <v>608</v>
      </c>
    </row>
    <row r="1066" spans="1:12" x14ac:dyDescent="0.25">
      <c r="A1066">
        <v>424</v>
      </c>
      <c r="B1066">
        <v>13</v>
      </c>
      <c r="C1066" t="s">
        <v>203</v>
      </c>
      <c r="D1066" t="s">
        <v>630</v>
      </c>
      <c r="E1066">
        <v>13</v>
      </c>
      <c r="F1066">
        <v>22</v>
      </c>
      <c r="G1066">
        <v>3</v>
      </c>
      <c r="H1066">
        <v>43</v>
      </c>
      <c r="I1066">
        <f>Cocina[[#This Row],[Precio Unitario]]*Cocina[[#This Row],[Cantidad Ordenada]]</f>
        <v>66</v>
      </c>
      <c r="J1066">
        <f>(Cocina[[#This Row],[Precio Unitario]]-Cocina[[#This Row],[Costo Unitario]])*Cocina[[#This Row],[Cantidad Ordenada]]</f>
        <v>27</v>
      </c>
      <c r="K1066" s="4">
        <f>Cocina[[#This Row],[Ganancia neta]]/_xlfn.XLOOKUP(Cocina[[#This Row],[Número de Orden]],Sala[Número de Orden],Sala[Monto total],"fracaso",0,1)</f>
        <v>0.18367346938775511</v>
      </c>
      <c r="L1066" t="s">
        <v>607</v>
      </c>
    </row>
    <row r="1067" spans="1:12" x14ac:dyDescent="0.25">
      <c r="A1067">
        <v>424</v>
      </c>
      <c r="B1067">
        <v>13</v>
      </c>
      <c r="C1067" t="s">
        <v>106</v>
      </c>
      <c r="D1067" t="s">
        <v>621</v>
      </c>
      <c r="E1067">
        <v>16</v>
      </c>
      <c r="F1067">
        <v>27</v>
      </c>
      <c r="G1067">
        <v>3</v>
      </c>
      <c r="H1067">
        <v>45</v>
      </c>
      <c r="I1067">
        <f>Cocina[[#This Row],[Precio Unitario]]*Cocina[[#This Row],[Cantidad Ordenada]]</f>
        <v>81</v>
      </c>
      <c r="J1067">
        <f>(Cocina[[#This Row],[Precio Unitario]]-Cocina[[#This Row],[Costo Unitario]])*Cocina[[#This Row],[Cantidad Ordenada]]</f>
        <v>33</v>
      </c>
      <c r="K1067" s="4">
        <f>Cocina[[#This Row],[Ganancia neta]]/_xlfn.XLOOKUP(Cocina[[#This Row],[Número de Orden]],Sala[Número de Orden],Sala[Monto total],"fracaso",0,1)</f>
        <v>0.22448979591836735</v>
      </c>
      <c r="L1067" t="s">
        <v>608</v>
      </c>
    </row>
    <row r="1068" spans="1:12" x14ac:dyDescent="0.25">
      <c r="A1068">
        <v>425</v>
      </c>
      <c r="B1068">
        <v>18</v>
      </c>
      <c r="C1068" t="s">
        <v>112</v>
      </c>
      <c r="D1068" t="s">
        <v>627</v>
      </c>
      <c r="E1068">
        <v>11</v>
      </c>
      <c r="F1068">
        <v>19</v>
      </c>
      <c r="G1068">
        <v>1</v>
      </c>
      <c r="H1068">
        <v>28</v>
      </c>
      <c r="I1068">
        <f>Cocina[[#This Row],[Precio Unitario]]*Cocina[[#This Row],[Cantidad Ordenada]]</f>
        <v>19</v>
      </c>
      <c r="J1068">
        <f>(Cocina[[#This Row],[Precio Unitario]]-Cocina[[#This Row],[Costo Unitario]])*Cocina[[#This Row],[Cantidad Ordenada]]</f>
        <v>8</v>
      </c>
      <c r="K1068" s="4">
        <f>Cocina[[#This Row],[Ganancia neta]]/_xlfn.XLOOKUP(Cocina[[#This Row],[Número de Orden]],Sala[Número de Orden],Sala[Monto total],"fracaso",0,1)</f>
        <v>0.42105263157894735</v>
      </c>
      <c r="L1068" t="s">
        <v>608</v>
      </c>
    </row>
    <row r="1069" spans="1:12" x14ac:dyDescent="0.25">
      <c r="A1069">
        <v>426</v>
      </c>
      <c r="B1069">
        <v>5</v>
      </c>
      <c r="C1069" t="s">
        <v>261</v>
      </c>
      <c r="D1069" t="s">
        <v>625</v>
      </c>
      <c r="E1069">
        <v>20</v>
      </c>
      <c r="F1069">
        <v>33</v>
      </c>
      <c r="G1069">
        <v>1</v>
      </c>
      <c r="H1069">
        <v>8</v>
      </c>
      <c r="I1069">
        <f>Cocina[[#This Row],[Precio Unitario]]*Cocina[[#This Row],[Cantidad Ordenada]]</f>
        <v>33</v>
      </c>
      <c r="J1069">
        <f>(Cocina[[#This Row],[Precio Unitario]]-Cocina[[#This Row],[Costo Unitario]])*Cocina[[#This Row],[Cantidad Ordenada]]</f>
        <v>13</v>
      </c>
      <c r="K1069" s="4">
        <f>Cocina[[#This Row],[Ganancia neta]]/_xlfn.XLOOKUP(Cocina[[#This Row],[Número de Orden]],Sala[Número de Orden],Sala[Monto total],"fracaso",0,1)</f>
        <v>5.2631578947368418E-2</v>
      </c>
      <c r="L1069" t="s">
        <v>608</v>
      </c>
    </row>
    <row r="1070" spans="1:12" x14ac:dyDescent="0.25">
      <c r="A1070">
        <v>426</v>
      </c>
      <c r="B1070">
        <v>5</v>
      </c>
      <c r="C1070" t="s">
        <v>42</v>
      </c>
      <c r="D1070" t="s">
        <v>626</v>
      </c>
      <c r="E1070">
        <v>16</v>
      </c>
      <c r="F1070">
        <v>28</v>
      </c>
      <c r="G1070">
        <v>2</v>
      </c>
      <c r="H1070">
        <v>38</v>
      </c>
      <c r="I1070">
        <f>Cocina[[#This Row],[Precio Unitario]]*Cocina[[#This Row],[Cantidad Ordenada]]</f>
        <v>56</v>
      </c>
      <c r="J1070">
        <f>(Cocina[[#This Row],[Precio Unitario]]-Cocina[[#This Row],[Costo Unitario]])*Cocina[[#This Row],[Cantidad Ordenada]]</f>
        <v>24</v>
      </c>
      <c r="K1070" s="4">
        <f>Cocina[[#This Row],[Ganancia neta]]/_xlfn.XLOOKUP(Cocina[[#This Row],[Número de Orden]],Sala[Número de Orden],Sala[Monto total],"fracaso",0,1)</f>
        <v>9.7165991902834009E-2</v>
      </c>
      <c r="L1070" t="s">
        <v>608</v>
      </c>
    </row>
    <row r="1071" spans="1:12" x14ac:dyDescent="0.25">
      <c r="A1071">
        <v>426</v>
      </c>
      <c r="B1071">
        <v>5</v>
      </c>
      <c r="C1071" t="s">
        <v>122</v>
      </c>
      <c r="D1071" t="s">
        <v>637</v>
      </c>
      <c r="E1071">
        <v>15</v>
      </c>
      <c r="F1071">
        <v>25</v>
      </c>
      <c r="G1071">
        <v>2</v>
      </c>
      <c r="H1071">
        <v>23</v>
      </c>
      <c r="I1071">
        <f>Cocina[[#This Row],[Precio Unitario]]*Cocina[[#This Row],[Cantidad Ordenada]]</f>
        <v>50</v>
      </c>
      <c r="J1071">
        <f>(Cocina[[#This Row],[Precio Unitario]]-Cocina[[#This Row],[Costo Unitario]])*Cocina[[#This Row],[Cantidad Ordenada]]</f>
        <v>20</v>
      </c>
      <c r="K1071" s="4">
        <f>Cocina[[#This Row],[Ganancia neta]]/_xlfn.XLOOKUP(Cocina[[#This Row],[Número de Orden]],Sala[Número de Orden],Sala[Monto total],"fracaso",0,1)</f>
        <v>8.0971659919028341E-2</v>
      </c>
      <c r="L1071" t="s">
        <v>607</v>
      </c>
    </row>
    <row r="1072" spans="1:12" x14ac:dyDescent="0.25">
      <c r="A1072">
        <v>426</v>
      </c>
      <c r="B1072">
        <v>5</v>
      </c>
      <c r="C1072" t="s">
        <v>73</v>
      </c>
      <c r="D1072" t="s">
        <v>623</v>
      </c>
      <c r="E1072">
        <v>22</v>
      </c>
      <c r="F1072">
        <v>36</v>
      </c>
      <c r="G1072">
        <v>3</v>
      </c>
      <c r="H1072">
        <v>47</v>
      </c>
      <c r="I1072">
        <f>Cocina[[#This Row],[Precio Unitario]]*Cocina[[#This Row],[Cantidad Ordenada]]</f>
        <v>108</v>
      </c>
      <c r="J1072">
        <f>(Cocina[[#This Row],[Precio Unitario]]-Cocina[[#This Row],[Costo Unitario]])*Cocina[[#This Row],[Cantidad Ordenada]]</f>
        <v>42</v>
      </c>
      <c r="K1072" s="4">
        <f>Cocina[[#This Row],[Ganancia neta]]/_xlfn.XLOOKUP(Cocina[[#This Row],[Número de Orden]],Sala[Número de Orden],Sala[Monto total],"fracaso",0,1)</f>
        <v>0.17004048582995951</v>
      </c>
      <c r="L1072" t="s">
        <v>608</v>
      </c>
    </row>
    <row r="1073" spans="1:12" x14ac:dyDescent="0.25">
      <c r="A1073">
        <v>427</v>
      </c>
      <c r="B1073">
        <v>2</v>
      </c>
      <c r="C1073" t="s">
        <v>122</v>
      </c>
      <c r="D1073" t="s">
        <v>637</v>
      </c>
      <c r="E1073">
        <v>15</v>
      </c>
      <c r="F1073">
        <v>25</v>
      </c>
      <c r="G1073">
        <v>3</v>
      </c>
      <c r="H1073">
        <v>34</v>
      </c>
      <c r="I1073">
        <f>Cocina[[#This Row],[Precio Unitario]]*Cocina[[#This Row],[Cantidad Ordenada]]</f>
        <v>75</v>
      </c>
      <c r="J1073">
        <f>(Cocina[[#This Row],[Precio Unitario]]-Cocina[[#This Row],[Costo Unitario]])*Cocina[[#This Row],[Cantidad Ordenada]]</f>
        <v>30</v>
      </c>
      <c r="K1073" s="4">
        <f>Cocina[[#This Row],[Ganancia neta]]/_xlfn.XLOOKUP(Cocina[[#This Row],[Número de Orden]],Sala[Número de Orden],Sala[Monto total],"fracaso",0,1)</f>
        <v>0.14563106796116504</v>
      </c>
      <c r="L1073" t="s">
        <v>608</v>
      </c>
    </row>
    <row r="1074" spans="1:12" x14ac:dyDescent="0.25">
      <c r="A1074">
        <v>427</v>
      </c>
      <c r="B1074">
        <v>2</v>
      </c>
      <c r="C1074" t="s">
        <v>26</v>
      </c>
      <c r="D1074" t="s">
        <v>628</v>
      </c>
      <c r="E1074">
        <v>21</v>
      </c>
      <c r="F1074">
        <v>35</v>
      </c>
      <c r="G1074">
        <v>2</v>
      </c>
      <c r="H1074">
        <v>52</v>
      </c>
      <c r="I1074">
        <f>Cocina[[#This Row],[Precio Unitario]]*Cocina[[#This Row],[Cantidad Ordenada]]</f>
        <v>70</v>
      </c>
      <c r="J1074">
        <f>(Cocina[[#This Row],[Precio Unitario]]-Cocina[[#This Row],[Costo Unitario]])*Cocina[[#This Row],[Cantidad Ordenada]]</f>
        <v>28</v>
      </c>
      <c r="K1074" s="4">
        <f>Cocina[[#This Row],[Ganancia neta]]/_xlfn.XLOOKUP(Cocina[[#This Row],[Número de Orden]],Sala[Número de Orden],Sala[Monto total],"fracaso",0,1)</f>
        <v>0.13592233009708737</v>
      </c>
      <c r="L1074" t="s">
        <v>607</v>
      </c>
    </row>
    <row r="1075" spans="1:12" x14ac:dyDescent="0.25">
      <c r="A1075">
        <v>427</v>
      </c>
      <c r="B1075">
        <v>2</v>
      </c>
      <c r="C1075" t="s">
        <v>200</v>
      </c>
      <c r="D1075" t="s">
        <v>633</v>
      </c>
      <c r="E1075">
        <v>14</v>
      </c>
      <c r="F1075">
        <v>23</v>
      </c>
      <c r="G1075">
        <v>1</v>
      </c>
      <c r="H1075">
        <v>24</v>
      </c>
      <c r="I1075">
        <f>Cocina[[#This Row],[Precio Unitario]]*Cocina[[#This Row],[Cantidad Ordenada]]</f>
        <v>23</v>
      </c>
      <c r="J1075">
        <f>(Cocina[[#This Row],[Precio Unitario]]-Cocina[[#This Row],[Costo Unitario]])*Cocina[[#This Row],[Cantidad Ordenada]]</f>
        <v>9</v>
      </c>
      <c r="K1075" s="4">
        <f>Cocina[[#This Row],[Ganancia neta]]/_xlfn.XLOOKUP(Cocina[[#This Row],[Número de Orden]],Sala[Número de Orden],Sala[Monto total],"fracaso",0,1)</f>
        <v>4.3689320388349516E-2</v>
      </c>
      <c r="L1075" t="s">
        <v>608</v>
      </c>
    </row>
    <row r="1076" spans="1:12" x14ac:dyDescent="0.25">
      <c r="A1076">
        <v>427</v>
      </c>
      <c r="B1076">
        <v>2</v>
      </c>
      <c r="C1076" t="s">
        <v>112</v>
      </c>
      <c r="D1076" t="s">
        <v>627</v>
      </c>
      <c r="E1076">
        <v>11</v>
      </c>
      <c r="F1076">
        <v>19</v>
      </c>
      <c r="G1076">
        <v>2</v>
      </c>
      <c r="H1076">
        <v>56</v>
      </c>
      <c r="I1076">
        <f>Cocina[[#This Row],[Precio Unitario]]*Cocina[[#This Row],[Cantidad Ordenada]]</f>
        <v>38</v>
      </c>
      <c r="J1076">
        <f>(Cocina[[#This Row],[Precio Unitario]]-Cocina[[#This Row],[Costo Unitario]])*Cocina[[#This Row],[Cantidad Ordenada]]</f>
        <v>16</v>
      </c>
      <c r="K1076" s="4">
        <f>Cocina[[#This Row],[Ganancia neta]]/_xlfn.XLOOKUP(Cocina[[#This Row],[Número de Orden]],Sala[Número de Orden],Sala[Monto total],"fracaso",0,1)</f>
        <v>7.7669902912621352E-2</v>
      </c>
      <c r="L1076" t="s">
        <v>607</v>
      </c>
    </row>
    <row r="1077" spans="1:12" x14ac:dyDescent="0.25">
      <c r="A1077">
        <v>428</v>
      </c>
      <c r="B1077">
        <v>7</v>
      </c>
      <c r="C1077" t="s">
        <v>48</v>
      </c>
      <c r="D1077" t="s">
        <v>622</v>
      </c>
      <c r="E1077">
        <v>25</v>
      </c>
      <c r="F1077">
        <v>40</v>
      </c>
      <c r="G1077">
        <v>1</v>
      </c>
      <c r="H1077">
        <v>38</v>
      </c>
      <c r="I1077">
        <f>Cocina[[#This Row],[Precio Unitario]]*Cocina[[#This Row],[Cantidad Ordenada]]</f>
        <v>40</v>
      </c>
      <c r="J1077">
        <f>(Cocina[[#This Row],[Precio Unitario]]-Cocina[[#This Row],[Costo Unitario]])*Cocina[[#This Row],[Cantidad Ordenada]]</f>
        <v>15</v>
      </c>
      <c r="K1077" s="4">
        <f>Cocina[[#This Row],[Ganancia neta]]/_xlfn.XLOOKUP(Cocina[[#This Row],[Número de Orden]],Sala[Número de Orden],Sala[Monto total],"fracaso",0,1)</f>
        <v>8.5714285714285715E-2</v>
      </c>
      <c r="L1077" t="s">
        <v>607</v>
      </c>
    </row>
    <row r="1078" spans="1:12" x14ac:dyDescent="0.25">
      <c r="A1078">
        <v>428</v>
      </c>
      <c r="B1078">
        <v>7</v>
      </c>
      <c r="C1078" t="s">
        <v>200</v>
      </c>
      <c r="D1078" t="s">
        <v>633</v>
      </c>
      <c r="E1078">
        <v>14</v>
      </c>
      <c r="F1078">
        <v>23</v>
      </c>
      <c r="G1078">
        <v>1</v>
      </c>
      <c r="H1078">
        <v>46</v>
      </c>
      <c r="I1078">
        <f>Cocina[[#This Row],[Precio Unitario]]*Cocina[[#This Row],[Cantidad Ordenada]]</f>
        <v>23</v>
      </c>
      <c r="J1078">
        <f>(Cocina[[#This Row],[Precio Unitario]]-Cocina[[#This Row],[Costo Unitario]])*Cocina[[#This Row],[Cantidad Ordenada]]</f>
        <v>9</v>
      </c>
      <c r="K1078" s="4">
        <f>Cocina[[#This Row],[Ganancia neta]]/_xlfn.XLOOKUP(Cocina[[#This Row],[Número de Orden]],Sala[Número de Orden],Sala[Monto total],"fracaso",0,1)</f>
        <v>5.1428571428571428E-2</v>
      </c>
      <c r="L1078" t="s">
        <v>607</v>
      </c>
    </row>
    <row r="1079" spans="1:12" x14ac:dyDescent="0.25">
      <c r="A1079">
        <v>428</v>
      </c>
      <c r="B1079">
        <v>7</v>
      </c>
      <c r="C1079" t="s">
        <v>122</v>
      </c>
      <c r="D1079" t="s">
        <v>637</v>
      </c>
      <c r="E1079">
        <v>15</v>
      </c>
      <c r="F1079">
        <v>25</v>
      </c>
      <c r="G1079">
        <v>2</v>
      </c>
      <c r="H1079">
        <v>48</v>
      </c>
      <c r="I1079">
        <f>Cocina[[#This Row],[Precio Unitario]]*Cocina[[#This Row],[Cantidad Ordenada]]</f>
        <v>50</v>
      </c>
      <c r="J1079">
        <f>(Cocina[[#This Row],[Precio Unitario]]-Cocina[[#This Row],[Costo Unitario]])*Cocina[[#This Row],[Cantidad Ordenada]]</f>
        <v>20</v>
      </c>
      <c r="K1079" s="4">
        <f>Cocina[[#This Row],[Ganancia neta]]/_xlfn.XLOOKUP(Cocina[[#This Row],[Número de Orden]],Sala[Número de Orden],Sala[Monto total],"fracaso",0,1)</f>
        <v>0.11428571428571428</v>
      </c>
      <c r="L1079" t="s">
        <v>607</v>
      </c>
    </row>
    <row r="1080" spans="1:12" x14ac:dyDescent="0.25">
      <c r="A1080">
        <v>428</v>
      </c>
      <c r="B1080">
        <v>7</v>
      </c>
      <c r="C1080" t="s">
        <v>116</v>
      </c>
      <c r="D1080" t="s">
        <v>620</v>
      </c>
      <c r="E1080">
        <v>19</v>
      </c>
      <c r="F1080">
        <v>31</v>
      </c>
      <c r="G1080">
        <v>2</v>
      </c>
      <c r="H1080">
        <v>47</v>
      </c>
      <c r="I1080">
        <f>Cocina[[#This Row],[Precio Unitario]]*Cocina[[#This Row],[Cantidad Ordenada]]</f>
        <v>62</v>
      </c>
      <c r="J1080">
        <f>(Cocina[[#This Row],[Precio Unitario]]-Cocina[[#This Row],[Costo Unitario]])*Cocina[[#This Row],[Cantidad Ordenada]]</f>
        <v>24</v>
      </c>
      <c r="K1080" s="4">
        <f>Cocina[[#This Row],[Ganancia neta]]/_xlfn.XLOOKUP(Cocina[[#This Row],[Número de Orden]],Sala[Número de Orden],Sala[Monto total],"fracaso",0,1)</f>
        <v>0.13714285714285715</v>
      </c>
      <c r="L1080" t="s">
        <v>607</v>
      </c>
    </row>
    <row r="1081" spans="1:12" x14ac:dyDescent="0.25">
      <c r="A1081">
        <v>429</v>
      </c>
      <c r="B1081">
        <v>8</v>
      </c>
      <c r="C1081" t="s">
        <v>155</v>
      </c>
      <c r="D1081" t="s">
        <v>636</v>
      </c>
      <c r="E1081">
        <v>15</v>
      </c>
      <c r="F1081">
        <v>26</v>
      </c>
      <c r="G1081">
        <v>3</v>
      </c>
      <c r="H1081">
        <v>27</v>
      </c>
      <c r="I1081">
        <f>Cocina[[#This Row],[Precio Unitario]]*Cocina[[#This Row],[Cantidad Ordenada]]</f>
        <v>78</v>
      </c>
      <c r="J1081">
        <f>(Cocina[[#This Row],[Precio Unitario]]-Cocina[[#This Row],[Costo Unitario]])*Cocina[[#This Row],[Cantidad Ordenada]]</f>
        <v>33</v>
      </c>
      <c r="K1081" s="4">
        <f>Cocina[[#This Row],[Ganancia neta]]/_xlfn.XLOOKUP(Cocina[[#This Row],[Número de Orden]],Sala[Número de Orden],Sala[Monto total],"fracaso",0,1)</f>
        <v>0.42307692307692307</v>
      </c>
      <c r="L1081" t="s">
        <v>607</v>
      </c>
    </row>
    <row r="1082" spans="1:12" x14ac:dyDescent="0.25">
      <c r="A1082">
        <v>430</v>
      </c>
      <c r="B1082">
        <v>7</v>
      </c>
      <c r="C1082" t="s">
        <v>122</v>
      </c>
      <c r="D1082" t="s">
        <v>637</v>
      </c>
      <c r="E1082">
        <v>15</v>
      </c>
      <c r="F1082">
        <v>25</v>
      </c>
      <c r="G1082">
        <v>1</v>
      </c>
      <c r="H1082">
        <v>49</v>
      </c>
      <c r="I1082">
        <f>Cocina[[#This Row],[Precio Unitario]]*Cocina[[#This Row],[Cantidad Ordenada]]</f>
        <v>25</v>
      </c>
      <c r="J1082">
        <f>(Cocina[[#This Row],[Precio Unitario]]-Cocina[[#This Row],[Costo Unitario]])*Cocina[[#This Row],[Cantidad Ordenada]]</f>
        <v>10</v>
      </c>
      <c r="K1082" s="4">
        <f>Cocina[[#This Row],[Ganancia neta]]/_xlfn.XLOOKUP(Cocina[[#This Row],[Número de Orden]],Sala[Número de Orden],Sala[Monto total],"fracaso",0,1)</f>
        <v>0.4</v>
      </c>
      <c r="L1082" t="s">
        <v>607</v>
      </c>
    </row>
    <row r="1083" spans="1:12" x14ac:dyDescent="0.25">
      <c r="A1083">
        <v>431</v>
      </c>
      <c r="B1083">
        <v>15</v>
      </c>
      <c r="C1083" t="s">
        <v>68</v>
      </c>
      <c r="D1083" t="s">
        <v>619</v>
      </c>
      <c r="E1083">
        <v>18</v>
      </c>
      <c r="F1083">
        <v>30</v>
      </c>
      <c r="G1083">
        <v>2</v>
      </c>
      <c r="H1083">
        <v>20</v>
      </c>
      <c r="I1083">
        <f>Cocina[[#This Row],[Precio Unitario]]*Cocina[[#This Row],[Cantidad Ordenada]]</f>
        <v>60</v>
      </c>
      <c r="J1083">
        <f>(Cocina[[#This Row],[Precio Unitario]]-Cocina[[#This Row],[Costo Unitario]])*Cocina[[#This Row],[Cantidad Ordenada]]</f>
        <v>24</v>
      </c>
      <c r="K1083" s="4">
        <f>Cocina[[#This Row],[Ganancia neta]]/_xlfn.XLOOKUP(Cocina[[#This Row],[Número de Orden]],Sala[Número de Orden],Sala[Monto total],"fracaso",0,1)</f>
        <v>0.4</v>
      </c>
      <c r="L1083" t="s">
        <v>607</v>
      </c>
    </row>
    <row r="1084" spans="1:12" x14ac:dyDescent="0.25">
      <c r="A1084">
        <v>432</v>
      </c>
      <c r="B1084">
        <v>10</v>
      </c>
      <c r="C1084" t="s">
        <v>146</v>
      </c>
      <c r="D1084" t="s">
        <v>632</v>
      </c>
      <c r="E1084">
        <v>12</v>
      </c>
      <c r="F1084">
        <v>20</v>
      </c>
      <c r="G1084">
        <v>3</v>
      </c>
      <c r="H1084">
        <v>16</v>
      </c>
      <c r="I1084">
        <f>Cocina[[#This Row],[Precio Unitario]]*Cocina[[#This Row],[Cantidad Ordenada]]</f>
        <v>60</v>
      </c>
      <c r="J1084">
        <f>(Cocina[[#This Row],[Precio Unitario]]-Cocina[[#This Row],[Costo Unitario]])*Cocina[[#This Row],[Cantidad Ordenada]]</f>
        <v>24</v>
      </c>
      <c r="K1084" s="4">
        <f>Cocina[[#This Row],[Ganancia neta]]/_xlfn.XLOOKUP(Cocina[[#This Row],[Número de Orden]],Sala[Número de Orden],Sala[Monto total],"fracaso",0,1)</f>
        <v>0.22018348623853212</v>
      </c>
      <c r="L1084" t="s">
        <v>608</v>
      </c>
    </row>
    <row r="1085" spans="1:12" x14ac:dyDescent="0.25">
      <c r="A1085">
        <v>432</v>
      </c>
      <c r="B1085">
        <v>10</v>
      </c>
      <c r="C1085" t="s">
        <v>70</v>
      </c>
      <c r="D1085" t="s">
        <v>634</v>
      </c>
      <c r="E1085">
        <v>13</v>
      </c>
      <c r="F1085">
        <v>21</v>
      </c>
      <c r="G1085">
        <v>1</v>
      </c>
      <c r="H1085">
        <v>27</v>
      </c>
      <c r="I1085">
        <f>Cocina[[#This Row],[Precio Unitario]]*Cocina[[#This Row],[Cantidad Ordenada]]</f>
        <v>21</v>
      </c>
      <c r="J1085">
        <f>(Cocina[[#This Row],[Precio Unitario]]-Cocina[[#This Row],[Costo Unitario]])*Cocina[[#This Row],[Cantidad Ordenada]]</f>
        <v>8</v>
      </c>
      <c r="K1085" s="4">
        <f>Cocina[[#This Row],[Ganancia neta]]/_xlfn.XLOOKUP(Cocina[[#This Row],[Número de Orden]],Sala[Número de Orden],Sala[Monto total],"fracaso",0,1)</f>
        <v>7.3394495412844041E-2</v>
      </c>
      <c r="L1085" t="s">
        <v>607</v>
      </c>
    </row>
    <row r="1086" spans="1:12" x14ac:dyDescent="0.25">
      <c r="A1086">
        <v>432</v>
      </c>
      <c r="B1086">
        <v>10</v>
      </c>
      <c r="C1086" t="s">
        <v>42</v>
      </c>
      <c r="D1086" t="s">
        <v>626</v>
      </c>
      <c r="E1086">
        <v>16</v>
      </c>
      <c r="F1086">
        <v>28</v>
      </c>
      <c r="G1086">
        <v>1</v>
      </c>
      <c r="H1086">
        <v>31</v>
      </c>
      <c r="I1086">
        <f>Cocina[[#This Row],[Precio Unitario]]*Cocina[[#This Row],[Cantidad Ordenada]]</f>
        <v>28</v>
      </c>
      <c r="J1086">
        <f>(Cocina[[#This Row],[Precio Unitario]]-Cocina[[#This Row],[Costo Unitario]])*Cocina[[#This Row],[Cantidad Ordenada]]</f>
        <v>12</v>
      </c>
      <c r="K1086" s="4">
        <f>Cocina[[#This Row],[Ganancia neta]]/_xlfn.XLOOKUP(Cocina[[#This Row],[Número de Orden]],Sala[Número de Orden],Sala[Monto total],"fracaso",0,1)</f>
        <v>0.11009174311926606</v>
      </c>
      <c r="L1086" t="s">
        <v>607</v>
      </c>
    </row>
    <row r="1087" spans="1:12" x14ac:dyDescent="0.25">
      <c r="A1087">
        <v>433</v>
      </c>
      <c r="B1087">
        <v>10</v>
      </c>
      <c r="C1087" t="s">
        <v>68</v>
      </c>
      <c r="D1087" t="s">
        <v>619</v>
      </c>
      <c r="E1087">
        <v>18</v>
      </c>
      <c r="F1087">
        <v>30</v>
      </c>
      <c r="G1087">
        <v>1</v>
      </c>
      <c r="H1087">
        <v>56</v>
      </c>
      <c r="I1087">
        <f>Cocina[[#This Row],[Precio Unitario]]*Cocina[[#This Row],[Cantidad Ordenada]]</f>
        <v>30</v>
      </c>
      <c r="J1087">
        <f>(Cocina[[#This Row],[Precio Unitario]]-Cocina[[#This Row],[Costo Unitario]])*Cocina[[#This Row],[Cantidad Ordenada]]</f>
        <v>12</v>
      </c>
      <c r="K1087" s="4">
        <f>Cocina[[#This Row],[Ganancia neta]]/_xlfn.XLOOKUP(Cocina[[#This Row],[Número de Orden]],Sala[Número de Orden],Sala[Monto total],"fracaso",0,1)</f>
        <v>0.11764705882352941</v>
      </c>
      <c r="L1087" t="s">
        <v>608</v>
      </c>
    </row>
    <row r="1088" spans="1:12" x14ac:dyDescent="0.25">
      <c r="A1088">
        <v>433</v>
      </c>
      <c r="B1088">
        <v>10</v>
      </c>
      <c r="C1088" t="s">
        <v>158</v>
      </c>
      <c r="D1088" t="s">
        <v>617</v>
      </c>
      <c r="E1088">
        <v>14</v>
      </c>
      <c r="F1088">
        <v>24</v>
      </c>
      <c r="G1088">
        <v>3</v>
      </c>
      <c r="H1088">
        <v>18</v>
      </c>
      <c r="I1088">
        <f>Cocina[[#This Row],[Precio Unitario]]*Cocina[[#This Row],[Cantidad Ordenada]]</f>
        <v>72</v>
      </c>
      <c r="J1088">
        <f>(Cocina[[#This Row],[Precio Unitario]]-Cocina[[#This Row],[Costo Unitario]])*Cocina[[#This Row],[Cantidad Ordenada]]</f>
        <v>30</v>
      </c>
      <c r="K1088" s="4">
        <f>Cocina[[#This Row],[Ganancia neta]]/_xlfn.XLOOKUP(Cocina[[#This Row],[Número de Orden]],Sala[Número de Orden],Sala[Monto total],"fracaso",0,1)</f>
        <v>0.29411764705882354</v>
      </c>
      <c r="L1088" t="s">
        <v>607</v>
      </c>
    </row>
    <row r="1089" spans="1:12" x14ac:dyDescent="0.25">
      <c r="A1089">
        <v>434</v>
      </c>
      <c r="B1089">
        <v>15</v>
      </c>
      <c r="C1089" t="s">
        <v>155</v>
      </c>
      <c r="D1089" t="s">
        <v>636</v>
      </c>
      <c r="E1089">
        <v>15</v>
      </c>
      <c r="F1089">
        <v>26</v>
      </c>
      <c r="G1089">
        <v>2</v>
      </c>
      <c r="H1089">
        <v>26</v>
      </c>
      <c r="I1089">
        <f>Cocina[[#This Row],[Precio Unitario]]*Cocina[[#This Row],[Cantidad Ordenada]]</f>
        <v>52</v>
      </c>
      <c r="J1089">
        <f>(Cocina[[#This Row],[Precio Unitario]]-Cocina[[#This Row],[Costo Unitario]])*Cocina[[#This Row],[Cantidad Ordenada]]</f>
        <v>22</v>
      </c>
      <c r="K1089" s="4">
        <f>Cocina[[#This Row],[Ganancia neta]]/_xlfn.XLOOKUP(Cocina[[#This Row],[Número de Orden]],Sala[Número de Orden],Sala[Monto total],"fracaso",0,1)</f>
        <v>0.22916666666666666</v>
      </c>
      <c r="L1089" t="s">
        <v>607</v>
      </c>
    </row>
    <row r="1090" spans="1:12" x14ac:dyDescent="0.25">
      <c r="A1090">
        <v>434</v>
      </c>
      <c r="B1090">
        <v>15</v>
      </c>
      <c r="C1090" t="s">
        <v>203</v>
      </c>
      <c r="D1090" t="s">
        <v>630</v>
      </c>
      <c r="E1090">
        <v>13</v>
      </c>
      <c r="F1090">
        <v>22</v>
      </c>
      <c r="G1090">
        <v>2</v>
      </c>
      <c r="H1090">
        <v>32</v>
      </c>
      <c r="I1090">
        <f>Cocina[[#This Row],[Precio Unitario]]*Cocina[[#This Row],[Cantidad Ordenada]]</f>
        <v>44</v>
      </c>
      <c r="J1090">
        <f>(Cocina[[#This Row],[Precio Unitario]]-Cocina[[#This Row],[Costo Unitario]])*Cocina[[#This Row],[Cantidad Ordenada]]</f>
        <v>18</v>
      </c>
      <c r="K1090" s="4">
        <f>Cocina[[#This Row],[Ganancia neta]]/_xlfn.XLOOKUP(Cocina[[#This Row],[Número de Orden]],Sala[Número de Orden],Sala[Monto total],"fracaso",0,1)</f>
        <v>0.1875</v>
      </c>
      <c r="L1090" t="s">
        <v>608</v>
      </c>
    </row>
    <row r="1091" spans="1:12" x14ac:dyDescent="0.25">
      <c r="A1091">
        <v>435</v>
      </c>
      <c r="B1091">
        <v>17</v>
      </c>
      <c r="C1091" t="s">
        <v>155</v>
      </c>
      <c r="D1091" t="s">
        <v>636</v>
      </c>
      <c r="E1091">
        <v>15</v>
      </c>
      <c r="F1091">
        <v>26</v>
      </c>
      <c r="G1091">
        <v>2</v>
      </c>
      <c r="H1091">
        <v>14</v>
      </c>
      <c r="I1091">
        <f>Cocina[[#This Row],[Precio Unitario]]*Cocina[[#This Row],[Cantidad Ordenada]]</f>
        <v>52</v>
      </c>
      <c r="J1091">
        <f>(Cocina[[#This Row],[Precio Unitario]]-Cocina[[#This Row],[Costo Unitario]])*Cocina[[#This Row],[Cantidad Ordenada]]</f>
        <v>22</v>
      </c>
      <c r="K1091" s="4">
        <f>Cocina[[#This Row],[Ganancia neta]]/_xlfn.XLOOKUP(Cocina[[#This Row],[Número de Orden]],Sala[Número de Orden],Sala[Monto total],"fracaso",0,1)</f>
        <v>0.14285714285714285</v>
      </c>
      <c r="L1091" t="s">
        <v>607</v>
      </c>
    </row>
    <row r="1092" spans="1:12" x14ac:dyDescent="0.25">
      <c r="A1092">
        <v>435</v>
      </c>
      <c r="B1092">
        <v>17</v>
      </c>
      <c r="C1092" t="s">
        <v>70</v>
      </c>
      <c r="D1092" t="s">
        <v>634</v>
      </c>
      <c r="E1092">
        <v>13</v>
      </c>
      <c r="F1092">
        <v>21</v>
      </c>
      <c r="G1092">
        <v>2</v>
      </c>
      <c r="H1092">
        <v>42</v>
      </c>
      <c r="I1092">
        <f>Cocina[[#This Row],[Precio Unitario]]*Cocina[[#This Row],[Cantidad Ordenada]]</f>
        <v>42</v>
      </c>
      <c r="J1092">
        <f>(Cocina[[#This Row],[Precio Unitario]]-Cocina[[#This Row],[Costo Unitario]])*Cocina[[#This Row],[Cantidad Ordenada]]</f>
        <v>16</v>
      </c>
      <c r="K1092" s="4">
        <f>Cocina[[#This Row],[Ganancia neta]]/_xlfn.XLOOKUP(Cocina[[#This Row],[Número de Orden]],Sala[Número de Orden],Sala[Monto total],"fracaso",0,1)</f>
        <v>0.1038961038961039</v>
      </c>
      <c r="L1092" t="s">
        <v>607</v>
      </c>
    </row>
    <row r="1093" spans="1:12" x14ac:dyDescent="0.25">
      <c r="A1093">
        <v>435</v>
      </c>
      <c r="B1093">
        <v>17</v>
      </c>
      <c r="C1093" t="s">
        <v>68</v>
      </c>
      <c r="D1093" t="s">
        <v>619</v>
      </c>
      <c r="E1093">
        <v>18</v>
      </c>
      <c r="F1093">
        <v>30</v>
      </c>
      <c r="G1093">
        <v>2</v>
      </c>
      <c r="H1093">
        <v>55</v>
      </c>
      <c r="I1093">
        <f>Cocina[[#This Row],[Precio Unitario]]*Cocina[[#This Row],[Cantidad Ordenada]]</f>
        <v>60</v>
      </c>
      <c r="J1093">
        <f>(Cocina[[#This Row],[Precio Unitario]]-Cocina[[#This Row],[Costo Unitario]])*Cocina[[#This Row],[Cantidad Ordenada]]</f>
        <v>24</v>
      </c>
      <c r="K1093" s="4">
        <f>Cocina[[#This Row],[Ganancia neta]]/_xlfn.XLOOKUP(Cocina[[#This Row],[Número de Orden]],Sala[Número de Orden],Sala[Monto total],"fracaso",0,1)</f>
        <v>0.15584415584415584</v>
      </c>
      <c r="L1093" t="s">
        <v>608</v>
      </c>
    </row>
    <row r="1094" spans="1:12" x14ac:dyDescent="0.25">
      <c r="A1094">
        <v>436</v>
      </c>
      <c r="B1094">
        <v>10</v>
      </c>
      <c r="C1094" t="s">
        <v>42</v>
      </c>
      <c r="D1094" t="s">
        <v>626</v>
      </c>
      <c r="E1094">
        <v>16</v>
      </c>
      <c r="F1094">
        <v>28</v>
      </c>
      <c r="G1094">
        <v>2</v>
      </c>
      <c r="H1094">
        <v>45</v>
      </c>
      <c r="I1094">
        <f>Cocina[[#This Row],[Precio Unitario]]*Cocina[[#This Row],[Cantidad Ordenada]]</f>
        <v>56</v>
      </c>
      <c r="J1094">
        <f>(Cocina[[#This Row],[Precio Unitario]]-Cocina[[#This Row],[Costo Unitario]])*Cocina[[#This Row],[Cantidad Ordenada]]</f>
        <v>24</v>
      </c>
      <c r="K1094" s="4">
        <f>Cocina[[#This Row],[Ganancia neta]]/_xlfn.XLOOKUP(Cocina[[#This Row],[Número de Orden]],Sala[Número de Orden],Sala[Monto total],"fracaso",0,1)</f>
        <v>0.42857142857142855</v>
      </c>
      <c r="L1094" t="s">
        <v>608</v>
      </c>
    </row>
    <row r="1095" spans="1:12" x14ac:dyDescent="0.25">
      <c r="A1095">
        <v>437</v>
      </c>
      <c r="B1095">
        <v>16</v>
      </c>
      <c r="C1095" t="s">
        <v>26</v>
      </c>
      <c r="D1095" t="s">
        <v>628</v>
      </c>
      <c r="E1095">
        <v>21</v>
      </c>
      <c r="F1095">
        <v>35</v>
      </c>
      <c r="G1095">
        <v>2</v>
      </c>
      <c r="H1095">
        <v>51</v>
      </c>
      <c r="I1095">
        <f>Cocina[[#This Row],[Precio Unitario]]*Cocina[[#This Row],[Cantidad Ordenada]]</f>
        <v>70</v>
      </c>
      <c r="J1095">
        <f>(Cocina[[#This Row],[Precio Unitario]]-Cocina[[#This Row],[Costo Unitario]])*Cocina[[#This Row],[Cantidad Ordenada]]</f>
        <v>28</v>
      </c>
      <c r="K1095" s="4">
        <f>Cocina[[#This Row],[Ganancia neta]]/_xlfn.XLOOKUP(Cocina[[#This Row],[Número de Orden]],Sala[Número de Orden],Sala[Monto total],"fracaso",0,1)</f>
        <v>0.4</v>
      </c>
      <c r="L1095" t="s">
        <v>608</v>
      </c>
    </row>
    <row r="1096" spans="1:12" x14ac:dyDescent="0.25">
      <c r="A1096">
        <v>438</v>
      </c>
      <c r="B1096">
        <v>2</v>
      </c>
      <c r="C1096" t="s">
        <v>261</v>
      </c>
      <c r="D1096" t="s">
        <v>625</v>
      </c>
      <c r="E1096">
        <v>20</v>
      </c>
      <c r="F1096">
        <v>33</v>
      </c>
      <c r="G1096">
        <v>1</v>
      </c>
      <c r="H1096">
        <v>51</v>
      </c>
      <c r="I1096">
        <f>Cocina[[#This Row],[Precio Unitario]]*Cocina[[#This Row],[Cantidad Ordenada]]</f>
        <v>33</v>
      </c>
      <c r="J1096">
        <f>(Cocina[[#This Row],[Precio Unitario]]-Cocina[[#This Row],[Costo Unitario]])*Cocina[[#This Row],[Cantidad Ordenada]]</f>
        <v>13</v>
      </c>
      <c r="K1096" s="4">
        <f>Cocina[[#This Row],[Ganancia neta]]/_xlfn.XLOOKUP(Cocina[[#This Row],[Número de Orden]],Sala[Número de Orden],Sala[Monto total],"fracaso",0,1)</f>
        <v>0.39393939393939392</v>
      </c>
      <c r="L1096" t="s">
        <v>608</v>
      </c>
    </row>
    <row r="1097" spans="1:12" x14ac:dyDescent="0.25">
      <c r="A1097">
        <v>439</v>
      </c>
      <c r="B1097">
        <v>15</v>
      </c>
      <c r="C1097" t="s">
        <v>261</v>
      </c>
      <c r="D1097" t="s">
        <v>625</v>
      </c>
      <c r="E1097">
        <v>20</v>
      </c>
      <c r="F1097">
        <v>33</v>
      </c>
      <c r="G1097">
        <v>3</v>
      </c>
      <c r="H1097">
        <v>35</v>
      </c>
      <c r="I1097">
        <f>Cocina[[#This Row],[Precio Unitario]]*Cocina[[#This Row],[Cantidad Ordenada]]</f>
        <v>99</v>
      </c>
      <c r="J1097">
        <f>(Cocina[[#This Row],[Precio Unitario]]-Cocina[[#This Row],[Costo Unitario]])*Cocina[[#This Row],[Cantidad Ordenada]]</f>
        <v>39</v>
      </c>
      <c r="K1097" s="4">
        <f>Cocina[[#This Row],[Ganancia neta]]/_xlfn.XLOOKUP(Cocina[[#This Row],[Número de Orden]],Sala[Número de Orden],Sala[Monto total],"fracaso",0,1)</f>
        <v>0.22033898305084745</v>
      </c>
      <c r="L1097" t="s">
        <v>607</v>
      </c>
    </row>
    <row r="1098" spans="1:12" x14ac:dyDescent="0.25">
      <c r="A1098">
        <v>439</v>
      </c>
      <c r="B1098">
        <v>15</v>
      </c>
      <c r="C1098" t="s">
        <v>155</v>
      </c>
      <c r="D1098" t="s">
        <v>636</v>
      </c>
      <c r="E1098">
        <v>15</v>
      </c>
      <c r="F1098">
        <v>26</v>
      </c>
      <c r="G1098">
        <v>3</v>
      </c>
      <c r="H1098">
        <v>29</v>
      </c>
      <c r="I1098">
        <f>Cocina[[#This Row],[Precio Unitario]]*Cocina[[#This Row],[Cantidad Ordenada]]</f>
        <v>78</v>
      </c>
      <c r="J1098">
        <f>(Cocina[[#This Row],[Precio Unitario]]-Cocina[[#This Row],[Costo Unitario]])*Cocina[[#This Row],[Cantidad Ordenada]]</f>
        <v>33</v>
      </c>
      <c r="K1098" s="4">
        <f>Cocina[[#This Row],[Ganancia neta]]/_xlfn.XLOOKUP(Cocina[[#This Row],[Número de Orden]],Sala[Número de Orden],Sala[Monto total],"fracaso",0,1)</f>
        <v>0.1864406779661017</v>
      </c>
      <c r="L1098" t="s">
        <v>608</v>
      </c>
    </row>
    <row r="1099" spans="1:12" x14ac:dyDescent="0.25">
      <c r="A1099">
        <v>440</v>
      </c>
      <c r="B1099">
        <v>13</v>
      </c>
      <c r="C1099" t="s">
        <v>200</v>
      </c>
      <c r="D1099" t="s">
        <v>633</v>
      </c>
      <c r="E1099">
        <v>14</v>
      </c>
      <c r="F1099">
        <v>23</v>
      </c>
      <c r="G1099">
        <v>2</v>
      </c>
      <c r="H1099">
        <v>36</v>
      </c>
      <c r="I1099">
        <f>Cocina[[#This Row],[Precio Unitario]]*Cocina[[#This Row],[Cantidad Ordenada]]</f>
        <v>46</v>
      </c>
      <c r="J1099">
        <f>(Cocina[[#This Row],[Precio Unitario]]-Cocina[[#This Row],[Costo Unitario]])*Cocina[[#This Row],[Cantidad Ordenada]]</f>
        <v>18</v>
      </c>
      <c r="K1099" s="4">
        <f>Cocina[[#This Row],[Ganancia neta]]/_xlfn.XLOOKUP(Cocina[[#This Row],[Número de Orden]],Sala[Número de Orden],Sala[Monto total],"fracaso",0,1)</f>
        <v>0.21428571428571427</v>
      </c>
      <c r="L1099" t="s">
        <v>607</v>
      </c>
    </row>
    <row r="1100" spans="1:12" x14ac:dyDescent="0.25">
      <c r="A1100">
        <v>440</v>
      </c>
      <c r="B1100">
        <v>13</v>
      </c>
      <c r="C1100" t="s">
        <v>112</v>
      </c>
      <c r="D1100" t="s">
        <v>627</v>
      </c>
      <c r="E1100">
        <v>11</v>
      </c>
      <c r="F1100">
        <v>19</v>
      </c>
      <c r="G1100">
        <v>2</v>
      </c>
      <c r="H1100">
        <v>9</v>
      </c>
      <c r="I1100">
        <f>Cocina[[#This Row],[Precio Unitario]]*Cocina[[#This Row],[Cantidad Ordenada]]</f>
        <v>38</v>
      </c>
      <c r="J1100">
        <f>(Cocina[[#This Row],[Precio Unitario]]-Cocina[[#This Row],[Costo Unitario]])*Cocina[[#This Row],[Cantidad Ordenada]]</f>
        <v>16</v>
      </c>
      <c r="K1100" s="4">
        <f>Cocina[[#This Row],[Ganancia neta]]/_xlfn.XLOOKUP(Cocina[[#This Row],[Número de Orden]],Sala[Número de Orden],Sala[Monto total],"fracaso",0,1)</f>
        <v>0.19047619047619047</v>
      </c>
      <c r="L1100" t="s">
        <v>607</v>
      </c>
    </row>
    <row r="1101" spans="1:12" x14ac:dyDescent="0.25">
      <c r="A1101">
        <v>441</v>
      </c>
      <c r="B1101">
        <v>13</v>
      </c>
      <c r="C1101" t="s">
        <v>26</v>
      </c>
      <c r="D1101" t="s">
        <v>628</v>
      </c>
      <c r="E1101">
        <v>21</v>
      </c>
      <c r="F1101">
        <v>35</v>
      </c>
      <c r="G1101">
        <v>3</v>
      </c>
      <c r="H1101">
        <v>54</v>
      </c>
      <c r="I1101">
        <f>Cocina[[#This Row],[Precio Unitario]]*Cocina[[#This Row],[Cantidad Ordenada]]</f>
        <v>105</v>
      </c>
      <c r="J1101">
        <f>(Cocina[[#This Row],[Precio Unitario]]-Cocina[[#This Row],[Costo Unitario]])*Cocina[[#This Row],[Cantidad Ordenada]]</f>
        <v>42</v>
      </c>
      <c r="K1101" s="4">
        <f>Cocina[[#This Row],[Ganancia neta]]/_xlfn.XLOOKUP(Cocina[[#This Row],[Número de Orden]],Sala[Número de Orden],Sala[Monto total],"fracaso",0,1)</f>
        <v>0.22950819672131148</v>
      </c>
      <c r="L1101" t="s">
        <v>607</v>
      </c>
    </row>
    <row r="1102" spans="1:12" x14ac:dyDescent="0.25">
      <c r="A1102">
        <v>441</v>
      </c>
      <c r="B1102">
        <v>13</v>
      </c>
      <c r="C1102" t="s">
        <v>155</v>
      </c>
      <c r="D1102" t="s">
        <v>636</v>
      </c>
      <c r="E1102">
        <v>15</v>
      </c>
      <c r="F1102">
        <v>26</v>
      </c>
      <c r="G1102">
        <v>3</v>
      </c>
      <c r="H1102">
        <v>36</v>
      </c>
      <c r="I1102">
        <f>Cocina[[#This Row],[Precio Unitario]]*Cocina[[#This Row],[Cantidad Ordenada]]</f>
        <v>78</v>
      </c>
      <c r="J1102">
        <f>(Cocina[[#This Row],[Precio Unitario]]-Cocina[[#This Row],[Costo Unitario]])*Cocina[[#This Row],[Cantidad Ordenada]]</f>
        <v>33</v>
      </c>
      <c r="K1102" s="4">
        <f>Cocina[[#This Row],[Ganancia neta]]/_xlfn.XLOOKUP(Cocina[[#This Row],[Número de Orden]],Sala[Número de Orden],Sala[Monto total],"fracaso",0,1)</f>
        <v>0.18032786885245902</v>
      </c>
      <c r="L1102" t="s">
        <v>608</v>
      </c>
    </row>
    <row r="1103" spans="1:12" x14ac:dyDescent="0.25">
      <c r="A1103">
        <v>442</v>
      </c>
      <c r="B1103">
        <v>15</v>
      </c>
      <c r="C1103" t="s">
        <v>55</v>
      </c>
      <c r="D1103" t="s">
        <v>631</v>
      </c>
      <c r="E1103">
        <v>20</v>
      </c>
      <c r="F1103">
        <v>34</v>
      </c>
      <c r="G1103">
        <v>3</v>
      </c>
      <c r="H1103">
        <v>29</v>
      </c>
      <c r="I1103">
        <f>Cocina[[#This Row],[Precio Unitario]]*Cocina[[#This Row],[Cantidad Ordenada]]</f>
        <v>102</v>
      </c>
      <c r="J1103">
        <f>(Cocina[[#This Row],[Precio Unitario]]-Cocina[[#This Row],[Costo Unitario]])*Cocina[[#This Row],[Cantidad Ordenada]]</f>
        <v>42</v>
      </c>
      <c r="K1103" s="4">
        <f>Cocina[[#This Row],[Ganancia neta]]/_xlfn.XLOOKUP(Cocina[[#This Row],[Número de Orden]],Sala[Número de Orden],Sala[Monto total],"fracaso",0,1)</f>
        <v>0.17872340425531916</v>
      </c>
      <c r="L1103" t="s">
        <v>608</v>
      </c>
    </row>
    <row r="1104" spans="1:12" x14ac:dyDescent="0.25">
      <c r="A1104">
        <v>442</v>
      </c>
      <c r="B1104">
        <v>15</v>
      </c>
      <c r="C1104" t="s">
        <v>122</v>
      </c>
      <c r="D1104" t="s">
        <v>637</v>
      </c>
      <c r="E1104">
        <v>15</v>
      </c>
      <c r="F1104">
        <v>25</v>
      </c>
      <c r="G1104">
        <v>1</v>
      </c>
      <c r="H1104">
        <v>57</v>
      </c>
      <c r="I1104">
        <f>Cocina[[#This Row],[Precio Unitario]]*Cocina[[#This Row],[Cantidad Ordenada]]</f>
        <v>25</v>
      </c>
      <c r="J1104">
        <f>(Cocina[[#This Row],[Precio Unitario]]-Cocina[[#This Row],[Costo Unitario]])*Cocina[[#This Row],[Cantidad Ordenada]]</f>
        <v>10</v>
      </c>
      <c r="K1104" s="4">
        <f>Cocina[[#This Row],[Ganancia neta]]/_xlfn.XLOOKUP(Cocina[[#This Row],[Número de Orden]],Sala[Número de Orden],Sala[Monto total],"fracaso",0,1)</f>
        <v>4.2553191489361701E-2</v>
      </c>
      <c r="L1104" t="s">
        <v>607</v>
      </c>
    </row>
    <row r="1105" spans="1:12" x14ac:dyDescent="0.25">
      <c r="A1105">
        <v>442</v>
      </c>
      <c r="B1105">
        <v>15</v>
      </c>
      <c r="C1105" t="s">
        <v>73</v>
      </c>
      <c r="D1105" t="s">
        <v>623</v>
      </c>
      <c r="E1105">
        <v>22</v>
      </c>
      <c r="F1105">
        <v>36</v>
      </c>
      <c r="G1105">
        <v>3</v>
      </c>
      <c r="H1105">
        <v>45</v>
      </c>
      <c r="I1105">
        <f>Cocina[[#This Row],[Precio Unitario]]*Cocina[[#This Row],[Cantidad Ordenada]]</f>
        <v>108</v>
      </c>
      <c r="J1105">
        <f>(Cocina[[#This Row],[Precio Unitario]]-Cocina[[#This Row],[Costo Unitario]])*Cocina[[#This Row],[Cantidad Ordenada]]</f>
        <v>42</v>
      </c>
      <c r="K1105" s="4">
        <f>Cocina[[#This Row],[Ganancia neta]]/_xlfn.XLOOKUP(Cocina[[#This Row],[Número de Orden]],Sala[Número de Orden],Sala[Monto total],"fracaso",0,1)</f>
        <v>0.17872340425531916</v>
      </c>
      <c r="L1105" t="s">
        <v>607</v>
      </c>
    </row>
    <row r="1106" spans="1:12" x14ac:dyDescent="0.25">
      <c r="A1106">
        <v>443</v>
      </c>
      <c r="B1106">
        <v>4</v>
      </c>
      <c r="C1106" t="s">
        <v>200</v>
      </c>
      <c r="D1106" t="s">
        <v>633</v>
      </c>
      <c r="E1106">
        <v>14</v>
      </c>
      <c r="F1106">
        <v>23</v>
      </c>
      <c r="G1106">
        <v>1</v>
      </c>
      <c r="H1106">
        <v>30</v>
      </c>
      <c r="I1106">
        <f>Cocina[[#This Row],[Precio Unitario]]*Cocina[[#This Row],[Cantidad Ordenada]]</f>
        <v>23</v>
      </c>
      <c r="J1106">
        <f>(Cocina[[#This Row],[Precio Unitario]]-Cocina[[#This Row],[Costo Unitario]])*Cocina[[#This Row],[Cantidad Ordenada]]</f>
        <v>9</v>
      </c>
      <c r="K1106" s="4">
        <f>Cocina[[#This Row],[Ganancia neta]]/_xlfn.XLOOKUP(Cocina[[#This Row],[Número de Orden]],Sala[Número de Orden],Sala[Monto total],"fracaso",0,1)</f>
        <v>4.1474654377880185E-2</v>
      </c>
      <c r="L1106" t="s">
        <v>607</v>
      </c>
    </row>
    <row r="1107" spans="1:12" x14ac:dyDescent="0.25">
      <c r="A1107">
        <v>443</v>
      </c>
      <c r="B1107">
        <v>4</v>
      </c>
      <c r="C1107" t="s">
        <v>247</v>
      </c>
      <c r="D1107" t="s">
        <v>629</v>
      </c>
      <c r="E1107">
        <v>19</v>
      </c>
      <c r="F1107">
        <v>32</v>
      </c>
      <c r="G1107">
        <v>1</v>
      </c>
      <c r="H1107">
        <v>52</v>
      </c>
      <c r="I1107">
        <f>Cocina[[#This Row],[Precio Unitario]]*Cocina[[#This Row],[Cantidad Ordenada]]</f>
        <v>32</v>
      </c>
      <c r="J1107">
        <f>(Cocina[[#This Row],[Precio Unitario]]-Cocina[[#This Row],[Costo Unitario]])*Cocina[[#This Row],[Cantidad Ordenada]]</f>
        <v>13</v>
      </c>
      <c r="K1107" s="4">
        <f>Cocina[[#This Row],[Ganancia neta]]/_xlfn.XLOOKUP(Cocina[[#This Row],[Número de Orden]],Sala[Número de Orden],Sala[Monto total],"fracaso",0,1)</f>
        <v>5.9907834101382486E-2</v>
      </c>
      <c r="L1107" t="s">
        <v>607</v>
      </c>
    </row>
    <row r="1108" spans="1:12" x14ac:dyDescent="0.25">
      <c r="A1108">
        <v>443</v>
      </c>
      <c r="B1108">
        <v>4</v>
      </c>
      <c r="C1108" t="s">
        <v>155</v>
      </c>
      <c r="D1108" t="s">
        <v>636</v>
      </c>
      <c r="E1108">
        <v>15</v>
      </c>
      <c r="F1108">
        <v>26</v>
      </c>
      <c r="G1108">
        <v>3</v>
      </c>
      <c r="H1108">
        <v>55</v>
      </c>
      <c r="I1108">
        <f>Cocina[[#This Row],[Precio Unitario]]*Cocina[[#This Row],[Cantidad Ordenada]]</f>
        <v>78</v>
      </c>
      <c r="J1108">
        <f>(Cocina[[#This Row],[Precio Unitario]]-Cocina[[#This Row],[Costo Unitario]])*Cocina[[#This Row],[Cantidad Ordenada]]</f>
        <v>33</v>
      </c>
      <c r="K1108" s="4">
        <f>Cocina[[#This Row],[Ganancia neta]]/_xlfn.XLOOKUP(Cocina[[#This Row],[Número de Orden]],Sala[Número de Orden],Sala[Monto total],"fracaso",0,1)</f>
        <v>0.15207373271889402</v>
      </c>
      <c r="L1108" t="s">
        <v>607</v>
      </c>
    </row>
    <row r="1109" spans="1:12" x14ac:dyDescent="0.25">
      <c r="A1109">
        <v>443</v>
      </c>
      <c r="B1109">
        <v>4</v>
      </c>
      <c r="C1109" t="s">
        <v>42</v>
      </c>
      <c r="D1109" t="s">
        <v>626</v>
      </c>
      <c r="E1109">
        <v>16</v>
      </c>
      <c r="F1109">
        <v>28</v>
      </c>
      <c r="G1109">
        <v>3</v>
      </c>
      <c r="H1109">
        <v>18</v>
      </c>
      <c r="I1109">
        <f>Cocina[[#This Row],[Precio Unitario]]*Cocina[[#This Row],[Cantidad Ordenada]]</f>
        <v>84</v>
      </c>
      <c r="J1109">
        <f>(Cocina[[#This Row],[Precio Unitario]]-Cocina[[#This Row],[Costo Unitario]])*Cocina[[#This Row],[Cantidad Ordenada]]</f>
        <v>36</v>
      </c>
      <c r="K1109" s="4">
        <f>Cocina[[#This Row],[Ganancia neta]]/_xlfn.XLOOKUP(Cocina[[#This Row],[Número de Orden]],Sala[Número de Orden],Sala[Monto total],"fracaso",0,1)</f>
        <v>0.16589861751152074</v>
      </c>
      <c r="L1109" t="s">
        <v>607</v>
      </c>
    </row>
    <row r="1110" spans="1:12" x14ac:dyDescent="0.25">
      <c r="A1110">
        <v>444</v>
      </c>
      <c r="B1110">
        <v>8</v>
      </c>
      <c r="C1110" t="s">
        <v>200</v>
      </c>
      <c r="D1110" t="s">
        <v>633</v>
      </c>
      <c r="E1110">
        <v>14</v>
      </c>
      <c r="F1110">
        <v>23</v>
      </c>
      <c r="G1110">
        <v>1</v>
      </c>
      <c r="H1110">
        <v>32</v>
      </c>
      <c r="I1110">
        <f>Cocina[[#This Row],[Precio Unitario]]*Cocina[[#This Row],[Cantidad Ordenada]]</f>
        <v>23</v>
      </c>
      <c r="J1110">
        <f>(Cocina[[#This Row],[Precio Unitario]]-Cocina[[#This Row],[Costo Unitario]])*Cocina[[#This Row],[Cantidad Ordenada]]</f>
        <v>9</v>
      </c>
      <c r="K1110" s="4">
        <f>Cocina[[#This Row],[Ganancia neta]]/_xlfn.XLOOKUP(Cocina[[#This Row],[Número de Orden]],Sala[Número de Orden],Sala[Monto total],"fracaso",0,1)</f>
        <v>9.4736842105263161E-2</v>
      </c>
      <c r="L1110" t="s">
        <v>608</v>
      </c>
    </row>
    <row r="1111" spans="1:12" x14ac:dyDescent="0.25">
      <c r="A1111">
        <v>444</v>
      </c>
      <c r="B1111">
        <v>8</v>
      </c>
      <c r="C1111" t="s">
        <v>158</v>
      </c>
      <c r="D1111" t="s">
        <v>617</v>
      </c>
      <c r="E1111">
        <v>14</v>
      </c>
      <c r="F1111">
        <v>24</v>
      </c>
      <c r="G1111">
        <v>3</v>
      </c>
      <c r="H1111">
        <v>49</v>
      </c>
      <c r="I1111">
        <f>Cocina[[#This Row],[Precio Unitario]]*Cocina[[#This Row],[Cantidad Ordenada]]</f>
        <v>72</v>
      </c>
      <c r="J1111">
        <f>(Cocina[[#This Row],[Precio Unitario]]-Cocina[[#This Row],[Costo Unitario]])*Cocina[[#This Row],[Cantidad Ordenada]]</f>
        <v>30</v>
      </c>
      <c r="K1111" s="4">
        <f>Cocina[[#This Row],[Ganancia neta]]/_xlfn.XLOOKUP(Cocina[[#This Row],[Número de Orden]],Sala[Número de Orden],Sala[Monto total],"fracaso",0,1)</f>
        <v>0.31578947368421051</v>
      </c>
      <c r="L1111" t="s">
        <v>608</v>
      </c>
    </row>
    <row r="1112" spans="1:12" x14ac:dyDescent="0.25">
      <c r="A1112">
        <v>445</v>
      </c>
      <c r="B1112">
        <v>6</v>
      </c>
      <c r="C1112" t="s">
        <v>106</v>
      </c>
      <c r="D1112" t="s">
        <v>621</v>
      </c>
      <c r="E1112">
        <v>16</v>
      </c>
      <c r="F1112">
        <v>27</v>
      </c>
      <c r="G1112">
        <v>3</v>
      </c>
      <c r="H1112">
        <v>26</v>
      </c>
      <c r="I1112">
        <f>Cocina[[#This Row],[Precio Unitario]]*Cocina[[#This Row],[Cantidad Ordenada]]</f>
        <v>81</v>
      </c>
      <c r="J1112">
        <f>(Cocina[[#This Row],[Precio Unitario]]-Cocina[[#This Row],[Costo Unitario]])*Cocina[[#This Row],[Cantidad Ordenada]]</f>
        <v>33</v>
      </c>
      <c r="K1112" s="4">
        <f>Cocina[[#This Row],[Ganancia neta]]/_xlfn.XLOOKUP(Cocina[[#This Row],[Número de Orden]],Sala[Número de Orden],Sala[Monto total],"fracaso",0,1)</f>
        <v>0.40740740740740738</v>
      </c>
      <c r="L1112" t="s">
        <v>607</v>
      </c>
    </row>
    <row r="1113" spans="1:12" x14ac:dyDescent="0.25">
      <c r="A1113">
        <v>446</v>
      </c>
      <c r="B1113">
        <v>12</v>
      </c>
      <c r="C1113" t="s">
        <v>70</v>
      </c>
      <c r="D1113" t="s">
        <v>634</v>
      </c>
      <c r="E1113">
        <v>13</v>
      </c>
      <c r="F1113">
        <v>21</v>
      </c>
      <c r="G1113">
        <v>1</v>
      </c>
      <c r="H1113">
        <v>8</v>
      </c>
      <c r="I1113">
        <f>Cocina[[#This Row],[Precio Unitario]]*Cocina[[#This Row],[Cantidad Ordenada]]</f>
        <v>21</v>
      </c>
      <c r="J1113">
        <f>(Cocina[[#This Row],[Precio Unitario]]-Cocina[[#This Row],[Costo Unitario]])*Cocina[[#This Row],[Cantidad Ordenada]]</f>
        <v>8</v>
      </c>
      <c r="K1113" s="4">
        <f>Cocina[[#This Row],[Ganancia neta]]/_xlfn.XLOOKUP(Cocina[[#This Row],[Número de Orden]],Sala[Número de Orden],Sala[Monto total],"fracaso",0,1)</f>
        <v>0.38095238095238093</v>
      </c>
      <c r="L1113" t="s">
        <v>608</v>
      </c>
    </row>
    <row r="1114" spans="1:12" x14ac:dyDescent="0.25">
      <c r="A1114">
        <v>447</v>
      </c>
      <c r="B1114">
        <v>8</v>
      </c>
      <c r="C1114" t="s">
        <v>146</v>
      </c>
      <c r="D1114" t="s">
        <v>632</v>
      </c>
      <c r="E1114">
        <v>12</v>
      </c>
      <c r="F1114">
        <v>20</v>
      </c>
      <c r="G1114">
        <v>2</v>
      </c>
      <c r="H1114">
        <v>29</v>
      </c>
      <c r="I1114">
        <f>Cocina[[#This Row],[Precio Unitario]]*Cocina[[#This Row],[Cantidad Ordenada]]</f>
        <v>40</v>
      </c>
      <c r="J1114">
        <f>(Cocina[[#This Row],[Precio Unitario]]-Cocina[[#This Row],[Costo Unitario]])*Cocina[[#This Row],[Cantidad Ordenada]]</f>
        <v>16</v>
      </c>
      <c r="K1114" s="4">
        <f>Cocina[[#This Row],[Ganancia neta]]/_xlfn.XLOOKUP(Cocina[[#This Row],[Número de Orden]],Sala[Número de Orden],Sala[Monto total],"fracaso",0,1)</f>
        <v>8.8397790055248615E-2</v>
      </c>
      <c r="L1114" t="s">
        <v>608</v>
      </c>
    </row>
    <row r="1115" spans="1:12" x14ac:dyDescent="0.25">
      <c r="A1115">
        <v>447</v>
      </c>
      <c r="B1115">
        <v>8</v>
      </c>
      <c r="C1115" t="s">
        <v>112</v>
      </c>
      <c r="D1115" t="s">
        <v>627</v>
      </c>
      <c r="E1115">
        <v>11</v>
      </c>
      <c r="F1115">
        <v>19</v>
      </c>
      <c r="G1115">
        <v>3</v>
      </c>
      <c r="H1115">
        <v>50</v>
      </c>
      <c r="I1115">
        <f>Cocina[[#This Row],[Precio Unitario]]*Cocina[[#This Row],[Cantidad Ordenada]]</f>
        <v>57</v>
      </c>
      <c r="J1115">
        <f>(Cocina[[#This Row],[Precio Unitario]]-Cocina[[#This Row],[Costo Unitario]])*Cocina[[#This Row],[Cantidad Ordenada]]</f>
        <v>24</v>
      </c>
      <c r="K1115" s="4">
        <f>Cocina[[#This Row],[Ganancia neta]]/_xlfn.XLOOKUP(Cocina[[#This Row],[Número de Orden]],Sala[Número de Orden],Sala[Monto total],"fracaso",0,1)</f>
        <v>0.13259668508287292</v>
      </c>
      <c r="L1115" t="s">
        <v>608</v>
      </c>
    </row>
    <row r="1116" spans="1:12" x14ac:dyDescent="0.25">
      <c r="A1116">
        <v>447</v>
      </c>
      <c r="B1116">
        <v>8</v>
      </c>
      <c r="C1116" t="s">
        <v>42</v>
      </c>
      <c r="D1116" t="s">
        <v>626</v>
      </c>
      <c r="E1116">
        <v>16</v>
      </c>
      <c r="F1116">
        <v>28</v>
      </c>
      <c r="G1116">
        <v>3</v>
      </c>
      <c r="H1116">
        <v>7</v>
      </c>
      <c r="I1116">
        <f>Cocina[[#This Row],[Precio Unitario]]*Cocina[[#This Row],[Cantidad Ordenada]]</f>
        <v>84</v>
      </c>
      <c r="J1116">
        <f>(Cocina[[#This Row],[Precio Unitario]]-Cocina[[#This Row],[Costo Unitario]])*Cocina[[#This Row],[Cantidad Ordenada]]</f>
        <v>36</v>
      </c>
      <c r="K1116" s="4">
        <f>Cocina[[#This Row],[Ganancia neta]]/_xlfn.XLOOKUP(Cocina[[#This Row],[Número de Orden]],Sala[Número de Orden],Sala[Monto total],"fracaso",0,1)</f>
        <v>0.19889502762430938</v>
      </c>
      <c r="L1116" t="s">
        <v>607</v>
      </c>
    </row>
    <row r="1117" spans="1:12" x14ac:dyDescent="0.25">
      <c r="A1117">
        <v>448</v>
      </c>
      <c r="B1117">
        <v>4</v>
      </c>
      <c r="C1117" t="s">
        <v>112</v>
      </c>
      <c r="D1117" t="s">
        <v>627</v>
      </c>
      <c r="E1117">
        <v>11</v>
      </c>
      <c r="F1117">
        <v>19</v>
      </c>
      <c r="G1117">
        <v>2</v>
      </c>
      <c r="H1117">
        <v>26</v>
      </c>
      <c r="I1117">
        <f>Cocina[[#This Row],[Precio Unitario]]*Cocina[[#This Row],[Cantidad Ordenada]]</f>
        <v>38</v>
      </c>
      <c r="J1117">
        <f>(Cocina[[#This Row],[Precio Unitario]]-Cocina[[#This Row],[Costo Unitario]])*Cocina[[#This Row],[Cantidad Ordenada]]</f>
        <v>16</v>
      </c>
      <c r="K1117" s="4">
        <f>Cocina[[#This Row],[Ganancia neta]]/_xlfn.XLOOKUP(Cocina[[#This Row],[Número de Orden]],Sala[Número de Orden],Sala[Monto total],"fracaso",0,1)</f>
        <v>0.11678832116788321</v>
      </c>
      <c r="L1117" t="s">
        <v>608</v>
      </c>
    </row>
    <row r="1118" spans="1:12" x14ac:dyDescent="0.25">
      <c r="A1118">
        <v>448</v>
      </c>
      <c r="B1118">
        <v>4</v>
      </c>
      <c r="C1118" t="s">
        <v>261</v>
      </c>
      <c r="D1118" t="s">
        <v>625</v>
      </c>
      <c r="E1118">
        <v>20</v>
      </c>
      <c r="F1118">
        <v>33</v>
      </c>
      <c r="G1118">
        <v>3</v>
      </c>
      <c r="H1118">
        <v>40</v>
      </c>
      <c r="I1118">
        <f>Cocina[[#This Row],[Precio Unitario]]*Cocina[[#This Row],[Cantidad Ordenada]]</f>
        <v>99</v>
      </c>
      <c r="J1118">
        <f>(Cocina[[#This Row],[Precio Unitario]]-Cocina[[#This Row],[Costo Unitario]])*Cocina[[#This Row],[Cantidad Ordenada]]</f>
        <v>39</v>
      </c>
      <c r="K1118" s="4">
        <f>Cocina[[#This Row],[Ganancia neta]]/_xlfn.XLOOKUP(Cocina[[#This Row],[Número de Orden]],Sala[Número de Orden],Sala[Monto total],"fracaso",0,1)</f>
        <v>0.28467153284671531</v>
      </c>
      <c r="L1118" t="s">
        <v>608</v>
      </c>
    </row>
    <row r="1119" spans="1:12" x14ac:dyDescent="0.25">
      <c r="A1119">
        <v>449</v>
      </c>
      <c r="B1119">
        <v>3</v>
      </c>
      <c r="C1119" t="s">
        <v>247</v>
      </c>
      <c r="D1119" t="s">
        <v>629</v>
      </c>
      <c r="E1119">
        <v>19</v>
      </c>
      <c r="F1119">
        <v>32</v>
      </c>
      <c r="G1119">
        <v>2</v>
      </c>
      <c r="H1119">
        <v>33</v>
      </c>
      <c r="I1119">
        <f>Cocina[[#This Row],[Precio Unitario]]*Cocina[[#This Row],[Cantidad Ordenada]]</f>
        <v>64</v>
      </c>
      <c r="J1119">
        <f>(Cocina[[#This Row],[Precio Unitario]]-Cocina[[#This Row],[Costo Unitario]])*Cocina[[#This Row],[Cantidad Ordenada]]</f>
        <v>26</v>
      </c>
      <c r="K1119" s="4">
        <f>Cocina[[#This Row],[Ganancia neta]]/_xlfn.XLOOKUP(Cocina[[#This Row],[Número de Orden]],Sala[Número de Orden],Sala[Monto total],"fracaso",0,1)</f>
        <v>0.40625</v>
      </c>
      <c r="L1119" t="s">
        <v>608</v>
      </c>
    </row>
    <row r="1120" spans="1:12" x14ac:dyDescent="0.25">
      <c r="A1120">
        <v>450</v>
      </c>
      <c r="B1120">
        <v>9</v>
      </c>
      <c r="C1120" t="s">
        <v>79</v>
      </c>
      <c r="D1120" t="s">
        <v>635</v>
      </c>
      <c r="E1120">
        <v>10</v>
      </c>
      <c r="F1120">
        <v>18</v>
      </c>
      <c r="G1120">
        <v>2</v>
      </c>
      <c r="H1120">
        <v>13</v>
      </c>
      <c r="I1120">
        <f>Cocina[[#This Row],[Precio Unitario]]*Cocina[[#This Row],[Cantidad Ordenada]]</f>
        <v>36</v>
      </c>
      <c r="J1120">
        <f>(Cocina[[#This Row],[Precio Unitario]]-Cocina[[#This Row],[Costo Unitario]])*Cocina[[#This Row],[Cantidad Ordenada]]</f>
        <v>16</v>
      </c>
      <c r="K1120" s="4">
        <f>Cocina[[#This Row],[Ganancia neta]]/_xlfn.XLOOKUP(Cocina[[#This Row],[Número de Orden]],Sala[Número de Orden],Sala[Monto total],"fracaso",0,1)</f>
        <v>0.22222222222222221</v>
      </c>
      <c r="L1120" t="s">
        <v>608</v>
      </c>
    </row>
    <row r="1121" spans="1:12" x14ac:dyDescent="0.25">
      <c r="A1121">
        <v>450</v>
      </c>
      <c r="B1121">
        <v>9</v>
      </c>
      <c r="C1121" t="s">
        <v>73</v>
      </c>
      <c r="D1121" t="s">
        <v>623</v>
      </c>
      <c r="E1121">
        <v>22</v>
      </c>
      <c r="F1121">
        <v>36</v>
      </c>
      <c r="G1121">
        <v>1</v>
      </c>
      <c r="H1121">
        <v>21</v>
      </c>
      <c r="I1121">
        <f>Cocina[[#This Row],[Precio Unitario]]*Cocina[[#This Row],[Cantidad Ordenada]]</f>
        <v>36</v>
      </c>
      <c r="J1121">
        <f>(Cocina[[#This Row],[Precio Unitario]]-Cocina[[#This Row],[Costo Unitario]])*Cocina[[#This Row],[Cantidad Ordenada]]</f>
        <v>14</v>
      </c>
      <c r="K1121" s="4">
        <f>Cocina[[#This Row],[Ganancia neta]]/_xlfn.XLOOKUP(Cocina[[#This Row],[Número de Orden]],Sala[Número de Orden],Sala[Monto total],"fracaso",0,1)</f>
        <v>0.19444444444444445</v>
      </c>
      <c r="L1121" t="s">
        <v>607</v>
      </c>
    </row>
    <row r="1122" spans="1:12" x14ac:dyDescent="0.25">
      <c r="A1122">
        <v>451</v>
      </c>
      <c r="B1122">
        <v>3</v>
      </c>
      <c r="C1122" t="s">
        <v>26</v>
      </c>
      <c r="D1122" t="s">
        <v>628</v>
      </c>
      <c r="E1122">
        <v>21</v>
      </c>
      <c r="F1122">
        <v>35</v>
      </c>
      <c r="G1122">
        <v>1</v>
      </c>
      <c r="H1122">
        <v>23</v>
      </c>
      <c r="I1122">
        <f>Cocina[[#This Row],[Precio Unitario]]*Cocina[[#This Row],[Cantidad Ordenada]]</f>
        <v>35</v>
      </c>
      <c r="J1122">
        <f>(Cocina[[#This Row],[Precio Unitario]]-Cocina[[#This Row],[Costo Unitario]])*Cocina[[#This Row],[Cantidad Ordenada]]</f>
        <v>14</v>
      </c>
      <c r="K1122" s="4">
        <f>Cocina[[#This Row],[Ganancia neta]]/_xlfn.XLOOKUP(Cocina[[#This Row],[Número de Orden]],Sala[Número de Orden],Sala[Monto total],"fracaso",0,1)</f>
        <v>0.15217391304347827</v>
      </c>
      <c r="L1122" t="s">
        <v>608</v>
      </c>
    </row>
    <row r="1123" spans="1:12" x14ac:dyDescent="0.25">
      <c r="A1123">
        <v>451</v>
      </c>
      <c r="B1123">
        <v>3</v>
      </c>
      <c r="C1123" t="s">
        <v>200</v>
      </c>
      <c r="D1123" t="s">
        <v>633</v>
      </c>
      <c r="E1123">
        <v>14</v>
      </c>
      <c r="F1123">
        <v>23</v>
      </c>
      <c r="G1123">
        <v>1</v>
      </c>
      <c r="H1123">
        <v>41</v>
      </c>
      <c r="I1123">
        <f>Cocina[[#This Row],[Precio Unitario]]*Cocina[[#This Row],[Cantidad Ordenada]]</f>
        <v>23</v>
      </c>
      <c r="J1123">
        <f>(Cocina[[#This Row],[Precio Unitario]]-Cocina[[#This Row],[Costo Unitario]])*Cocina[[#This Row],[Cantidad Ordenada]]</f>
        <v>9</v>
      </c>
      <c r="K1123" s="4">
        <f>Cocina[[#This Row],[Ganancia neta]]/_xlfn.XLOOKUP(Cocina[[#This Row],[Número de Orden]],Sala[Número de Orden],Sala[Monto total],"fracaso",0,1)</f>
        <v>9.7826086956521743E-2</v>
      </c>
      <c r="L1123" t="s">
        <v>608</v>
      </c>
    </row>
    <row r="1124" spans="1:12" x14ac:dyDescent="0.25">
      <c r="A1124">
        <v>451</v>
      </c>
      <c r="B1124">
        <v>3</v>
      </c>
      <c r="C1124" t="s">
        <v>55</v>
      </c>
      <c r="D1124" t="s">
        <v>631</v>
      </c>
      <c r="E1124">
        <v>20</v>
      </c>
      <c r="F1124">
        <v>34</v>
      </c>
      <c r="G1124">
        <v>1</v>
      </c>
      <c r="H1124">
        <v>39</v>
      </c>
      <c r="I1124">
        <f>Cocina[[#This Row],[Precio Unitario]]*Cocina[[#This Row],[Cantidad Ordenada]]</f>
        <v>34</v>
      </c>
      <c r="J1124">
        <f>(Cocina[[#This Row],[Precio Unitario]]-Cocina[[#This Row],[Costo Unitario]])*Cocina[[#This Row],[Cantidad Ordenada]]</f>
        <v>14</v>
      </c>
      <c r="K1124" s="4">
        <f>Cocina[[#This Row],[Ganancia neta]]/_xlfn.XLOOKUP(Cocina[[#This Row],[Número de Orden]],Sala[Número de Orden],Sala[Monto total],"fracaso",0,1)</f>
        <v>0.15217391304347827</v>
      </c>
      <c r="L1124" t="s">
        <v>607</v>
      </c>
    </row>
    <row r="1125" spans="1:12" x14ac:dyDescent="0.25">
      <c r="A1125">
        <v>452</v>
      </c>
      <c r="B1125">
        <v>9</v>
      </c>
      <c r="C1125" t="s">
        <v>116</v>
      </c>
      <c r="D1125" t="s">
        <v>620</v>
      </c>
      <c r="E1125">
        <v>19</v>
      </c>
      <c r="F1125">
        <v>31</v>
      </c>
      <c r="G1125">
        <v>3</v>
      </c>
      <c r="H1125">
        <v>53</v>
      </c>
      <c r="I1125">
        <f>Cocina[[#This Row],[Precio Unitario]]*Cocina[[#This Row],[Cantidad Ordenada]]</f>
        <v>93</v>
      </c>
      <c r="J1125">
        <f>(Cocina[[#This Row],[Precio Unitario]]-Cocina[[#This Row],[Costo Unitario]])*Cocina[[#This Row],[Cantidad Ordenada]]</f>
        <v>36</v>
      </c>
      <c r="K1125" s="4">
        <f>Cocina[[#This Row],[Ganancia neta]]/_xlfn.XLOOKUP(Cocina[[#This Row],[Número de Orden]],Sala[Número de Orden],Sala[Monto total],"fracaso",0,1)</f>
        <v>0.22784810126582278</v>
      </c>
      <c r="L1125" t="s">
        <v>607</v>
      </c>
    </row>
    <row r="1126" spans="1:12" x14ac:dyDescent="0.25">
      <c r="A1126">
        <v>452</v>
      </c>
      <c r="B1126">
        <v>9</v>
      </c>
      <c r="C1126" t="s">
        <v>203</v>
      </c>
      <c r="D1126" t="s">
        <v>630</v>
      </c>
      <c r="E1126">
        <v>13</v>
      </c>
      <c r="F1126">
        <v>22</v>
      </c>
      <c r="G1126">
        <v>2</v>
      </c>
      <c r="H1126">
        <v>28</v>
      </c>
      <c r="I1126">
        <f>Cocina[[#This Row],[Precio Unitario]]*Cocina[[#This Row],[Cantidad Ordenada]]</f>
        <v>44</v>
      </c>
      <c r="J1126">
        <f>(Cocina[[#This Row],[Precio Unitario]]-Cocina[[#This Row],[Costo Unitario]])*Cocina[[#This Row],[Cantidad Ordenada]]</f>
        <v>18</v>
      </c>
      <c r="K1126" s="4">
        <f>Cocina[[#This Row],[Ganancia neta]]/_xlfn.XLOOKUP(Cocina[[#This Row],[Número de Orden]],Sala[Número de Orden],Sala[Monto total],"fracaso",0,1)</f>
        <v>0.11392405063291139</v>
      </c>
      <c r="L1126" t="s">
        <v>607</v>
      </c>
    </row>
    <row r="1127" spans="1:12" x14ac:dyDescent="0.25">
      <c r="A1127">
        <v>452</v>
      </c>
      <c r="B1127">
        <v>9</v>
      </c>
      <c r="C1127" t="s">
        <v>70</v>
      </c>
      <c r="D1127" t="s">
        <v>634</v>
      </c>
      <c r="E1127">
        <v>13</v>
      </c>
      <c r="F1127">
        <v>21</v>
      </c>
      <c r="G1127">
        <v>1</v>
      </c>
      <c r="H1127">
        <v>42</v>
      </c>
      <c r="I1127">
        <f>Cocina[[#This Row],[Precio Unitario]]*Cocina[[#This Row],[Cantidad Ordenada]]</f>
        <v>21</v>
      </c>
      <c r="J1127">
        <f>(Cocina[[#This Row],[Precio Unitario]]-Cocina[[#This Row],[Costo Unitario]])*Cocina[[#This Row],[Cantidad Ordenada]]</f>
        <v>8</v>
      </c>
      <c r="K1127" s="4">
        <f>Cocina[[#This Row],[Ganancia neta]]/_xlfn.XLOOKUP(Cocina[[#This Row],[Número de Orden]],Sala[Número de Orden],Sala[Monto total],"fracaso",0,1)</f>
        <v>5.0632911392405063E-2</v>
      </c>
      <c r="L1127" t="s">
        <v>608</v>
      </c>
    </row>
    <row r="1128" spans="1:12" x14ac:dyDescent="0.25">
      <c r="A1128">
        <v>453</v>
      </c>
      <c r="B1128">
        <v>6</v>
      </c>
      <c r="C1128" t="s">
        <v>55</v>
      </c>
      <c r="D1128" t="s">
        <v>631</v>
      </c>
      <c r="E1128">
        <v>20</v>
      </c>
      <c r="F1128">
        <v>34</v>
      </c>
      <c r="G1128">
        <v>1</v>
      </c>
      <c r="H1128">
        <v>42</v>
      </c>
      <c r="I1128">
        <f>Cocina[[#This Row],[Precio Unitario]]*Cocina[[#This Row],[Cantidad Ordenada]]</f>
        <v>34</v>
      </c>
      <c r="J1128">
        <f>(Cocina[[#This Row],[Precio Unitario]]-Cocina[[#This Row],[Costo Unitario]])*Cocina[[#This Row],[Cantidad Ordenada]]</f>
        <v>14</v>
      </c>
      <c r="K1128" s="4">
        <f>Cocina[[#This Row],[Ganancia neta]]/_xlfn.XLOOKUP(Cocina[[#This Row],[Número de Orden]],Sala[Número de Orden],Sala[Monto total],"fracaso",0,1)</f>
        <v>0.1076923076923077</v>
      </c>
      <c r="L1128" t="s">
        <v>607</v>
      </c>
    </row>
    <row r="1129" spans="1:12" x14ac:dyDescent="0.25">
      <c r="A1129">
        <v>453</v>
      </c>
      <c r="B1129">
        <v>6</v>
      </c>
      <c r="C1129" t="s">
        <v>247</v>
      </c>
      <c r="D1129" t="s">
        <v>629</v>
      </c>
      <c r="E1129">
        <v>19</v>
      </c>
      <c r="F1129">
        <v>32</v>
      </c>
      <c r="G1129">
        <v>3</v>
      </c>
      <c r="H1129">
        <v>58</v>
      </c>
      <c r="I1129">
        <f>Cocina[[#This Row],[Precio Unitario]]*Cocina[[#This Row],[Cantidad Ordenada]]</f>
        <v>96</v>
      </c>
      <c r="J1129">
        <f>(Cocina[[#This Row],[Precio Unitario]]-Cocina[[#This Row],[Costo Unitario]])*Cocina[[#This Row],[Cantidad Ordenada]]</f>
        <v>39</v>
      </c>
      <c r="K1129" s="4">
        <f>Cocina[[#This Row],[Ganancia neta]]/_xlfn.XLOOKUP(Cocina[[#This Row],[Número de Orden]],Sala[Número de Orden],Sala[Monto total],"fracaso",0,1)</f>
        <v>0.3</v>
      </c>
      <c r="L1129" t="s">
        <v>607</v>
      </c>
    </row>
    <row r="1130" spans="1:12" x14ac:dyDescent="0.25">
      <c r="A1130">
        <v>454</v>
      </c>
      <c r="B1130">
        <v>1</v>
      </c>
      <c r="C1130" t="s">
        <v>106</v>
      </c>
      <c r="D1130" t="s">
        <v>621</v>
      </c>
      <c r="E1130">
        <v>16</v>
      </c>
      <c r="F1130">
        <v>27</v>
      </c>
      <c r="G1130">
        <v>2</v>
      </c>
      <c r="H1130">
        <v>49</v>
      </c>
      <c r="I1130">
        <f>Cocina[[#This Row],[Precio Unitario]]*Cocina[[#This Row],[Cantidad Ordenada]]</f>
        <v>54</v>
      </c>
      <c r="J1130">
        <f>(Cocina[[#This Row],[Precio Unitario]]-Cocina[[#This Row],[Costo Unitario]])*Cocina[[#This Row],[Cantidad Ordenada]]</f>
        <v>22</v>
      </c>
      <c r="K1130" s="4">
        <f>Cocina[[#This Row],[Ganancia neta]]/_xlfn.XLOOKUP(Cocina[[#This Row],[Número de Orden]],Sala[Número de Orden],Sala[Monto total],"fracaso",0,1)</f>
        <v>9.4420600858369105E-2</v>
      </c>
      <c r="L1130" t="s">
        <v>607</v>
      </c>
    </row>
    <row r="1131" spans="1:12" x14ac:dyDescent="0.25">
      <c r="A1131">
        <v>454</v>
      </c>
      <c r="B1131">
        <v>1</v>
      </c>
      <c r="C1131" t="s">
        <v>112</v>
      </c>
      <c r="D1131" t="s">
        <v>627</v>
      </c>
      <c r="E1131">
        <v>11</v>
      </c>
      <c r="F1131">
        <v>19</v>
      </c>
      <c r="G1131">
        <v>3</v>
      </c>
      <c r="H1131">
        <v>18</v>
      </c>
      <c r="I1131">
        <f>Cocina[[#This Row],[Precio Unitario]]*Cocina[[#This Row],[Cantidad Ordenada]]</f>
        <v>57</v>
      </c>
      <c r="J1131">
        <f>(Cocina[[#This Row],[Precio Unitario]]-Cocina[[#This Row],[Costo Unitario]])*Cocina[[#This Row],[Cantidad Ordenada]]</f>
        <v>24</v>
      </c>
      <c r="K1131" s="4">
        <f>Cocina[[#This Row],[Ganancia neta]]/_xlfn.XLOOKUP(Cocina[[#This Row],[Número de Orden]],Sala[Número de Orden],Sala[Monto total],"fracaso",0,1)</f>
        <v>0.10300429184549356</v>
      </c>
      <c r="L1131" t="s">
        <v>608</v>
      </c>
    </row>
    <row r="1132" spans="1:12" x14ac:dyDescent="0.25">
      <c r="A1132">
        <v>454</v>
      </c>
      <c r="B1132">
        <v>1</v>
      </c>
      <c r="C1132" t="s">
        <v>73</v>
      </c>
      <c r="D1132" t="s">
        <v>623</v>
      </c>
      <c r="E1132">
        <v>22</v>
      </c>
      <c r="F1132">
        <v>36</v>
      </c>
      <c r="G1132">
        <v>2</v>
      </c>
      <c r="H1132">
        <v>42</v>
      </c>
      <c r="I1132">
        <f>Cocina[[#This Row],[Precio Unitario]]*Cocina[[#This Row],[Cantidad Ordenada]]</f>
        <v>72</v>
      </c>
      <c r="J1132">
        <f>(Cocina[[#This Row],[Precio Unitario]]-Cocina[[#This Row],[Costo Unitario]])*Cocina[[#This Row],[Cantidad Ordenada]]</f>
        <v>28</v>
      </c>
      <c r="K1132" s="4">
        <f>Cocina[[#This Row],[Ganancia neta]]/_xlfn.XLOOKUP(Cocina[[#This Row],[Número de Orden]],Sala[Número de Orden],Sala[Monto total],"fracaso",0,1)</f>
        <v>0.12017167381974249</v>
      </c>
      <c r="L1132" t="s">
        <v>608</v>
      </c>
    </row>
    <row r="1133" spans="1:12" x14ac:dyDescent="0.25">
      <c r="A1133">
        <v>454</v>
      </c>
      <c r="B1133">
        <v>1</v>
      </c>
      <c r="C1133" t="s">
        <v>122</v>
      </c>
      <c r="D1133" t="s">
        <v>637</v>
      </c>
      <c r="E1133">
        <v>15</v>
      </c>
      <c r="F1133">
        <v>25</v>
      </c>
      <c r="G1133">
        <v>2</v>
      </c>
      <c r="H1133">
        <v>44</v>
      </c>
      <c r="I1133">
        <f>Cocina[[#This Row],[Precio Unitario]]*Cocina[[#This Row],[Cantidad Ordenada]]</f>
        <v>50</v>
      </c>
      <c r="J1133">
        <f>(Cocina[[#This Row],[Precio Unitario]]-Cocina[[#This Row],[Costo Unitario]])*Cocina[[#This Row],[Cantidad Ordenada]]</f>
        <v>20</v>
      </c>
      <c r="K1133" s="4">
        <f>Cocina[[#This Row],[Ganancia neta]]/_xlfn.XLOOKUP(Cocina[[#This Row],[Número de Orden]],Sala[Número de Orden],Sala[Monto total],"fracaso",0,1)</f>
        <v>8.5836909871244635E-2</v>
      </c>
      <c r="L1133" t="s">
        <v>607</v>
      </c>
    </row>
    <row r="1134" spans="1:12" x14ac:dyDescent="0.25">
      <c r="A1134">
        <v>455</v>
      </c>
      <c r="B1134">
        <v>12</v>
      </c>
      <c r="C1134" t="s">
        <v>158</v>
      </c>
      <c r="D1134" t="s">
        <v>617</v>
      </c>
      <c r="E1134">
        <v>14</v>
      </c>
      <c r="F1134">
        <v>24</v>
      </c>
      <c r="G1134">
        <v>2</v>
      </c>
      <c r="H1134">
        <v>11</v>
      </c>
      <c r="I1134">
        <f>Cocina[[#This Row],[Precio Unitario]]*Cocina[[#This Row],[Cantidad Ordenada]]</f>
        <v>48</v>
      </c>
      <c r="J1134">
        <f>(Cocina[[#This Row],[Precio Unitario]]-Cocina[[#This Row],[Costo Unitario]])*Cocina[[#This Row],[Cantidad Ordenada]]</f>
        <v>20</v>
      </c>
      <c r="K1134" s="4">
        <f>Cocina[[#This Row],[Ganancia neta]]/_xlfn.XLOOKUP(Cocina[[#This Row],[Número de Orden]],Sala[Número de Orden],Sala[Monto total],"fracaso",0,1)</f>
        <v>0.41666666666666669</v>
      </c>
      <c r="L1134" t="s">
        <v>607</v>
      </c>
    </row>
    <row r="1135" spans="1:12" x14ac:dyDescent="0.25">
      <c r="A1135">
        <v>456</v>
      </c>
      <c r="B1135">
        <v>13</v>
      </c>
      <c r="C1135" t="s">
        <v>48</v>
      </c>
      <c r="D1135" t="s">
        <v>622</v>
      </c>
      <c r="E1135">
        <v>25</v>
      </c>
      <c r="F1135">
        <v>40</v>
      </c>
      <c r="G1135">
        <v>2</v>
      </c>
      <c r="H1135">
        <v>47</v>
      </c>
      <c r="I1135">
        <f>Cocina[[#This Row],[Precio Unitario]]*Cocina[[#This Row],[Cantidad Ordenada]]</f>
        <v>80</v>
      </c>
      <c r="J1135">
        <f>(Cocina[[#This Row],[Precio Unitario]]-Cocina[[#This Row],[Costo Unitario]])*Cocina[[#This Row],[Cantidad Ordenada]]</f>
        <v>30</v>
      </c>
      <c r="K1135" s="4">
        <f>Cocina[[#This Row],[Ganancia neta]]/_xlfn.XLOOKUP(Cocina[[#This Row],[Número de Orden]],Sala[Número de Orden],Sala[Monto total],"fracaso",0,1)</f>
        <v>0.20270270270270271</v>
      </c>
      <c r="L1135" t="s">
        <v>608</v>
      </c>
    </row>
    <row r="1136" spans="1:12" x14ac:dyDescent="0.25">
      <c r="A1136">
        <v>456</v>
      </c>
      <c r="B1136">
        <v>13</v>
      </c>
      <c r="C1136" t="s">
        <v>55</v>
      </c>
      <c r="D1136" t="s">
        <v>631</v>
      </c>
      <c r="E1136">
        <v>20</v>
      </c>
      <c r="F1136">
        <v>34</v>
      </c>
      <c r="G1136">
        <v>2</v>
      </c>
      <c r="H1136">
        <v>24</v>
      </c>
      <c r="I1136">
        <f>Cocina[[#This Row],[Precio Unitario]]*Cocina[[#This Row],[Cantidad Ordenada]]</f>
        <v>68</v>
      </c>
      <c r="J1136">
        <f>(Cocina[[#This Row],[Precio Unitario]]-Cocina[[#This Row],[Costo Unitario]])*Cocina[[#This Row],[Cantidad Ordenada]]</f>
        <v>28</v>
      </c>
      <c r="K1136" s="4">
        <f>Cocina[[#This Row],[Ganancia neta]]/_xlfn.XLOOKUP(Cocina[[#This Row],[Número de Orden]],Sala[Número de Orden],Sala[Monto total],"fracaso",0,1)</f>
        <v>0.1891891891891892</v>
      </c>
      <c r="L1136" t="s">
        <v>607</v>
      </c>
    </row>
    <row r="1137" spans="1:12" x14ac:dyDescent="0.25">
      <c r="A1137">
        <v>457</v>
      </c>
      <c r="B1137">
        <v>18</v>
      </c>
      <c r="C1137" t="s">
        <v>261</v>
      </c>
      <c r="D1137" t="s">
        <v>625</v>
      </c>
      <c r="E1137">
        <v>20</v>
      </c>
      <c r="F1137">
        <v>33</v>
      </c>
      <c r="G1137">
        <v>3</v>
      </c>
      <c r="H1137">
        <v>43</v>
      </c>
      <c r="I1137">
        <f>Cocina[[#This Row],[Precio Unitario]]*Cocina[[#This Row],[Cantidad Ordenada]]</f>
        <v>99</v>
      </c>
      <c r="J1137">
        <f>(Cocina[[#This Row],[Precio Unitario]]-Cocina[[#This Row],[Costo Unitario]])*Cocina[[#This Row],[Cantidad Ordenada]]</f>
        <v>39</v>
      </c>
      <c r="K1137" s="4">
        <f>Cocina[[#This Row],[Ganancia neta]]/_xlfn.XLOOKUP(Cocina[[#This Row],[Número de Orden]],Sala[Número de Orden],Sala[Monto total],"fracaso",0,1)</f>
        <v>0.28467153284671531</v>
      </c>
      <c r="L1137" t="s">
        <v>608</v>
      </c>
    </row>
    <row r="1138" spans="1:12" x14ac:dyDescent="0.25">
      <c r="A1138">
        <v>457</v>
      </c>
      <c r="B1138">
        <v>18</v>
      </c>
      <c r="C1138" t="s">
        <v>112</v>
      </c>
      <c r="D1138" t="s">
        <v>627</v>
      </c>
      <c r="E1138">
        <v>11</v>
      </c>
      <c r="F1138">
        <v>19</v>
      </c>
      <c r="G1138">
        <v>2</v>
      </c>
      <c r="H1138">
        <v>15</v>
      </c>
      <c r="I1138">
        <f>Cocina[[#This Row],[Precio Unitario]]*Cocina[[#This Row],[Cantidad Ordenada]]</f>
        <v>38</v>
      </c>
      <c r="J1138">
        <f>(Cocina[[#This Row],[Precio Unitario]]-Cocina[[#This Row],[Costo Unitario]])*Cocina[[#This Row],[Cantidad Ordenada]]</f>
        <v>16</v>
      </c>
      <c r="K1138" s="4">
        <f>Cocina[[#This Row],[Ganancia neta]]/_xlfn.XLOOKUP(Cocina[[#This Row],[Número de Orden]],Sala[Número de Orden],Sala[Monto total],"fracaso",0,1)</f>
        <v>0.11678832116788321</v>
      </c>
      <c r="L1138" t="s">
        <v>608</v>
      </c>
    </row>
    <row r="1139" spans="1:12" x14ac:dyDescent="0.25">
      <c r="A1139">
        <v>458</v>
      </c>
      <c r="B1139">
        <v>4</v>
      </c>
      <c r="C1139" t="s">
        <v>42</v>
      </c>
      <c r="D1139" t="s">
        <v>626</v>
      </c>
      <c r="E1139">
        <v>16</v>
      </c>
      <c r="F1139">
        <v>28</v>
      </c>
      <c r="G1139">
        <v>2</v>
      </c>
      <c r="H1139">
        <v>11</v>
      </c>
      <c r="I1139">
        <f>Cocina[[#This Row],[Precio Unitario]]*Cocina[[#This Row],[Cantidad Ordenada]]</f>
        <v>56</v>
      </c>
      <c r="J1139">
        <f>(Cocina[[#This Row],[Precio Unitario]]-Cocina[[#This Row],[Costo Unitario]])*Cocina[[#This Row],[Cantidad Ordenada]]</f>
        <v>24</v>
      </c>
      <c r="K1139" s="4">
        <f>Cocina[[#This Row],[Ganancia neta]]/_xlfn.XLOOKUP(Cocina[[#This Row],[Número de Orden]],Sala[Número de Orden],Sala[Monto total],"fracaso",0,1)</f>
        <v>8.9552238805970144E-2</v>
      </c>
      <c r="L1139" t="s">
        <v>608</v>
      </c>
    </row>
    <row r="1140" spans="1:12" x14ac:dyDescent="0.25">
      <c r="A1140">
        <v>458</v>
      </c>
      <c r="B1140">
        <v>4</v>
      </c>
      <c r="C1140" t="s">
        <v>55</v>
      </c>
      <c r="D1140" t="s">
        <v>631</v>
      </c>
      <c r="E1140">
        <v>20</v>
      </c>
      <c r="F1140">
        <v>34</v>
      </c>
      <c r="G1140">
        <v>3</v>
      </c>
      <c r="H1140">
        <v>28</v>
      </c>
      <c r="I1140">
        <f>Cocina[[#This Row],[Precio Unitario]]*Cocina[[#This Row],[Cantidad Ordenada]]</f>
        <v>102</v>
      </c>
      <c r="J1140">
        <f>(Cocina[[#This Row],[Precio Unitario]]-Cocina[[#This Row],[Costo Unitario]])*Cocina[[#This Row],[Cantidad Ordenada]]</f>
        <v>42</v>
      </c>
      <c r="K1140" s="4">
        <f>Cocina[[#This Row],[Ganancia neta]]/_xlfn.XLOOKUP(Cocina[[#This Row],[Número de Orden]],Sala[Número de Orden],Sala[Monto total],"fracaso",0,1)</f>
        <v>0.15671641791044777</v>
      </c>
      <c r="L1140" t="s">
        <v>607</v>
      </c>
    </row>
    <row r="1141" spans="1:12" x14ac:dyDescent="0.25">
      <c r="A1141">
        <v>458</v>
      </c>
      <c r="B1141">
        <v>4</v>
      </c>
      <c r="C1141" t="s">
        <v>261</v>
      </c>
      <c r="D1141" t="s">
        <v>625</v>
      </c>
      <c r="E1141">
        <v>20</v>
      </c>
      <c r="F1141">
        <v>33</v>
      </c>
      <c r="G1141">
        <v>2</v>
      </c>
      <c r="H1141">
        <v>6</v>
      </c>
      <c r="I1141">
        <f>Cocina[[#This Row],[Precio Unitario]]*Cocina[[#This Row],[Cantidad Ordenada]]</f>
        <v>66</v>
      </c>
      <c r="J1141">
        <f>(Cocina[[#This Row],[Precio Unitario]]-Cocina[[#This Row],[Costo Unitario]])*Cocina[[#This Row],[Cantidad Ordenada]]</f>
        <v>26</v>
      </c>
      <c r="K1141" s="4">
        <f>Cocina[[#This Row],[Ganancia neta]]/_xlfn.XLOOKUP(Cocina[[#This Row],[Número de Orden]],Sala[Número de Orden],Sala[Monto total],"fracaso",0,1)</f>
        <v>9.7014925373134331E-2</v>
      </c>
      <c r="L1141" t="s">
        <v>607</v>
      </c>
    </row>
    <row r="1142" spans="1:12" x14ac:dyDescent="0.25">
      <c r="A1142">
        <v>458</v>
      </c>
      <c r="B1142">
        <v>4</v>
      </c>
      <c r="C1142" t="s">
        <v>203</v>
      </c>
      <c r="D1142" t="s">
        <v>630</v>
      </c>
      <c r="E1142">
        <v>13</v>
      </c>
      <c r="F1142">
        <v>22</v>
      </c>
      <c r="G1142">
        <v>2</v>
      </c>
      <c r="H1142">
        <v>44</v>
      </c>
      <c r="I1142">
        <f>Cocina[[#This Row],[Precio Unitario]]*Cocina[[#This Row],[Cantidad Ordenada]]</f>
        <v>44</v>
      </c>
      <c r="J1142">
        <f>(Cocina[[#This Row],[Precio Unitario]]-Cocina[[#This Row],[Costo Unitario]])*Cocina[[#This Row],[Cantidad Ordenada]]</f>
        <v>18</v>
      </c>
      <c r="K1142" s="4">
        <f>Cocina[[#This Row],[Ganancia neta]]/_xlfn.XLOOKUP(Cocina[[#This Row],[Número de Orden]],Sala[Número de Orden],Sala[Monto total],"fracaso",0,1)</f>
        <v>6.7164179104477612E-2</v>
      </c>
      <c r="L1142" t="s">
        <v>607</v>
      </c>
    </row>
    <row r="1143" spans="1:12" x14ac:dyDescent="0.25">
      <c r="A1143">
        <v>459</v>
      </c>
      <c r="B1143">
        <v>20</v>
      </c>
      <c r="C1143" t="s">
        <v>42</v>
      </c>
      <c r="D1143" t="s">
        <v>626</v>
      </c>
      <c r="E1143">
        <v>16</v>
      </c>
      <c r="F1143">
        <v>28</v>
      </c>
      <c r="G1143">
        <v>3</v>
      </c>
      <c r="H1143">
        <v>30</v>
      </c>
      <c r="I1143">
        <f>Cocina[[#This Row],[Precio Unitario]]*Cocina[[#This Row],[Cantidad Ordenada]]</f>
        <v>84</v>
      </c>
      <c r="J1143">
        <f>(Cocina[[#This Row],[Precio Unitario]]-Cocina[[#This Row],[Costo Unitario]])*Cocina[[#This Row],[Cantidad Ordenada]]</f>
        <v>36</v>
      </c>
      <c r="K1143" s="4">
        <f>Cocina[[#This Row],[Ganancia neta]]/_xlfn.XLOOKUP(Cocina[[#This Row],[Número de Orden]],Sala[Número de Orden],Sala[Monto total],"fracaso",0,1)</f>
        <v>0.42857142857142855</v>
      </c>
      <c r="L1143" t="s">
        <v>607</v>
      </c>
    </row>
    <row r="1144" spans="1:12" x14ac:dyDescent="0.25">
      <c r="A1144">
        <v>460</v>
      </c>
      <c r="B1144">
        <v>19</v>
      </c>
      <c r="C1144" t="s">
        <v>42</v>
      </c>
      <c r="D1144" t="s">
        <v>626</v>
      </c>
      <c r="E1144">
        <v>16</v>
      </c>
      <c r="F1144">
        <v>28</v>
      </c>
      <c r="G1144">
        <v>1</v>
      </c>
      <c r="H1144">
        <v>40</v>
      </c>
      <c r="I1144">
        <f>Cocina[[#This Row],[Precio Unitario]]*Cocina[[#This Row],[Cantidad Ordenada]]</f>
        <v>28</v>
      </c>
      <c r="J1144">
        <f>(Cocina[[#This Row],[Precio Unitario]]-Cocina[[#This Row],[Costo Unitario]])*Cocina[[#This Row],[Cantidad Ordenada]]</f>
        <v>12</v>
      </c>
      <c r="K1144" s="4">
        <f>Cocina[[#This Row],[Ganancia neta]]/_xlfn.XLOOKUP(Cocina[[#This Row],[Número de Orden]],Sala[Número de Orden],Sala[Monto total],"fracaso",0,1)</f>
        <v>6.8181818181818177E-2</v>
      </c>
      <c r="L1144" t="s">
        <v>608</v>
      </c>
    </row>
    <row r="1145" spans="1:12" x14ac:dyDescent="0.25">
      <c r="A1145">
        <v>460</v>
      </c>
      <c r="B1145">
        <v>19</v>
      </c>
      <c r="C1145" t="s">
        <v>155</v>
      </c>
      <c r="D1145" t="s">
        <v>636</v>
      </c>
      <c r="E1145">
        <v>15</v>
      </c>
      <c r="F1145">
        <v>26</v>
      </c>
      <c r="G1145">
        <v>1</v>
      </c>
      <c r="H1145">
        <v>8</v>
      </c>
      <c r="I1145">
        <f>Cocina[[#This Row],[Precio Unitario]]*Cocina[[#This Row],[Cantidad Ordenada]]</f>
        <v>26</v>
      </c>
      <c r="J1145">
        <f>(Cocina[[#This Row],[Precio Unitario]]-Cocina[[#This Row],[Costo Unitario]])*Cocina[[#This Row],[Cantidad Ordenada]]</f>
        <v>11</v>
      </c>
      <c r="K1145" s="4">
        <f>Cocina[[#This Row],[Ganancia neta]]/_xlfn.XLOOKUP(Cocina[[#This Row],[Número de Orden]],Sala[Número de Orden],Sala[Monto total],"fracaso",0,1)</f>
        <v>6.25E-2</v>
      </c>
      <c r="L1145" t="s">
        <v>608</v>
      </c>
    </row>
    <row r="1146" spans="1:12" x14ac:dyDescent="0.25">
      <c r="A1146">
        <v>460</v>
      </c>
      <c r="B1146">
        <v>19</v>
      </c>
      <c r="C1146" t="s">
        <v>122</v>
      </c>
      <c r="D1146" t="s">
        <v>637</v>
      </c>
      <c r="E1146">
        <v>15</v>
      </c>
      <c r="F1146">
        <v>25</v>
      </c>
      <c r="G1146">
        <v>2</v>
      </c>
      <c r="H1146">
        <v>43</v>
      </c>
      <c r="I1146">
        <f>Cocina[[#This Row],[Precio Unitario]]*Cocina[[#This Row],[Cantidad Ordenada]]</f>
        <v>50</v>
      </c>
      <c r="J1146">
        <f>(Cocina[[#This Row],[Precio Unitario]]-Cocina[[#This Row],[Costo Unitario]])*Cocina[[#This Row],[Cantidad Ordenada]]</f>
        <v>20</v>
      </c>
      <c r="K1146" s="4">
        <f>Cocina[[#This Row],[Ganancia neta]]/_xlfn.XLOOKUP(Cocina[[#This Row],[Número de Orden]],Sala[Número de Orden],Sala[Monto total],"fracaso",0,1)</f>
        <v>0.11363636363636363</v>
      </c>
      <c r="L1146" t="s">
        <v>607</v>
      </c>
    </row>
    <row r="1147" spans="1:12" x14ac:dyDescent="0.25">
      <c r="A1147">
        <v>460</v>
      </c>
      <c r="B1147">
        <v>19</v>
      </c>
      <c r="C1147" t="s">
        <v>158</v>
      </c>
      <c r="D1147" t="s">
        <v>617</v>
      </c>
      <c r="E1147">
        <v>14</v>
      </c>
      <c r="F1147">
        <v>24</v>
      </c>
      <c r="G1147">
        <v>3</v>
      </c>
      <c r="H1147">
        <v>33</v>
      </c>
      <c r="I1147">
        <f>Cocina[[#This Row],[Precio Unitario]]*Cocina[[#This Row],[Cantidad Ordenada]]</f>
        <v>72</v>
      </c>
      <c r="J1147">
        <f>(Cocina[[#This Row],[Precio Unitario]]-Cocina[[#This Row],[Costo Unitario]])*Cocina[[#This Row],[Cantidad Ordenada]]</f>
        <v>30</v>
      </c>
      <c r="K1147" s="4">
        <f>Cocina[[#This Row],[Ganancia neta]]/_xlfn.XLOOKUP(Cocina[[#This Row],[Número de Orden]],Sala[Número de Orden],Sala[Monto total],"fracaso",0,1)</f>
        <v>0.17045454545454544</v>
      </c>
      <c r="L1147" t="s">
        <v>607</v>
      </c>
    </row>
    <row r="1148" spans="1:12" x14ac:dyDescent="0.25">
      <c r="A1148">
        <v>461</v>
      </c>
      <c r="B1148">
        <v>4</v>
      </c>
      <c r="C1148" t="s">
        <v>26</v>
      </c>
      <c r="D1148" t="s">
        <v>628</v>
      </c>
      <c r="E1148">
        <v>21</v>
      </c>
      <c r="F1148">
        <v>35</v>
      </c>
      <c r="G1148">
        <v>2</v>
      </c>
      <c r="H1148">
        <v>38</v>
      </c>
      <c r="I1148">
        <f>Cocina[[#This Row],[Precio Unitario]]*Cocina[[#This Row],[Cantidad Ordenada]]</f>
        <v>70</v>
      </c>
      <c r="J1148">
        <f>(Cocina[[#This Row],[Precio Unitario]]-Cocina[[#This Row],[Costo Unitario]])*Cocina[[#This Row],[Cantidad Ordenada]]</f>
        <v>28</v>
      </c>
      <c r="K1148" s="4">
        <f>Cocina[[#This Row],[Ganancia neta]]/_xlfn.XLOOKUP(Cocina[[#This Row],[Número de Orden]],Sala[Número de Orden],Sala[Monto total],"fracaso",0,1)</f>
        <v>0.28282828282828282</v>
      </c>
      <c r="L1148" t="s">
        <v>608</v>
      </c>
    </row>
    <row r="1149" spans="1:12" x14ac:dyDescent="0.25">
      <c r="A1149">
        <v>461</v>
      </c>
      <c r="B1149">
        <v>4</v>
      </c>
      <c r="C1149" t="s">
        <v>38</v>
      </c>
      <c r="D1149" t="s">
        <v>624</v>
      </c>
      <c r="E1149">
        <v>17</v>
      </c>
      <c r="F1149">
        <v>29</v>
      </c>
      <c r="G1149">
        <v>1</v>
      </c>
      <c r="H1149">
        <v>28</v>
      </c>
      <c r="I1149">
        <f>Cocina[[#This Row],[Precio Unitario]]*Cocina[[#This Row],[Cantidad Ordenada]]</f>
        <v>29</v>
      </c>
      <c r="J1149">
        <f>(Cocina[[#This Row],[Precio Unitario]]-Cocina[[#This Row],[Costo Unitario]])*Cocina[[#This Row],[Cantidad Ordenada]]</f>
        <v>12</v>
      </c>
      <c r="K1149" s="4">
        <f>Cocina[[#This Row],[Ganancia neta]]/_xlfn.XLOOKUP(Cocina[[#This Row],[Número de Orden]],Sala[Número de Orden],Sala[Monto total],"fracaso",0,1)</f>
        <v>0.12121212121212122</v>
      </c>
      <c r="L1149" t="s">
        <v>607</v>
      </c>
    </row>
    <row r="1150" spans="1:12" x14ac:dyDescent="0.25">
      <c r="A1150">
        <v>462</v>
      </c>
      <c r="B1150">
        <v>9</v>
      </c>
      <c r="C1150" t="s">
        <v>261</v>
      </c>
      <c r="D1150" t="s">
        <v>625</v>
      </c>
      <c r="E1150">
        <v>20</v>
      </c>
      <c r="F1150">
        <v>33</v>
      </c>
      <c r="G1150">
        <v>3</v>
      </c>
      <c r="H1150">
        <v>11</v>
      </c>
      <c r="I1150">
        <f>Cocina[[#This Row],[Precio Unitario]]*Cocina[[#This Row],[Cantidad Ordenada]]</f>
        <v>99</v>
      </c>
      <c r="J1150">
        <f>(Cocina[[#This Row],[Precio Unitario]]-Cocina[[#This Row],[Costo Unitario]])*Cocina[[#This Row],[Cantidad Ordenada]]</f>
        <v>39</v>
      </c>
      <c r="K1150" s="4">
        <f>Cocina[[#This Row],[Ganancia neta]]/_xlfn.XLOOKUP(Cocina[[#This Row],[Número de Orden]],Sala[Número de Orden],Sala[Monto total],"fracaso",0,1)</f>
        <v>0.39393939393939392</v>
      </c>
      <c r="L1150" t="s">
        <v>607</v>
      </c>
    </row>
    <row r="1151" spans="1:12" x14ac:dyDescent="0.25">
      <c r="A1151">
        <v>463</v>
      </c>
      <c r="B1151">
        <v>7</v>
      </c>
      <c r="C1151" t="s">
        <v>116</v>
      </c>
      <c r="D1151" t="s">
        <v>620</v>
      </c>
      <c r="E1151">
        <v>19</v>
      </c>
      <c r="F1151">
        <v>31</v>
      </c>
      <c r="G1151">
        <v>3</v>
      </c>
      <c r="H1151">
        <v>14</v>
      </c>
      <c r="I1151">
        <f>Cocina[[#This Row],[Precio Unitario]]*Cocina[[#This Row],[Cantidad Ordenada]]</f>
        <v>93</v>
      </c>
      <c r="J1151">
        <f>(Cocina[[#This Row],[Precio Unitario]]-Cocina[[#This Row],[Costo Unitario]])*Cocina[[#This Row],[Cantidad Ordenada]]</f>
        <v>36</v>
      </c>
      <c r="K1151" s="4">
        <f>Cocina[[#This Row],[Ganancia neta]]/_xlfn.XLOOKUP(Cocina[[#This Row],[Número de Orden]],Sala[Número de Orden],Sala[Monto total],"fracaso",0,1)</f>
        <v>0.38709677419354838</v>
      </c>
      <c r="L1151" t="s">
        <v>608</v>
      </c>
    </row>
    <row r="1152" spans="1:12" x14ac:dyDescent="0.25">
      <c r="A1152">
        <v>464</v>
      </c>
      <c r="B1152">
        <v>16</v>
      </c>
      <c r="C1152" t="s">
        <v>155</v>
      </c>
      <c r="D1152" t="s">
        <v>636</v>
      </c>
      <c r="E1152">
        <v>15</v>
      </c>
      <c r="F1152">
        <v>26</v>
      </c>
      <c r="G1152">
        <v>3</v>
      </c>
      <c r="H1152">
        <v>50</v>
      </c>
      <c r="I1152">
        <f>Cocina[[#This Row],[Precio Unitario]]*Cocina[[#This Row],[Cantidad Ordenada]]</f>
        <v>78</v>
      </c>
      <c r="J1152">
        <f>(Cocina[[#This Row],[Precio Unitario]]-Cocina[[#This Row],[Costo Unitario]])*Cocina[[#This Row],[Cantidad Ordenada]]</f>
        <v>33</v>
      </c>
      <c r="K1152" s="4">
        <f>Cocina[[#This Row],[Ganancia neta]]/_xlfn.XLOOKUP(Cocina[[#This Row],[Número de Orden]],Sala[Número de Orden],Sala[Monto total],"fracaso",0,1)</f>
        <v>0.21428571428571427</v>
      </c>
      <c r="L1152" t="s">
        <v>608</v>
      </c>
    </row>
    <row r="1153" spans="1:12" x14ac:dyDescent="0.25">
      <c r="A1153">
        <v>464</v>
      </c>
      <c r="B1153">
        <v>16</v>
      </c>
      <c r="C1153" t="s">
        <v>106</v>
      </c>
      <c r="D1153" t="s">
        <v>621</v>
      </c>
      <c r="E1153">
        <v>16</v>
      </c>
      <c r="F1153">
        <v>27</v>
      </c>
      <c r="G1153">
        <v>2</v>
      </c>
      <c r="H1153">
        <v>24</v>
      </c>
      <c r="I1153">
        <f>Cocina[[#This Row],[Precio Unitario]]*Cocina[[#This Row],[Cantidad Ordenada]]</f>
        <v>54</v>
      </c>
      <c r="J1153">
        <f>(Cocina[[#This Row],[Precio Unitario]]-Cocina[[#This Row],[Costo Unitario]])*Cocina[[#This Row],[Cantidad Ordenada]]</f>
        <v>22</v>
      </c>
      <c r="K1153" s="4">
        <f>Cocina[[#This Row],[Ganancia neta]]/_xlfn.XLOOKUP(Cocina[[#This Row],[Número de Orden]],Sala[Número de Orden],Sala[Monto total],"fracaso",0,1)</f>
        <v>0.14285714285714285</v>
      </c>
      <c r="L1153" t="s">
        <v>607</v>
      </c>
    </row>
    <row r="1154" spans="1:12" x14ac:dyDescent="0.25">
      <c r="A1154">
        <v>464</v>
      </c>
      <c r="B1154">
        <v>16</v>
      </c>
      <c r="C1154" t="s">
        <v>203</v>
      </c>
      <c r="D1154" t="s">
        <v>630</v>
      </c>
      <c r="E1154">
        <v>13</v>
      </c>
      <c r="F1154">
        <v>22</v>
      </c>
      <c r="G1154">
        <v>1</v>
      </c>
      <c r="H1154">
        <v>10</v>
      </c>
      <c r="I1154">
        <f>Cocina[[#This Row],[Precio Unitario]]*Cocina[[#This Row],[Cantidad Ordenada]]</f>
        <v>22</v>
      </c>
      <c r="J1154">
        <f>(Cocina[[#This Row],[Precio Unitario]]-Cocina[[#This Row],[Costo Unitario]])*Cocina[[#This Row],[Cantidad Ordenada]]</f>
        <v>9</v>
      </c>
      <c r="K1154" s="4">
        <f>Cocina[[#This Row],[Ganancia neta]]/_xlfn.XLOOKUP(Cocina[[#This Row],[Número de Orden]],Sala[Número de Orden],Sala[Monto total],"fracaso",0,1)</f>
        <v>5.844155844155844E-2</v>
      </c>
      <c r="L1154" t="s">
        <v>607</v>
      </c>
    </row>
    <row r="1155" spans="1:12" x14ac:dyDescent="0.25">
      <c r="A1155">
        <v>465</v>
      </c>
      <c r="B1155">
        <v>4</v>
      </c>
      <c r="C1155" t="s">
        <v>122</v>
      </c>
      <c r="D1155" t="s">
        <v>637</v>
      </c>
      <c r="E1155">
        <v>15</v>
      </c>
      <c r="F1155">
        <v>25</v>
      </c>
      <c r="G1155">
        <v>3</v>
      </c>
      <c r="H1155">
        <v>37</v>
      </c>
      <c r="I1155">
        <f>Cocina[[#This Row],[Precio Unitario]]*Cocina[[#This Row],[Cantidad Ordenada]]</f>
        <v>75</v>
      </c>
      <c r="J1155">
        <f>(Cocina[[#This Row],[Precio Unitario]]-Cocina[[#This Row],[Costo Unitario]])*Cocina[[#This Row],[Cantidad Ordenada]]</f>
        <v>30</v>
      </c>
      <c r="K1155" s="4">
        <f>Cocina[[#This Row],[Ganancia neta]]/_xlfn.XLOOKUP(Cocina[[#This Row],[Número de Orden]],Sala[Número de Orden],Sala[Monto total],"fracaso",0,1)</f>
        <v>0.24793388429752067</v>
      </c>
      <c r="L1155" t="s">
        <v>607</v>
      </c>
    </row>
    <row r="1156" spans="1:12" x14ac:dyDescent="0.25">
      <c r="A1156">
        <v>465</v>
      </c>
      <c r="B1156">
        <v>4</v>
      </c>
      <c r="C1156" t="s">
        <v>200</v>
      </c>
      <c r="D1156" t="s">
        <v>633</v>
      </c>
      <c r="E1156">
        <v>14</v>
      </c>
      <c r="F1156">
        <v>23</v>
      </c>
      <c r="G1156">
        <v>2</v>
      </c>
      <c r="H1156">
        <v>23</v>
      </c>
      <c r="I1156">
        <f>Cocina[[#This Row],[Precio Unitario]]*Cocina[[#This Row],[Cantidad Ordenada]]</f>
        <v>46</v>
      </c>
      <c r="J1156">
        <f>(Cocina[[#This Row],[Precio Unitario]]-Cocina[[#This Row],[Costo Unitario]])*Cocina[[#This Row],[Cantidad Ordenada]]</f>
        <v>18</v>
      </c>
      <c r="K1156" s="4">
        <f>Cocina[[#This Row],[Ganancia neta]]/_xlfn.XLOOKUP(Cocina[[#This Row],[Número de Orden]],Sala[Número de Orden],Sala[Monto total],"fracaso",0,1)</f>
        <v>0.1487603305785124</v>
      </c>
      <c r="L1156" t="s">
        <v>608</v>
      </c>
    </row>
    <row r="1157" spans="1:12" x14ac:dyDescent="0.25">
      <c r="A1157">
        <v>466</v>
      </c>
      <c r="B1157">
        <v>4</v>
      </c>
      <c r="C1157" t="s">
        <v>203</v>
      </c>
      <c r="D1157" t="s">
        <v>630</v>
      </c>
      <c r="E1157">
        <v>13</v>
      </c>
      <c r="F1157">
        <v>22</v>
      </c>
      <c r="G1157">
        <v>1</v>
      </c>
      <c r="H1157">
        <v>50</v>
      </c>
      <c r="I1157">
        <f>Cocina[[#This Row],[Precio Unitario]]*Cocina[[#This Row],[Cantidad Ordenada]]</f>
        <v>22</v>
      </c>
      <c r="J1157">
        <f>(Cocina[[#This Row],[Precio Unitario]]-Cocina[[#This Row],[Costo Unitario]])*Cocina[[#This Row],[Cantidad Ordenada]]</f>
        <v>9</v>
      </c>
      <c r="K1157" s="4">
        <f>Cocina[[#This Row],[Ganancia neta]]/_xlfn.XLOOKUP(Cocina[[#This Row],[Número de Orden]],Sala[Número de Orden],Sala[Monto total],"fracaso",0,1)</f>
        <v>6.4285714285714279E-2</v>
      </c>
      <c r="L1157" t="s">
        <v>608</v>
      </c>
    </row>
    <row r="1158" spans="1:12" x14ac:dyDescent="0.25">
      <c r="A1158">
        <v>466</v>
      </c>
      <c r="B1158">
        <v>4</v>
      </c>
      <c r="C1158" t="s">
        <v>68</v>
      </c>
      <c r="D1158" t="s">
        <v>619</v>
      </c>
      <c r="E1158">
        <v>18</v>
      </c>
      <c r="F1158">
        <v>30</v>
      </c>
      <c r="G1158">
        <v>3</v>
      </c>
      <c r="H1158">
        <v>52</v>
      </c>
      <c r="I1158">
        <f>Cocina[[#This Row],[Precio Unitario]]*Cocina[[#This Row],[Cantidad Ordenada]]</f>
        <v>90</v>
      </c>
      <c r="J1158">
        <f>(Cocina[[#This Row],[Precio Unitario]]-Cocina[[#This Row],[Costo Unitario]])*Cocina[[#This Row],[Cantidad Ordenada]]</f>
        <v>36</v>
      </c>
      <c r="K1158" s="4">
        <f>Cocina[[#This Row],[Ganancia neta]]/_xlfn.XLOOKUP(Cocina[[#This Row],[Número de Orden]],Sala[Número de Orden],Sala[Monto total],"fracaso",0,1)</f>
        <v>0.25714285714285712</v>
      </c>
      <c r="L1158" t="s">
        <v>607</v>
      </c>
    </row>
    <row r="1159" spans="1:12" x14ac:dyDescent="0.25">
      <c r="A1159">
        <v>466</v>
      </c>
      <c r="B1159">
        <v>4</v>
      </c>
      <c r="C1159" t="s">
        <v>42</v>
      </c>
      <c r="D1159" t="s">
        <v>626</v>
      </c>
      <c r="E1159">
        <v>16</v>
      </c>
      <c r="F1159">
        <v>28</v>
      </c>
      <c r="G1159">
        <v>1</v>
      </c>
      <c r="H1159">
        <v>43</v>
      </c>
      <c r="I1159">
        <f>Cocina[[#This Row],[Precio Unitario]]*Cocina[[#This Row],[Cantidad Ordenada]]</f>
        <v>28</v>
      </c>
      <c r="J1159">
        <f>(Cocina[[#This Row],[Precio Unitario]]-Cocina[[#This Row],[Costo Unitario]])*Cocina[[#This Row],[Cantidad Ordenada]]</f>
        <v>12</v>
      </c>
      <c r="K1159" s="4">
        <f>Cocina[[#This Row],[Ganancia neta]]/_xlfn.XLOOKUP(Cocina[[#This Row],[Número de Orden]],Sala[Número de Orden],Sala[Monto total],"fracaso",0,1)</f>
        <v>8.5714285714285715E-2</v>
      </c>
      <c r="L1159" t="s">
        <v>607</v>
      </c>
    </row>
    <row r="1160" spans="1:12" x14ac:dyDescent="0.25">
      <c r="A1160">
        <v>467</v>
      </c>
      <c r="B1160">
        <v>15</v>
      </c>
      <c r="C1160" t="s">
        <v>261</v>
      </c>
      <c r="D1160" t="s">
        <v>625</v>
      </c>
      <c r="E1160">
        <v>20</v>
      </c>
      <c r="F1160">
        <v>33</v>
      </c>
      <c r="G1160">
        <v>3</v>
      </c>
      <c r="H1160">
        <v>13</v>
      </c>
      <c r="I1160">
        <f>Cocina[[#This Row],[Precio Unitario]]*Cocina[[#This Row],[Cantidad Ordenada]]</f>
        <v>99</v>
      </c>
      <c r="J1160">
        <f>(Cocina[[#This Row],[Precio Unitario]]-Cocina[[#This Row],[Costo Unitario]])*Cocina[[#This Row],[Cantidad Ordenada]]</f>
        <v>39</v>
      </c>
      <c r="K1160" s="4">
        <f>Cocina[[#This Row],[Ganancia neta]]/_xlfn.XLOOKUP(Cocina[[#This Row],[Número de Orden]],Sala[Número de Orden],Sala[Monto total],"fracaso",0,1)</f>
        <v>0.27272727272727271</v>
      </c>
      <c r="L1160" t="s">
        <v>607</v>
      </c>
    </row>
    <row r="1161" spans="1:12" x14ac:dyDescent="0.25">
      <c r="A1161">
        <v>467</v>
      </c>
      <c r="B1161">
        <v>15</v>
      </c>
      <c r="C1161" t="s">
        <v>203</v>
      </c>
      <c r="D1161" t="s">
        <v>630</v>
      </c>
      <c r="E1161">
        <v>13</v>
      </c>
      <c r="F1161">
        <v>22</v>
      </c>
      <c r="G1161">
        <v>2</v>
      </c>
      <c r="H1161">
        <v>59</v>
      </c>
      <c r="I1161">
        <f>Cocina[[#This Row],[Precio Unitario]]*Cocina[[#This Row],[Cantidad Ordenada]]</f>
        <v>44</v>
      </c>
      <c r="J1161">
        <f>(Cocina[[#This Row],[Precio Unitario]]-Cocina[[#This Row],[Costo Unitario]])*Cocina[[#This Row],[Cantidad Ordenada]]</f>
        <v>18</v>
      </c>
      <c r="K1161" s="4">
        <f>Cocina[[#This Row],[Ganancia neta]]/_xlfn.XLOOKUP(Cocina[[#This Row],[Número de Orden]],Sala[Número de Orden],Sala[Monto total],"fracaso",0,1)</f>
        <v>0.12587412587412589</v>
      </c>
      <c r="L1161" t="s">
        <v>607</v>
      </c>
    </row>
    <row r="1162" spans="1:12" x14ac:dyDescent="0.25">
      <c r="A1162">
        <v>468</v>
      </c>
      <c r="B1162">
        <v>14</v>
      </c>
      <c r="C1162" t="s">
        <v>112</v>
      </c>
      <c r="D1162" t="s">
        <v>627</v>
      </c>
      <c r="E1162">
        <v>11</v>
      </c>
      <c r="F1162">
        <v>19</v>
      </c>
      <c r="G1162">
        <v>2</v>
      </c>
      <c r="H1162">
        <v>38</v>
      </c>
      <c r="I1162">
        <f>Cocina[[#This Row],[Precio Unitario]]*Cocina[[#This Row],[Cantidad Ordenada]]</f>
        <v>38</v>
      </c>
      <c r="J1162">
        <f>(Cocina[[#This Row],[Precio Unitario]]-Cocina[[#This Row],[Costo Unitario]])*Cocina[[#This Row],[Cantidad Ordenada]]</f>
        <v>16</v>
      </c>
      <c r="K1162" s="4">
        <f>Cocina[[#This Row],[Ganancia neta]]/_xlfn.XLOOKUP(Cocina[[#This Row],[Número de Orden]],Sala[Número de Orden],Sala[Monto total],"fracaso",0,1)</f>
        <v>0.15094339622641509</v>
      </c>
      <c r="L1162" t="s">
        <v>608</v>
      </c>
    </row>
    <row r="1163" spans="1:12" x14ac:dyDescent="0.25">
      <c r="A1163">
        <v>468</v>
      </c>
      <c r="B1163">
        <v>14</v>
      </c>
      <c r="C1163" t="s">
        <v>146</v>
      </c>
      <c r="D1163" t="s">
        <v>632</v>
      </c>
      <c r="E1163">
        <v>12</v>
      </c>
      <c r="F1163">
        <v>20</v>
      </c>
      <c r="G1163">
        <v>2</v>
      </c>
      <c r="H1163">
        <v>16</v>
      </c>
      <c r="I1163">
        <f>Cocina[[#This Row],[Precio Unitario]]*Cocina[[#This Row],[Cantidad Ordenada]]</f>
        <v>40</v>
      </c>
      <c r="J1163">
        <f>(Cocina[[#This Row],[Precio Unitario]]-Cocina[[#This Row],[Costo Unitario]])*Cocina[[#This Row],[Cantidad Ordenada]]</f>
        <v>16</v>
      </c>
      <c r="K1163" s="4">
        <f>Cocina[[#This Row],[Ganancia neta]]/_xlfn.XLOOKUP(Cocina[[#This Row],[Número de Orden]],Sala[Número de Orden],Sala[Monto total],"fracaso",0,1)</f>
        <v>0.15094339622641509</v>
      </c>
      <c r="L1163" t="s">
        <v>608</v>
      </c>
    </row>
    <row r="1164" spans="1:12" x14ac:dyDescent="0.25">
      <c r="A1164">
        <v>468</v>
      </c>
      <c r="B1164">
        <v>14</v>
      </c>
      <c r="C1164" t="s">
        <v>42</v>
      </c>
      <c r="D1164" t="s">
        <v>626</v>
      </c>
      <c r="E1164">
        <v>16</v>
      </c>
      <c r="F1164">
        <v>28</v>
      </c>
      <c r="G1164">
        <v>1</v>
      </c>
      <c r="H1164">
        <v>9</v>
      </c>
      <c r="I1164">
        <f>Cocina[[#This Row],[Precio Unitario]]*Cocina[[#This Row],[Cantidad Ordenada]]</f>
        <v>28</v>
      </c>
      <c r="J1164">
        <f>(Cocina[[#This Row],[Precio Unitario]]-Cocina[[#This Row],[Costo Unitario]])*Cocina[[#This Row],[Cantidad Ordenada]]</f>
        <v>12</v>
      </c>
      <c r="K1164" s="4">
        <f>Cocina[[#This Row],[Ganancia neta]]/_xlfn.XLOOKUP(Cocina[[#This Row],[Número de Orden]],Sala[Número de Orden],Sala[Monto total],"fracaso",0,1)</f>
        <v>0.11320754716981132</v>
      </c>
      <c r="L1164" t="s">
        <v>608</v>
      </c>
    </row>
    <row r="1165" spans="1:12" x14ac:dyDescent="0.25">
      <c r="A1165">
        <v>469</v>
      </c>
      <c r="B1165">
        <v>1</v>
      </c>
      <c r="C1165" t="s">
        <v>26</v>
      </c>
      <c r="D1165" t="s">
        <v>628</v>
      </c>
      <c r="E1165">
        <v>21</v>
      </c>
      <c r="F1165">
        <v>35</v>
      </c>
      <c r="G1165">
        <v>3</v>
      </c>
      <c r="H1165">
        <v>22</v>
      </c>
      <c r="I1165">
        <f>Cocina[[#This Row],[Precio Unitario]]*Cocina[[#This Row],[Cantidad Ordenada]]</f>
        <v>105</v>
      </c>
      <c r="J1165">
        <f>(Cocina[[#This Row],[Precio Unitario]]-Cocina[[#This Row],[Costo Unitario]])*Cocina[[#This Row],[Cantidad Ordenada]]</f>
        <v>42</v>
      </c>
      <c r="K1165" s="4">
        <f>Cocina[[#This Row],[Ganancia neta]]/_xlfn.XLOOKUP(Cocina[[#This Row],[Número de Orden]],Sala[Número de Orden],Sala[Monto total],"fracaso",0,1)</f>
        <v>0.30656934306569344</v>
      </c>
      <c r="L1165" t="s">
        <v>608</v>
      </c>
    </row>
    <row r="1166" spans="1:12" x14ac:dyDescent="0.25">
      <c r="A1166">
        <v>469</v>
      </c>
      <c r="B1166">
        <v>1</v>
      </c>
      <c r="C1166" t="s">
        <v>247</v>
      </c>
      <c r="D1166" t="s">
        <v>629</v>
      </c>
      <c r="E1166">
        <v>19</v>
      </c>
      <c r="F1166">
        <v>32</v>
      </c>
      <c r="G1166">
        <v>1</v>
      </c>
      <c r="H1166">
        <v>44</v>
      </c>
      <c r="I1166">
        <f>Cocina[[#This Row],[Precio Unitario]]*Cocina[[#This Row],[Cantidad Ordenada]]</f>
        <v>32</v>
      </c>
      <c r="J1166">
        <f>(Cocina[[#This Row],[Precio Unitario]]-Cocina[[#This Row],[Costo Unitario]])*Cocina[[#This Row],[Cantidad Ordenada]]</f>
        <v>13</v>
      </c>
      <c r="K1166" s="4">
        <f>Cocina[[#This Row],[Ganancia neta]]/_xlfn.XLOOKUP(Cocina[[#This Row],[Número de Orden]],Sala[Número de Orden],Sala[Monto total],"fracaso",0,1)</f>
        <v>9.4890510948905105E-2</v>
      </c>
      <c r="L1166" t="s">
        <v>607</v>
      </c>
    </row>
    <row r="1167" spans="1:12" x14ac:dyDescent="0.25">
      <c r="A1167">
        <v>470</v>
      </c>
      <c r="B1167">
        <v>17</v>
      </c>
      <c r="C1167" t="s">
        <v>158</v>
      </c>
      <c r="D1167" t="s">
        <v>617</v>
      </c>
      <c r="E1167">
        <v>14</v>
      </c>
      <c r="F1167">
        <v>24</v>
      </c>
      <c r="G1167">
        <v>1</v>
      </c>
      <c r="H1167">
        <v>44</v>
      </c>
      <c r="I1167">
        <f>Cocina[[#This Row],[Precio Unitario]]*Cocina[[#This Row],[Cantidad Ordenada]]</f>
        <v>24</v>
      </c>
      <c r="J1167">
        <f>(Cocina[[#This Row],[Precio Unitario]]-Cocina[[#This Row],[Costo Unitario]])*Cocina[[#This Row],[Cantidad Ordenada]]</f>
        <v>10</v>
      </c>
      <c r="K1167" s="4">
        <f>Cocina[[#This Row],[Ganancia neta]]/_xlfn.XLOOKUP(Cocina[[#This Row],[Número de Orden]],Sala[Número de Orden],Sala[Monto total],"fracaso",0,1)</f>
        <v>0.12820512820512819</v>
      </c>
      <c r="L1167" t="s">
        <v>607</v>
      </c>
    </row>
    <row r="1168" spans="1:12" x14ac:dyDescent="0.25">
      <c r="A1168">
        <v>470</v>
      </c>
      <c r="B1168">
        <v>17</v>
      </c>
      <c r="C1168" t="s">
        <v>79</v>
      </c>
      <c r="D1168" t="s">
        <v>635</v>
      </c>
      <c r="E1168">
        <v>10</v>
      </c>
      <c r="F1168">
        <v>18</v>
      </c>
      <c r="G1168">
        <v>3</v>
      </c>
      <c r="H1168">
        <v>28</v>
      </c>
      <c r="I1168">
        <f>Cocina[[#This Row],[Precio Unitario]]*Cocina[[#This Row],[Cantidad Ordenada]]</f>
        <v>54</v>
      </c>
      <c r="J1168">
        <f>(Cocina[[#This Row],[Precio Unitario]]-Cocina[[#This Row],[Costo Unitario]])*Cocina[[#This Row],[Cantidad Ordenada]]</f>
        <v>24</v>
      </c>
      <c r="K1168" s="4">
        <f>Cocina[[#This Row],[Ganancia neta]]/_xlfn.XLOOKUP(Cocina[[#This Row],[Número de Orden]],Sala[Número de Orden],Sala[Monto total],"fracaso",0,1)</f>
        <v>0.30769230769230771</v>
      </c>
      <c r="L1168" t="s">
        <v>607</v>
      </c>
    </row>
    <row r="1169" spans="1:12" x14ac:dyDescent="0.25">
      <c r="A1169">
        <v>471</v>
      </c>
      <c r="B1169">
        <v>7</v>
      </c>
      <c r="C1169" t="s">
        <v>26</v>
      </c>
      <c r="D1169" t="s">
        <v>628</v>
      </c>
      <c r="E1169">
        <v>21</v>
      </c>
      <c r="F1169">
        <v>35</v>
      </c>
      <c r="G1169">
        <v>3</v>
      </c>
      <c r="H1169">
        <v>57</v>
      </c>
      <c r="I1169">
        <f>Cocina[[#This Row],[Precio Unitario]]*Cocina[[#This Row],[Cantidad Ordenada]]</f>
        <v>105</v>
      </c>
      <c r="J1169">
        <f>(Cocina[[#This Row],[Precio Unitario]]-Cocina[[#This Row],[Costo Unitario]])*Cocina[[#This Row],[Cantidad Ordenada]]</f>
        <v>42</v>
      </c>
      <c r="K1169" s="4">
        <f>Cocina[[#This Row],[Ganancia neta]]/_xlfn.XLOOKUP(Cocina[[#This Row],[Número de Orden]],Sala[Número de Orden],Sala[Monto total],"fracaso",0,1)</f>
        <v>0.4</v>
      </c>
      <c r="L1169" t="s">
        <v>607</v>
      </c>
    </row>
    <row r="1170" spans="1:12" x14ac:dyDescent="0.25">
      <c r="A1170">
        <v>472</v>
      </c>
      <c r="B1170">
        <v>20</v>
      </c>
      <c r="C1170" t="s">
        <v>26</v>
      </c>
      <c r="D1170" t="s">
        <v>628</v>
      </c>
      <c r="E1170">
        <v>21</v>
      </c>
      <c r="F1170">
        <v>35</v>
      </c>
      <c r="G1170">
        <v>2</v>
      </c>
      <c r="H1170">
        <v>42</v>
      </c>
      <c r="I1170">
        <f>Cocina[[#This Row],[Precio Unitario]]*Cocina[[#This Row],[Cantidad Ordenada]]</f>
        <v>70</v>
      </c>
      <c r="J1170">
        <f>(Cocina[[#This Row],[Precio Unitario]]-Cocina[[#This Row],[Costo Unitario]])*Cocina[[#This Row],[Cantidad Ordenada]]</f>
        <v>28</v>
      </c>
      <c r="K1170" s="4">
        <f>Cocina[[#This Row],[Ganancia neta]]/_xlfn.XLOOKUP(Cocina[[#This Row],[Número de Orden]],Sala[Número de Orden],Sala[Monto total],"fracaso",0,1)</f>
        <v>0.24561403508771928</v>
      </c>
      <c r="L1170" t="s">
        <v>607</v>
      </c>
    </row>
    <row r="1171" spans="1:12" x14ac:dyDescent="0.25">
      <c r="A1171">
        <v>472</v>
      </c>
      <c r="B1171">
        <v>20</v>
      </c>
      <c r="C1171" t="s">
        <v>203</v>
      </c>
      <c r="D1171" t="s">
        <v>630</v>
      </c>
      <c r="E1171">
        <v>13</v>
      </c>
      <c r="F1171">
        <v>22</v>
      </c>
      <c r="G1171">
        <v>2</v>
      </c>
      <c r="H1171">
        <v>31</v>
      </c>
      <c r="I1171">
        <f>Cocina[[#This Row],[Precio Unitario]]*Cocina[[#This Row],[Cantidad Ordenada]]</f>
        <v>44</v>
      </c>
      <c r="J1171">
        <f>(Cocina[[#This Row],[Precio Unitario]]-Cocina[[#This Row],[Costo Unitario]])*Cocina[[#This Row],[Cantidad Ordenada]]</f>
        <v>18</v>
      </c>
      <c r="K1171" s="4">
        <f>Cocina[[#This Row],[Ganancia neta]]/_xlfn.XLOOKUP(Cocina[[#This Row],[Número de Orden]],Sala[Número de Orden],Sala[Monto total],"fracaso",0,1)</f>
        <v>0.15789473684210525</v>
      </c>
      <c r="L1171" t="s">
        <v>608</v>
      </c>
    </row>
    <row r="1172" spans="1:12" x14ac:dyDescent="0.25">
      <c r="A1172">
        <v>473</v>
      </c>
      <c r="B1172">
        <v>13</v>
      </c>
      <c r="C1172" t="s">
        <v>203</v>
      </c>
      <c r="D1172" t="s">
        <v>630</v>
      </c>
      <c r="E1172">
        <v>13</v>
      </c>
      <c r="F1172">
        <v>22</v>
      </c>
      <c r="G1172">
        <v>2</v>
      </c>
      <c r="H1172">
        <v>51</v>
      </c>
      <c r="I1172">
        <f>Cocina[[#This Row],[Precio Unitario]]*Cocina[[#This Row],[Cantidad Ordenada]]</f>
        <v>44</v>
      </c>
      <c r="J1172">
        <f>(Cocina[[#This Row],[Precio Unitario]]-Cocina[[#This Row],[Costo Unitario]])*Cocina[[#This Row],[Cantidad Ordenada]]</f>
        <v>18</v>
      </c>
      <c r="K1172" s="4">
        <f>Cocina[[#This Row],[Ganancia neta]]/_xlfn.XLOOKUP(Cocina[[#This Row],[Número de Orden]],Sala[Número de Orden],Sala[Monto total],"fracaso",0,1)</f>
        <v>0.22784810126582278</v>
      </c>
      <c r="L1172" t="s">
        <v>608</v>
      </c>
    </row>
    <row r="1173" spans="1:12" x14ac:dyDescent="0.25">
      <c r="A1173">
        <v>473</v>
      </c>
      <c r="B1173">
        <v>13</v>
      </c>
      <c r="C1173" t="s">
        <v>26</v>
      </c>
      <c r="D1173" t="s">
        <v>628</v>
      </c>
      <c r="E1173">
        <v>21</v>
      </c>
      <c r="F1173">
        <v>35</v>
      </c>
      <c r="G1173">
        <v>1</v>
      </c>
      <c r="H1173">
        <v>10</v>
      </c>
      <c r="I1173">
        <f>Cocina[[#This Row],[Precio Unitario]]*Cocina[[#This Row],[Cantidad Ordenada]]</f>
        <v>35</v>
      </c>
      <c r="J1173">
        <f>(Cocina[[#This Row],[Precio Unitario]]-Cocina[[#This Row],[Costo Unitario]])*Cocina[[#This Row],[Cantidad Ordenada]]</f>
        <v>14</v>
      </c>
      <c r="K1173" s="4">
        <f>Cocina[[#This Row],[Ganancia neta]]/_xlfn.XLOOKUP(Cocina[[#This Row],[Número de Orden]],Sala[Número de Orden],Sala[Monto total],"fracaso",0,1)</f>
        <v>0.17721518987341772</v>
      </c>
      <c r="L1173" t="s">
        <v>607</v>
      </c>
    </row>
    <row r="1174" spans="1:12" x14ac:dyDescent="0.25">
      <c r="A1174">
        <v>474</v>
      </c>
      <c r="B1174">
        <v>2</v>
      </c>
      <c r="C1174" t="s">
        <v>55</v>
      </c>
      <c r="D1174" t="s">
        <v>631</v>
      </c>
      <c r="E1174">
        <v>20</v>
      </c>
      <c r="F1174">
        <v>34</v>
      </c>
      <c r="G1174">
        <v>1</v>
      </c>
      <c r="H1174">
        <v>55</v>
      </c>
      <c r="I1174">
        <f>Cocina[[#This Row],[Precio Unitario]]*Cocina[[#This Row],[Cantidad Ordenada]]</f>
        <v>34</v>
      </c>
      <c r="J1174">
        <f>(Cocina[[#This Row],[Precio Unitario]]-Cocina[[#This Row],[Costo Unitario]])*Cocina[[#This Row],[Cantidad Ordenada]]</f>
        <v>14</v>
      </c>
      <c r="K1174" s="4">
        <f>Cocina[[#This Row],[Ganancia neta]]/_xlfn.XLOOKUP(Cocina[[#This Row],[Número de Orden]],Sala[Número de Orden],Sala[Monto total],"fracaso",0,1)</f>
        <v>7.8651685393258425E-2</v>
      </c>
      <c r="L1174" t="s">
        <v>608</v>
      </c>
    </row>
    <row r="1175" spans="1:12" x14ac:dyDescent="0.25">
      <c r="A1175">
        <v>474</v>
      </c>
      <c r="B1175">
        <v>2</v>
      </c>
      <c r="C1175" t="s">
        <v>38</v>
      </c>
      <c r="D1175" t="s">
        <v>624</v>
      </c>
      <c r="E1175">
        <v>17</v>
      </c>
      <c r="F1175">
        <v>29</v>
      </c>
      <c r="G1175">
        <v>1</v>
      </c>
      <c r="H1175">
        <v>37</v>
      </c>
      <c r="I1175">
        <f>Cocina[[#This Row],[Precio Unitario]]*Cocina[[#This Row],[Cantidad Ordenada]]</f>
        <v>29</v>
      </c>
      <c r="J1175">
        <f>(Cocina[[#This Row],[Precio Unitario]]-Cocina[[#This Row],[Costo Unitario]])*Cocina[[#This Row],[Cantidad Ordenada]]</f>
        <v>12</v>
      </c>
      <c r="K1175" s="4">
        <f>Cocina[[#This Row],[Ganancia neta]]/_xlfn.XLOOKUP(Cocina[[#This Row],[Número de Orden]],Sala[Número de Orden],Sala[Monto total],"fracaso",0,1)</f>
        <v>6.741573033707865E-2</v>
      </c>
      <c r="L1175" t="s">
        <v>607</v>
      </c>
    </row>
    <row r="1176" spans="1:12" x14ac:dyDescent="0.25">
      <c r="A1176">
        <v>474</v>
      </c>
      <c r="B1176">
        <v>2</v>
      </c>
      <c r="C1176" t="s">
        <v>116</v>
      </c>
      <c r="D1176" t="s">
        <v>620</v>
      </c>
      <c r="E1176">
        <v>19</v>
      </c>
      <c r="F1176">
        <v>31</v>
      </c>
      <c r="G1176">
        <v>1</v>
      </c>
      <c r="H1176">
        <v>34</v>
      </c>
      <c r="I1176">
        <f>Cocina[[#This Row],[Precio Unitario]]*Cocina[[#This Row],[Cantidad Ordenada]]</f>
        <v>31</v>
      </c>
      <c r="J1176">
        <f>(Cocina[[#This Row],[Precio Unitario]]-Cocina[[#This Row],[Costo Unitario]])*Cocina[[#This Row],[Cantidad Ordenada]]</f>
        <v>12</v>
      </c>
      <c r="K1176" s="4">
        <f>Cocina[[#This Row],[Ganancia neta]]/_xlfn.XLOOKUP(Cocina[[#This Row],[Número de Orden]],Sala[Número de Orden],Sala[Monto total],"fracaso",0,1)</f>
        <v>6.741573033707865E-2</v>
      </c>
      <c r="L1176" t="s">
        <v>608</v>
      </c>
    </row>
    <row r="1177" spans="1:12" x14ac:dyDescent="0.25">
      <c r="A1177">
        <v>474</v>
      </c>
      <c r="B1177">
        <v>2</v>
      </c>
      <c r="C1177" t="s">
        <v>42</v>
      </c>
      <c r="D1177" t="s">
        <v>626</v>
      </c>
      <c r="E1177">
        <v>16</v>
      </c>
      <c r="F1177">
        <v>28</v>
      </c>
      <c r="G1177">
        <v>3</v>
      </c>
      <c r="H1177">
        <v>35</v>
      </c>
      <c r="I1177">
        <f>Cocina[[#This Row],[Precio Unitario]]*Cocina[[#This Row],[Cantidad Ordenada]]</f>
        <v>84</v>
      </c>
      <c r="J1177">
        <f>(Cocina[[#This Row],[Precio Unitario]]-Cocina[[#This Row],[Costo Unitario]])*Cocina[[#This Row],[Cantidad Ordenada]]</f>
        <v>36</v>
      </c>
      <c r="K1177" s="4">
        <f>Cocina[[#This Row],[Ganancia neta]]/_xlfn.XLOOKUP(Cocina[[#This Row],[Número de Orden]],Sala[Número de Orden],Sala[Monto total],"fracaso",0,1)</f>
        <v>0.20224719101123595</v>
      </c>
      <c r="L1177" t="s">
        <v>607</v>
      </c>
    </row>
    <row r="1178" spans="1:12" x14ac:dyDescent="0.25">
      <c r="A1178">
        <v>475</v>
      </c>
      <c r="B1178">
        <v>18</v>
      </c>
      <c r="C1178" t="s">
        <v>158</v>
      </c>
      <c r="D1178" t="s">
        <v>617</v>
      </c>
      <c r="E1178">
        <v>14</v>
      </c>
      <c r="F1178">
        <v>24</v>
      </c>
      <c r="G1178">
        <v>3</v>
      </c>
      <c r="H1178">
        <v>21</v>
      </c>
      <c r="I1178">
        <f>Cocina[[#This Row],[Precio Unitario]]*Cocina[[#This Row],[Cantidad Ordenada]]</f>
        <v>72</v>
      </c>
      <c r="J1178">
        <f>(Cocina[[#This Row],[Precio Unitario]]-Cocina[[#This Row],[Costo Unitario]])*Cocina[[#This Row],[Cantidad Ordenada]]</f>
        <v>30</v>
      </c>
      <c r="K1178" s="4">
        <f>Cocina[[#This Row],[Ganancia neta]]/_xlfn.XLOOKUP(Cocina[[#This Row],[Número de Orden]],Sala[Número de Orden],Sala[Monto total],"fracaso",0,1)</f>
        <v>0.17241379310344829</v>
      </c>
      <c r="L1178" t="s">
        <v>608</v>
      </c>
    </row>
    <row r="1179" spans="1:12" x14ac:dyDescent="0.25">
      <c r="A1179">
        <v>475</v>
      </c>
      <c r="B1179">
        <v>18</v>
      </c>
      <c r="C1179" t="s">
        <v>55</v>
      </c>
      <c r="D1179" t="s">
        <v>631</v>
      </c>
      <c r="E1179">
        <v>20</v>
      </c>
      <c r="F1179">
        <v>34</v>
      </c>
      <c r="G1179">
        <v>3</v>
      </c>
      <c r="H1179">
        <v>14</v>
      </c>
      <c r="I1179">
        <f>Cocina[[#This Row],[Precio Unitario]]*Cocina[[#This Row],[Cantidad Ordenada]]</f>
        <v>102</v>
      </c>
      <c r="J1179">
        <f>(Cocina[[#This Row],[Precio Unitario]]-Cocina[[#This Row],[Costo Unitario]])*Cocina[[#This Row],[Cantidad Ordenada]]</f>
        <v>42</v>
      </c>
      <c r="K1179" s="4">
        <f>Cocina[[#This Row],[Ganancia neta]]/_xlfn.XLOOKUP(Cocina[[#This Row],[Número de Orden]],Sala[Número de Orden],Sala[Monto total],"fracaso",0,1)</f>
        <v>0.2413793103448276</v>
      </c>
      <c r="L1179" t="s">
        <v>608</v>
      </c>
    </row>
    <row r="1180" spans="1:12" x14ac:dyDescent="0.25">
      <c r="A1180">
        <v>476</v>
      </c>
      <c r="B1180">
        <v>13</v>
      </c>
      <c r="C1180" t="s">
        <v>158</v>
      </c>
      <c r="D1180" t="s">
        <v>617</v>
      </c>
      <c r="E1180">
        <v>14</v>
      </c>
      <c r="F1180">
        <v>24</v>
      </c>
      <c r="G1180">
        <v>2</v>
      </c>
      <c r="H1180">
        <v>55</v>
      </c>
      <c r="I1180">
        <f>Cocina[[#This Row],[Precio Unitario]]*Cocina[[#This Row],[Cantidad Ordenada]]</f>
        <v>48</v>
      </c>
      <c r="J1180">
        <f>(Cocina[[#This Row],[Precio Unitario]]-Cocina[[#This Row],[Costo Unitario]])*Cocina[[#This Row],[Cantidad Ordenada]]</f>
        <v>20</v>
      </c>
      <c r="K1180" s="4">
        <f>Cocina[[#This Row],[Ganancia neta]]/_xlfn.XLOOKUP(Cocina[[#This Row],[Número de Orden]],Sala[Número de Orden],Sala[Monto total],"fracaso",0,1)</f>
        <v>9.1743119266055051E-2</v>
      </c>
      <c r="L1180" t="s">
        <v>608</v>
      </c>
    </row>
    <row r="1181" spans="1:12" x14ac:dyDescent="0.25">
      <c r="A1181">
        <v>476</v>
      </c>
      <c r="B1181">
        <v>13</v>
      </c>
      <c r="C1181" t="s">
        <v>55</v>
      </c>
      <c r="D1181" t="s">
        <v>631</v>
      </c>
      <c r="E1181">
        <v>20</v>
      </c>
      <c r="F1181">
        <v>34</v>
      </c>
      <c r="G1181">
        <v>1</v>
      </c>
      <c r="H1181">
        <v>34</v>
      </c>
      <c r="I1181">
        <f>Cocina[[#This Row],[Precio Unitario]]*Cocina[[#This Row],[Cantidad Ordenada]]</f>
        <v>34</v>
      </c>
      <c r="J1181">
        <f>(Cocina[[#This Row],[Precio Unitario]]-Cocina[[#This Row],[Costo Unitario]])*Cocina[[#This Row],[Cantidad Ordenada]]</f>
        <v>14</v>
      </c>
      <c r="K1181" s="4">
        <f>Cocina[[#This Row],[Ganancia neta]]/_xlfn.XLOOKUP(Cocina[[#This Row],[Número de Orden]],Sala[Número de Orden],Sala[Monto total],"fracaso",0,1)</f>
        <v>6.4220183486238536E-2</v>
      </c>
      <c r="L1181" t="s">
        <v>607</v>
      </c>
    </row>
    <row r="1182" spans="1:12" x14ac:dyDescent="0.25">
      <c r="A1182">
        <v>476</v>
      </c>
      <c r="B1182">
        <v>13</v>
      </c>
      <c r="C1182" t="s">
        <v>247</v>
      </c>
      <c r="D1182" t="s">
        <v>629</v>
      </c>
      <c r="E1182">
        <v>19</v>
      </c>
      <c r="F1182">
        <v>32</v>
      </c>
      <c r="G1182">
        <v>3</v>
      </c>
      <c r="H1182">
        <v>5</v>
      </c>
      <c r="I1182">
        <f>Cocina[[#This Row],[Precio Unitario]]*Cocina[[#This Row],[Cantidad Ordenada]]</f>
        <v>96</v>
      </c>
      <c r="J1182">
        <f>(Cocina[[#This Row],[Precio Unitario]]-Cocina[[#This Row],[Costo Unitario]])*Cocina[[#This Row],[Cantidad Ordenada]]</f>
        <v>39</v>
      </c>
      <c r="K1182" s="4">
        <f>Cocina[[#This Row],[Ganancia neta]]/_xlfn.XLOOKUP(Cocina[[#This Row],[Número de Orden]],Sala[Número de Orden],Sala[Monto total],"fracaso",0,1)</f>
        <v>0.17889908256880735</v>
      </c>
      <c r="L1182" t="s">
        <v>608</v>
      </c>
    </row>
    <row r="1183" spans="1:12" x14ac:dyDescent="0.25">
      <c r="A1183">
        <v>476</v>
      </c>
      <c r="B1183">
        <v>13</v>
      </c>
      <c r="C1183" t="s">
        <v>48</v>
      </c>
      <c r="D1183" t="s">
        <v>622</v>
      </c>
      <c r="E1183">
        <v>25</v>
      </c>
      <c r="F1183">
        <v>40</v>
      </c>
      <c r="G1183">
        <v>1</v>
      </c>
      <c r="H1183">
        <v>21</v>
      </c>
      <c r="I1183">
        <f>Cocina[[#This Row],[Precio Unitario]]*Cocina[[#This Row],[Cantidad Ordenada]]</f>
        <v>40</v>
      </c>
      <c r="J1183">
        <f>(Cocina[[#This Row],[Precio Unitario]]-Cocina[[#This Row],[Costo Unitario]])*Cocina[[#This Row],[Cantidad Ordenada]]</f>
        <v>15</v>
      </c>
      <c r="K1183" s="4">
        <f>Cocina[[#This Row],[Ganancia neta]]/_xlfn.XLOOKUP(Cocina[[#This Row],[Número de Orden]],Sala[Número de Orden],Sala[Monto total],"fracaso",0,1)</f>
        <v>6.8807339449541288E-2</v>
      </c>
      <c r="L1183" t="s">
        <v>607</v>
      </c>
    </row>
    <row r="1184" spans="1:12" x14ac:dyDescent="0.25">
      <c r="A1184">
        <v>477</v>
      </c>
      <c r="B1184">
        <v>8</v>
      </c>
      <c r="C1184" t="s">
        <v>55</v>
      </c>
      <c r="D1184" t="s">
        <v>631</v>
      </c>
      <c r="E1184">
        <v>20</v>
      </c>
      <c r="F1184">
        <v>34</v>
      </c>
      <c r="G1184">
        <v>2</v>
      </c>
      <c r="H1184">
        <v>34</v>
      </c>
      <c r="I1184">
        <f>Cocina[[#This Row],[Precio Unitario]]*Cocina[[#This Row],[Cantidad Ordenada]]</f>
        <v>68</v>
      </c>
      <c r="J1184">
        <f>(Cocina[[#This Row],[Precio Unitario]]-Cocina[[#This Row],[Costo Unitario]])*Cocina[[#This Row],[Cantidad Ordenada]]</f>
        <v>28</v>
      </c>
      <c r="K1184" s="4">
        <f>Cocina[[#This Row],[Ganancia neta]]/_xlfn.XLOOKUP(Cocina[[#This Row],[Número de Orden]],Sala[Número de Orden],Sala[Monto total],"fracaso",0,1)</f>
        <v>0.13725490196078433</v>
      </c>
      <c r="L1184" t="s">
        <v>608</v>
      </c>
    </row>
    <row r="1185" spans="1:12" x14ac:dyDescent="0.25">
      <c r="A1185">
        <v>477</v>
      </c>
      <c r="B1185">
        <v>8</v>
      </c>
      <c r="C1185" t="s">
        <v>200</v>
      </c>
      <c r="D1185" t="s">
        <v>633</v>
      </c>
      <c r="E1185">
        <v>14</v>
      </c>
      <c r="F1185">
        <v>23</v>
      </c>
      <c r="G1185">
        <v>2</v>
      </c>
      <c r="H1185">
        <v>13</v>
      </c>
      <c r="I1185">
        <f>Cocina[[#This Row],[Precio Unitario]]*Cocina[[#This Row],[Cantidad Ordenada]]</f>
        <v>46</v>
      </c>
      <c r="J1185">
        <f>(Cocina[[#This Row],[Precio Unitario]]-Cocina[[#This Row],[Costo Unitario]])*Cocina[[#This Row],[Cantidad Ordenada]]</f>
        <v>18</v>
      </c>
      <c r="K1185" s="4">
        <f>Cocina[[#This Row],[Ganancia neta]]/_xlfn.XLOOKUP(Cocina[[#This Row],[Número de Orden]],Sala[Número de Orden],Sala[Monto total],"fracaso",0,1)</f>
        <v>8.8235294117647065E-2</v>
      </c>
      <c r="L1185" t="s">
        <v>608</v>
      </c>
    </row>
    <row r="1186" spans="1:12" x14ac:dyDescent="0.25">
      <c r="A1186">
        <v>477</v>
      </c>
      <c r="B1186">
        <v>8</v>
      </c>
      <c r="C1186" t="s">
        <v>158</v>
      </c>
      <c r="D1186" t="s">
        <v>617</v>
      </c>
      <c r="E1186">
        <v>14</v>
      </c>
      <c r="F1186">
        <v>24</v>
      </c>
      <c r="G1186">
        <v>2</v>
      </c>
      <c r="H1186">
        <v>47</v>
      </c>
      <c r="I1186">
        <f>Cocina[[#This Row],[Precio Unitario]]*Cocina[[#This Row],[Cantidad Ordenada]]</f>
        <v>48</v>
      </c>
      <c r="J1186">
        <f>(Cocina[[#This Row],[Precio Unitario]]-Cocina[[#This Row],[Costo Unitario]])*Cocina[[#This Row],[Cantidad Ordenada]]</f>
        <v>20</v>
      </c>
      <c r="K1186" s="4">
        <f>Cocina[[#This Row],[Ganancia neta]]/_xlfn.XLOOKUP(Cocina[[#This Row],[Número de Orden]],Sala[Número de Orden],Sala[Monto total],"fracaso",0,1)</f>
        <v>9.8039215686274508E-2</v>
      </c>
      <c r="L1186" t="s">
        <v>608</v>
      </c>
    </row>
    <row r="1187" spans="1:12" x14ac:dyDescent="0.25">
      <c r="A1187">
        <v>477</v>
      </c>
      <c r="B1187">
        <v>8</v>
      </c>
      <c r="C1187" t="s">
        <v>70</v>
      </c>
      <c r="D1187" t="s">
        <v>634</v>
      </c>
      <c r="E1187">
        <v>13</v>
      </c>
      <c r="F1187">
        <v>21</v>
      </c>
      <c r="G1187">
        <v>2</v>
      </c>
      <c r="H1187">
        <v>21</v>
      </c>
      <c r="I1187">
        <f>Cocina[[#This Row],[Precio Unitario]]*Cocina[[#This Row],[Cantidad Ordenada]]</f>
        <v>42</v>
      </c>
      <c r="J1187">
        <f>(Cocina[[#This Row],[Precio Unitario]]-Cocina[[#This Row],[Costo Unitario]])*Cocina[[#This Row],[Cantidad Ordenada]]</f>
        <v>16</v>
      </c>
      <c r="K1187" s="4">
        <f>Cocina[[#This Row],[Ganancia neta]]/_xlfn.XLOOKUP(Cocina[[#This Row],[Número de Orden]],Sala[Número de Orden],Sala[Monto total],"fracaso",0,1)</f>
        <v>7.8431372549019607E-2</v>
      </c>
      <c r="L1187" t="s">
        <v>607</v>
      </c>
    </row>
    <row r="1188" spans="1:12" x14ac:dyDescent="0.25">
      <c r="A1188">
        <v>478</v>
      </c>
      <c r="B1188">
        <v>7</v>
      </c>
      <c r="C1188" t="s">
        <v>68</v>
      </c>
      <c r="D1188" t="s">
        <v>619</v>
      </c>
      <c r="E1188">
        <v>18</v>
      </c>
      <c r="F1188">
        <v>30</v>
      </c>
      <c r="G1188">
        <v>2</v>
      </c>
      <c r="H1188">
        <v>54</v>
      </c>
      <c r="I1188">
        <f>Cocina[[#This Row],[Precio Unitario]]*Cocina[[#This Row],[Cantidad Ordenada]]</f>
        <v>60</v>
      </c>
      <c r="J1188">
        <f>(Cocina[[#This Row],[Precio Unitario]]-Cocina[[#This Row],[Costo Unitario]])*Cocina[[#This Row],[Cantidad Ordenada]]</f>
        <v>24</v>
      </c>
      <c r="K1188" s="4">
        <f>Cocina[[#This Row],[Ganancia neta]]/_xlfn.XLOOKUP(Cocina[[#This Row],[Número de Orden]],Sala[Número de Orden],Sala[Monto total],"fracaso",0,1)</f>
        <v>0.20338983050847459</v>
      </c>
      <c r="L1188" t="s">
        <v>608</v>
      </c>
    </row>
    <row r="1189" spans="1:12" x14ac:dyDescent="0.25">
      <c r="A1189">
        <v>478</v>
      </c>
      <c r="B1189">
        <v>7</v>
      </c>
      <c r="C1189" t="s">
        <v>38</v>
      </c>
      <c r="D1189" t="s">
        <v>624</v>
      </c>
      <c r="E1189">
        <v>17</v>
      </c>
      <c r="F1189">
        <v>29</v>
      </c>
      <c r="G1189">
        <v>2</v>
      </c>
      <c r="H1189">
        <v>36</v>
      </c>
      <c r="I1189">
        <f>Cocina[[#This Row],[Precio Unitario]]*Cocina[[#This Row],[Cantidad Ordenada]]</f>
        <v>58</v>
      </c>
      <c r="J1189">
        <f>(Cocina[[#This Row],[Precio Unitario]]-Cocina[[#This Row],[Costo Unitario]])*Cocina[[#This Row],[Cantidad Ordenada]]</f>
        <v>24</v>
      </c>
      <c r="K1189" s="4">
        <f>Cocina[[#This Row],[Ganancia neta]]/_xlfn.XLOOKUP(Cocina[[#This Row],[Número de Orden]],Sala[Número de Orden],Sala[Monto total],"fracaso",0,1)</f>
        <v>0.20338983050847459</v>
      </c>
      <c r="L1189" t="s">
        <v>608</v>
      </c>
    </row>
    <row r="1190" spans="1:12" x14ac:dyDescent="0.25">
      <c r="A1190">
        <v>479</v>
      </c>
      <c r="B1190">
        <v>1</v>
      </c>
      <c r="C1190" t="s">
        <v>79</v>
      </c>
      <c r="D1190" t="s">
        <v>635</v>
      </c>
      <c r="E1190">
        <v>10</v>
      </c>
      <c r="F1190">
        <v>18</v>
      </c>
      <c r="G1190">
        <v>1</v>
      </c>
      <c r="H1190">
        <v>45</v>
      </c>
      <c r="I1190">
        <f>Cocina[[#This Row],[Precio Unitario]]*Cocina[[#This Row],[Cantidad Ordenada]]</f>
        <v>18</v>
      </c>
      <c r="J1190">
        <f>(Cocina[[#This Row],[Precio Unitario]]-Cocina[[#This Row],[Costo Unitario]])*Cocina[[#This Row],[Cantidad Ordenada]]</f>
        <v>8</v>
      </c>
      <c r="K1190" s="4">
        <f>Cocina[[#This Row],[Ganancia neta]]/_xlfn.XLOOKUP(Cocina[[#This Row],[Número de Orden]],Sala[Número de Orden],Sala[Monto total],"fracaso",0,1)</f>
        <v>0.15384615384615385</v>
      </c>
      <c r="L1190" t="s">
        <v>607</v>
      </c>
    </row>
    <row r="1191" spans="1:12" x14ac:dyDescent="0.25">
      <c r="A1191">
        <v>479</v>
      </c>
      <c r="B1191">
        <v>1</v>
      </c>
      <c r="C1191" t="s">
        <v>55</v>
      </c>
      <c r="D1191" t="s">
        <v>631</v>
      </c>
      <c r="E1191">
        <v>20</v>
      </c>
      <c r="F1191">
        <v>34</v>
      </c>
      <c r="G1191">
        <v>1</v>
      </c>
      <c r="H1191">
        <v>38</v>
      </c>
      <c r="I1191">
        <f>Cocina[[#This Row],[Precio Unitario]]*Cocina[[#This Row],[Cantidad Ordenada]]</f>
        <v>34</v>
      </c>
      <c r="J1191">
        <f>(Cocina[[#This Row],[Precio Unitario]]-Cocina[[#This Row],[Costo Unitario]])*Cocina[[#This Row],[Cantidad Ordenada]]</f>
        <v>14</v>
      </c>
      <c r="K1191" s="4">
        <f>Cocina[[#This Row],[Ganancia neta]]/_xlfn.XLOOKUP(Cocina[[#This Row],[Número de Orden]],Sala[Número de Orden],Sala[Monto total],"fracaso",0,1)</f>
        <v>0.26923076923076922</v>
      </c>
      <c r="L1191" t="s">
        <v>608</v>
      </c>
    </row>
    <row r="1192" spans="1:12" x14ac:dyDescent="0.25">
      <c r="A1192">
        <v>480</v>
      </c>
      <c r="B1192">
        <v>1</v>
      </c>
      <c r="C1192" t="s">
        <v>26</v>
      </c>
      <c r="D1192" t="s">
        <v>628</v>
      </c>
      <c r="E1192">
        <v>21</v>
      </c>
      <c r="F1192">
        <v>35</v>
      </c>
      <c r="G1192">
        <v>3</v>
      </c>
      <c r="H1192">
        <v>57</v>
      </c>
      <c r="I1192">
        <f>Cocina[[#This Row],[Precio Unitario]]*Cocina[[#This Row],[Cantidad Ordenada]]</f>
        <v>105</v>
      </c>
      <c r="J1192">
        <f>(Cocina[[#This Row],[Precio Unitario]]-Cocina[[#This Row],[Costo Unitario]])*Cocina[[#This Row],[Cantidad Ordenada]]</f>
        <v>42</v>
      </c>
      <c r="K1192" s="4">
        <f>Cocina[[#This Row],[Ganancia neta]]/_xlfn.XLOOKUP(Cocina[[#This Row],[Número de Orden]],Sala[Número de Orden],Sala[Monto total],"fracaso",0,1)</f>
        <v>0.26415094339622641</v>
      </c>
      <c r="L1192" t="s">
        <v>608</v>
      </c>
    </row>
    <row r="1193" spans="1:12" x14ac:dyDescent="0.25">
      <c r="A1193">
        <v>480</v>
      </c>
      <c r="B1193">
        <v>1</v>
      </c>
      <c r="C1193" t="s">
        <v>106</v>
      </c>
      <c r="D1193" t="s">
        <v>621</v>
      </c>
      <c r="E1193">
        <v>16</v>
      </c>
      <c r="F1193">
        <v>27</v>
      </c>
      <c r="G1193">
        <v>2</v>
      </c>
      <c r="H1193">
        <v>8</v>
      </c>
      <c r="I1193">
        <f>Cocina[[#This Row],[Precio Unitario]]*Cocina[[#This Row],[Cantidad Ordenada]]</f>
        <v>54</v>
      </c>
      <c r="J1193">
        <f>(Cocina[[#This Row],[Precio Unitario]]-Cocina[[#This Row],[Costo Unitario]])*Cocina[[#This Row],[Cantidad Ordenada]]</f>
        <v>22</v>
      </c>
      <c r="K1193" s="4">
        <f>Cocina[[#This Row],[Ganancia neta]]/_xlfn.XLOOKUP(Cocina[[#This Row],[Número de Orden]],Sala[Número de Orden],Sala[Monto total],"fracaso",0,1)</f>
        <v>0.13836477987421383</v>
      </c>
      <c r="L1193" t="s">
        <v>607</v>
      </c>
    </row>
    <row r="1194" spans="1:12" x14ac:dyDescent="0.25">
      <c r="A1194">
        <v>481</v>
      </c>
      <c r="B1194">
        <v>9</v>
      </c>
      <c r="C1194" t="s">
        <v>155</v>
      </c>
      <c r="D1194" t="s">
        <v>636</v>
      </c>
      <c r="E1194">
        <v>15</v>
      </c>
      <c r="F1194">
        <v>26</v>
      </c>
      <c r="G1194">
        <v>2</v>
      </c>
      <c r="H1194">
        <v>58</v>
      </c>
      <c r="I1194">
        <f>Cocina[[#This Row],[Precio Unitario]]*Cocina[[#This Row],[Cantidad Ordenada]]</f>
        <v>52</v>
      </c>
      <c r="J1194">
        <f>(Cocina[[#This Row],[Precio Unitario]]-Cocina[[#This Row],[Costo Unitario]])*Cocina[[#This Row],[Cantidad Ordenada]]</f>
        <v>22</v>
      </c>
      <c r="K1194" s="4">
        <f>Cocina[[#This Row],[Ganancia neta]]/_xlfn.XLOOKUP(Cocina[[#This Row],[Número de Orden]],Sala[Número de Orden],Sala[Monto total],"fracaso",0,1)</f>
        <v>0.42307692307692307</v>
      </c>
      <c r="L1194" t="s">
        <v>608</v>
      </c>
    </row>
    <row r="1195" spans="1:12" x14ac:dyDescent="0.25">
      <c r="A1195">
        <v>482</v>
      </c>
      <c r="B1195">
        <v>9</v>
      </c>
      <c r="C1195" t="s">
        <v>70</v>
      </c>
      <c r="D1195" t="s">
        <v>634</v>
      </c>
      <c r="E1195">
        <v>13</v>
      </c>
      <c r="F1195">
        <v>21</v>
      </c>
      <c r="G1195">
        <v>3</v>
      </c>
      <c r="H1195">
        <v>21</v>
      </c>
      <c r="I1195">
        <f>Cocina[[#This Row],[Precio Unitario]]*Cocina[[#This Row],[Cantidad Ordenada]]</f>
        <v>63</v>
      </c>
      <c r="J1195">
        <f>(Cocina[[#This Row],[Precio Unitario]]-Cocina[[#This Row],[Costo Unitario]])*Cocina[[#This Row],[Cantidad Ordenada]]</f>
        <v>24</v>
      </c>
      <c r="K1195" s="4">
        <f>Cocina[[#This Row],[Ganancia neta]]/_xlfn.XLOOKUP(Cocina[[#This Row],[Número de Orden]],Sala[Número de Orden],Sala[Monto total],"fracaso",0,1)</f>
        <v>0.38095238095238093</v>
      </c>
      <c r="L1195" t="s">
        <v>608</v>
      </c>
    </row>
    <row r="1196" spans="1:12" x14ac:dyDescent="0.25">
      <c r="A1196">
        <v>483</v>
      </c>
      <c r="B1196">
        <v>2</v>
      </c>
      <c r="C1196" t="s">
        <v>106</v>
      </c>
      <c r="D1196" t="s">
        <v>621</v>
      </c>
      <c r="E1196">
        <v>16</v>
      </c>
      <c r="F1196">
        <v>27</v>
      </c>
      <c r="G1196">
        <v>3</v>
      </c>
      <c r="H1196">
        <v>53</v>
      </c>
      <c r="I1196">
        <f>Cocina[[#This Row],[Precio Unitario]]*Cocina[[#This Row],[Cantidad Ordenada]]</f>
        <v>81</v>
      </c>
      <c r="J1196">
        <f>(Cocina[[#This Row],[Precio Unitario]]-Cocina[[#This Row],[Costo Unitario]])*Cocina[[#This Row],[Cantidad Ordenada]]</f>
        <v>33</v>
      </c>
      <c r="K1196" s="4">
        <f>Cocina[[#This Row],[Ganancia neta]]/_xlfn.XLOOKUP(Cocina[[#This Row],[Número de Orden]],Sala[Número de Orden],Sala[Monto total],"fracaso",0,1)</f>
        <v>0.40740740740740738</v>
      </c>
      <c r="L1196" t="s">
        <v>607</v>
      </c>
    </row>
    <row r="1197" spans="1:12" x14ac:dyDescent="0.25">
      <c r="A1197">
        <v>484</v>
      </c>
      <c r="B1197">
        <v>18</v>
      </c>
      <c r="C1197" t="s">
        <v>122</v>
      </c>
      <c r="D1197" t="s">
        <v>637</v>
      </c>
      <c r="E1197">
        <v>15</v>
      </c>
      <c r="F1197">
        <v>25</v>
      </c>
      <c r="G1197">
        <v>3</v>
      </c>
      <c r="H1197">
        <v>34</v>
      </c>
      <c r="I1197">
        <f>Cocina[[#This Row],[Precio Unitario]]*Cocina[[#This Row],[Cantidad Ordenada]]</f>
        <v>75</v>
      </c>
      <c r="J1197">
        <f>(Cocina[[#This Row],[Precio Unitario]]-Cocina[[#This Row],[Costo Unitario]])*Cocina[[#This Row],[Cantidad Ordenada]]</f>
        <v>30</v>
      </c>
      <c r="K1197" s="4">
        <f>Cocina[[#This Row],[Ganancia neta]]/_xlfn.XLOOKUP(Cocina[[#This Row],[Número de Orden]],Sala[Número de Orden],Sala[Monto total],"fracaso",0,1)</f>
        <v>0.4</v>
      </c>
      <c r="L1197" t="s">
        <v>608</v>
      </c>
    </row>
    <row r="1198" spans="1:12" x14ac:dyDescent="0.25">
      <c r="A1198">
        <v>485</v>
      </c>
      <c r="B1198">
        <v>6</v>
      </c>
      <c r="C1198" t="s">
        <v>158</v>
      </c>
      <c r="D1198" t="s">
        <v>617</v>
      </c>
      <c r="E1198">
        <v>14</v>
      </c>
      <c r="F1198">
        <v>24</v>
      </c>
      <c r="G1198">
        <v>3</v>
      </c>
      <c r="H1198">
        <v>23</v>
      </c>
      <c r="I1198">
        <f>Cocina[[#This Row],[Precio Unitario]]*Cocina[[#This Row],[Cantidad Ordenada]]</f>
        <v>72</v>
      </c>
      <c r="J1198">
        <f>(Cocina[[#This Row],[Precio Unitario]]-Cocina[[#This Row],[Costo Unitario]])*Cocina[[#This Row],[Cantidad Ordenada]]</f>
        <v>30</v>
      </c>
      <c r="K1198" s="4">
        <f>Cocina[[#This Row],[Ganancia neta]]/_xlfn.XLOOKUP(Cocina[[#This Row],[Número de Orden]],Sala[Número de Orden],Sala[Monto total],"fracaso",0,1)</f>
        <v>0.20833333333333334</v>
      </c>
      <c r="L1198" t="s">
        <v>607</v>
      </c>
    </row>
    <row r="1199" spans="1:12" x14ac:dyDescent="0.25">
      <c r="A1199">
        <v>485</v>
      </c>
      <c r="B1199">
        <v>6</v>
      </c>
      <c r="C1199" t="s">
        <v>73</v>
      </c>
      <c r="D1199" t="s">
        <v>623</v>
      </c>
      <c r="E1199">
        <v>22</v>
      </c>
      <c r="F1199">
        <v>36</v>
      </c>
      <c r="G1199">
        <v>2</v>
      </c>
      <c r="H1199">
        <v>56</v>
      </c>
      <c r="I1199">
        <f>Cocina[[#This Row],[Precio Unitario]]*Cocina[[#This Row],[Cantidad Ordenada]]</f>
        <v>72</v>
      </c>
      <c r="J1199">
        <f>(Cocina[[#This Row],[Precio Unitario]]-Cocina[[#This Row],[Costo Unitario]])*Cocina[[#This Row],[Cantidad Ordenada]]</f>
        <v>28</v>
      </c>
      <c r="K1199" s="4">
        <f>Cocina[[#This Row],[Ganancia neta]]/_xlfn.XLOOKUP(Cocina[[#This Row],[Número de Orden]],Sala[Número de Orden],Sala[Monto total],"fracaso",0,1)</f>
        <v>0.19444444444444445</v>
      </c>
      <c r="L1199" t="s">
        <v>607</v>
      </c>
    </row>
    <row r="1200" spans="1:12" x14ac:dyDescent="0.25">
      <c r="A1200">
        <v>486</v>
      </c>
      <c r="B1200">
        <v>15</v>
      </c>
      <c r="C1200" t="s">
        <v>73</v>
      </c>
      <c r="D1200" t="s">
        <v>623</v>
      </c>
      <c r="E1200">
        <v>22</v>
      </c>
      <c r="F1200">
        <v>36</v>
      </c>
      <c r="G1200">
        <v>2</v>
      </c>
      <c r="H1200">
        <v>7</v>
      </c>
      <c r="I1200">
        <f>Cocina[[#This Row],[Precio Unitario]]*Cocina[[#This Row],[Cantidad Ordenada]]</f>
        <v>72</v>
      </c>
      <c r="J1200">
        <f>(Cocina[[#This Row],[Precio Unitario]]-Cocina[[#This Row],[Costo Unitario]])*Cocina[[#This Row],[Cantidad Ordenada]]</f>
        <v>28</v>
      </c>
      <c r="K1200" s="4">
        <f>Cocina[[#This Row],[Ganancia neta]]/_xlfn.XLOOKUP(Cocina[[#This Row],[Número de Orden]],Sala[Número de Orden],Sala[Monto total],"fracaso",0,1)</f>
        <v>0.18666666666666668</v>
      </c>
      <c r="L1200" t="s">
        <v>607</v>
      </c>
    </row>
    <row r="1201" spans="1:12" x14ac:dyDescent="0.25">
      <c r="A1201">
        <v>486</v>
      </c>
      <c r="B1201">
        <v>15</v>
      </c>
      <c r="C1201" t="s">
        <v>146</v>
      </c>
      <c r="D1201" t="s">
        <v>632</v>
      </c>
      <c r="E1201">
        <v>12</v>
      </c>
      <c r="F1201">
        <v>20</v>
      </c>
      <c r="G1201">
        <v>1</v>
      </c>
      <c r="H1201">
        <v>19</v>
      </c>
      <c r="I1201">
        <f>Cocina[[#This Row],[Precio Unitario]]*Cocina[[#This Row],[Cantidad Ordenada]]</f>
        <v>20</v>
      </c>
      <c r="J1201">
        <f>(Cocina[[#This Row],[Precio Unitario]]-Cocina[[#This Row],[Costo Unitario]])*Cocina[[#This Row],[Cantidad Ordenada]]</f>
        <v>8</v>
      </c>
      <c r="K1201" s="4">
        <f>Cocina[[#This Row],[Ganancia neta]]/_xlfn.XLOOKUP(Cocina[[#This Row],[Número de Orden]],Sala[Número de Orden],Sala[Monto total],"fracaso",0,1)</f>
        <v>5.3333333333333337E-2</v>
      </c>
      <c r="L1201" t="s">
        <v>607</v>
      </c>
    </row>
    <row r="1202" spans="1:12" x14ac:dyDescent="0.25">
      <c r="A1202">
        <v>486</v>
      </c>
      <c r="B1202">
        <v>15</v>
      </c>
      <c r="C1202" t="s">
        <v>55</v>
      </c>
      <c r="D1202" t="s">
        <v>631</v>
      </c>
      <c r="E1202">
        <v>20</v>
      </c>
      <c r="F1202">
        <v>34</v>
      </c>
      <c r="G1202">
        <v>1</v>
      </c>
      <c r="H1202">
        <v>9</v>
      </c>
      <c r="I1202">
        <f>Cocina[[#This Row],[Precio Unitario]]*Cocina[[#This Row],[Cantidad Ordenada]]</f>
        <v>34</v>
      </c>
      <c r="J1202">
        <f>(Cocina[[#This Row],[Precio Unitario]]-Cocina[[#This Row],[Costo Unitario]])*Cocina[[#This Row],[Cantidad Ordenada]]</f>
        <v>14</v>
      </c>
      <c r="K1202" s="4">
        <f>Cocina[[#This Row],[Ganancia neta]]/_xlfn.XLOOKUP(Cocina[[#This Row],[Número de Orden]],Sala[Número de Orden],Sala[Monto total],"fracaso",0,1)</f>
        <v>9.3333333333333338E-2</v>
      </c>
      <c r="L1202" t="s">
        <v>607</v>
      </c>
    </row>
    <row r="1203" spans="1:12" x14ac:dyDescent="0.25">
      <c r="A1203">
        <v>486</v>
      </c>
      <c r="B1203">
        <v>15</v>
      </c>
      <c r="C1203" t="s">
        <v>158</v>
      </c>
      <c r="D1203" t="s">
        <v>617</v>
      </c>
      <c r="E1203">
        <v>14</v>
      </c>
      <c r="F1203">
        <v>24</v>
      </c>
      <c r="G1203">
        <v>1</v>
      </c>
      <c r="H1203">
        <v>24</v>
      </c>
      <c r="I1203">
        <f>Cocina[[#This Row],[Precio Unitario]]*Cocina[[#This Row],[Cantidad Ordenada]]</f>
        <v>24</v>
      </c>
      <c r="J1203">
        <f>(Cocina[[#This Row],[Precio Unitario]]-Cocina[[#This Row],[Costo Unitario]])*Cocina[[#This Row],[Cantidad Ordenada]]</f>
        <v>10</v>
      </c>
      <c r="K1203" s="4">
        <f>Cocina[[#This Row],[Ganancia neta]]/_xlfn.XLOOKUP(Cocina[[#This Row],[Número de Orden]],Sala[Número de Orden],Sala[Monto total],"fracaso",0,1)</f>
        <v>6.6666666666666666E-2</v>
      </c>
      <c r="L1203" t="s">
        <v>607</v>
      </c>
    </row>
    <row r="1204" spans="1:12" x14ac:dyDescent="0.25">
      <c r="A1204">
        <v>487</v>
      </c>
      <c r="B1204">
        <v>17</v>
      </c>
      <c r="C1204" t="s">
        <v>55</v>
      </c>
      <c r="D1204" t="s">
        <v>631</v>
      </c>
      <c r="E1204">
        <v>20</v>
      </c>
      <c r="F1204">
        <v>34</v>
      </c>
      <c r="G1204">
        <v>2</v>
      </c>
      <c r="H1204">
        <v>58</v>
      </c>
      <c r="I1204">
        <f>Cocina[[#This Row],[Precio Unitario]]*Cocina[[#This Row],[Cantidad Ordenada]]</f>
        <v>68</v>
      </c>
      <c r="J1204">
        <f>(Cocina[[#This Row],[Precio Unitario]]-Cocina[[#This Row],[Costo Unitario]])*Cocina[[#This Row],[Cantidad Ordenada]]</f>
        <v>28</v>
      </c>
      <c r="K1204" s="4">
        <f>Cocina[[#This Row],[Ganancia neta]]/_xlfn.XLOOKUP(Cocina[[#This Row],[Número de Orden]],Sala[Número de Orden],Sala[Monto total],"fracaso",0,1)</f>
        <v>0.18421052631578946</v>
      </c>
      <c r="L1204" t="s">
        <v>608</v>
      </c>
    </row>
    <row r="1205" spans="1:12" x14ac:dyDescent="0.25">
      <c r="A1205">
        <v>487</v>
      </c>
      <c r="B1205">
        <v>17</v>
      </c>
      <c r="C1205" t="s">
        <v>116</v>
      </c>
      <c r="D1205" t="s">
        <v>620</v>
      </c>
      <c r="E1205">
        <v>19</v>
      </c>
      <c r="F1205">
        <v>31</v>
      </c>
      <c r="G1205">
        <v>2</v>
      </c>
      <c r="H1205">
        <v>29</v>
      </c>
      <c r="I1205">
        <f>Cocina[[#This Row],[Precio Unitario]]*Cocina[[#This Row],[Cantidad Ordenada]]</f>
        <v>62</v>
      </c>
      <c r="J1205">
        <f>(Cocina[[#This Row],[Precio Unitario]]-Cocina[[#This Row],[Costo Unitario]])*Cocina[[#This Row],[Cantidad Ordenada]]</f>
        <v>24</v>
      </c>
      <c r="K1205" s="4">
        <f>Cocina[[#This Row],[Ganancia neta]]/_xlfn.XLOOKUP(Cocina[[#This Row],[Número de Orden]],Sala[Número de Orden],Sala[Monto total],"fracaso",0,1)</f>
        <v>0.15789473684210525</v>
      </c>
      <c r="L1205" t="s">
        <v>608</v>
      </c>
    </row>
    <row r="1206" spans="1:12" x14ac:dyDescent="0.25">
      <c r="A1206">
        <v>487</v>
      </c>
      <c r="B1206">
        <v>17</v>
      </c>
      <c r="C1206" t="s">
        <v>203</v>
      </c>
      <c r="D1206" t="s">
        <v>630</v>
      </c>
      <c r="E1206">
        <v>13</v>
      </c>
      <c r="F1206">
        <v>22</v>
      </c>
      <c r="G1206">
        <v>1</v>
      </c>
      <c r="H1206">
        <v>5</v>
      </c>
      <c r="I1206">
        <f>Cocina[[#This Row],[Precio Unitario]]*Cocina[[#This Row],[Cantidad Ordenada]]</f>
        <v>22</v>
      </c>
      <c r="J1206">
        <f>(Cocina[[#This Row],[Precio Unitario]]-Cocina[[#This Row],[Costo Unitario]])*Cocina[[#This Row],[Cantidad Ordenada]]</f>
        <v>9</v>
      </c>
      <c r="K1206" s="4">
        <f>Cocina[[#This Row],[Ganancia neta]]/_xlfn.XLOOKUP(Cocina[[#This Row],[Número de Orden]],Sala[Número de Orden],Sala[Monto total],"fracaso",0,1)</f>
        <v>5.921052631578947E-2</v>
      </c>
      <c r="L1206" t="s">
        <v>608</v>
      </c>
    </row>
    <row r="1207" spans="1:12" x14ac:dyDescent="0.25">
      <c r="A1207">
        <v>488</v>
      </c>
      <c r="B1207">
        <v>10</v>
      </c>
      <c r="C1207" t="s">
        <v>79</v>
      </c>
      <c r="D1207" t="s">
        <v>635</v>
      </c>
      <c r="E1207">
        <v>10</v>
      </c>
      <c r="F1207">
        <v>18</v>
      </c>
      <c r="G1207">
        <v>3</v>
      </c>
      <c r="H1207">
        <v>54</v>
      </c>
      <c r="I1207">
        <f>Cocina[[#This Row],[Precio Unitario]]*Cocina[[#This Row],[Cantidad Ordenada]]</f>
        <v>54</v>
      </c>
      <c r="J1207">
        <f>(Cocina[[#This Row],[Precio Unitario]]-Cocina[[#This Row],[Costo Unitario]])*Cocina[[#This Row],[Cantidad Ordenada]]</f>
        <v>24</v>
      </c>
      <c r="K1207" s="4">
        <f>Cocina[[#This Row],[Ganancia neta]]/_xlfn.XLOOKUP(Cocina[[#This Row],[Número de Orden]],Sala[Número de Orden],Sala[Monto total],"fracaso",0,1)</f>
        <v>0.12972972972972974</v>
      </c>
      <c r="L1207" t="s">
        <v>607</v>
      </c>
    </row>
    <row r="1208" spans="1:12" x14ac:dyDescent="0.25">
      <c r="A1208">
        <v>488</v>
      </c>
      <c r="B1208">
        <v>10</v>
      </c>
      <c r="C1208" t="s">
        <v>200</v>
      </c>
      <c r="D1208" t="s">
        <v>633</v>
      </c>
      <c r="E1208">
        <v>14</v>
      </c>
      <c r="F1208">
        <v>23</v>
      </c>
      <c r="G1208">
        <v>3</v>
      </c>
      <c r="H1208">
        <v>52</v>
      </c>
      <c r="I1208">
        <f>Cocina[[#This Row],[Precio Unitario]]*Cocina[[#This Row],[Cantidad Ordenada]]</f>
        <v>69</v>
      </c>
      <c r="J1208">
        <f>(Cocina[[#This Row],[Precio Unitario]]-Cocina[[#This Row],[Costo Unitario]])*Cocina[[#This Row],[Cantidad Ordenada]]</f>
        <v>27</v>
      </c>
      <c r="K1208" s="4">
        <f>Cocina[[#This Row],[Ganancia neta]]/_xlfn.XLOOKUP(Cocina[[#This Row],[Número de Orden]],Sala[Número de Orden],Sala[Monto total],"fracaso",0,1)</f>
        <v>0.14594594594594595</v>
      </c>
      <c r="L1208" t="s">
        <v>607</v>
      </c>
    </row>
    <row r="1209" spans="1:12" x14ac:dyDescent="0.25">
      <c r="A1209">
        <v>488</v>
      </c>
      <c r="B1209">
        <v>10</v>
      </c>
      <c r="C1209" t="s">
        <v>116</v>
      </c>
      <c r="D1209" t="s">
        <v>620</v>
      </c>
      <c r="E1209">
        <v>19</v>
      </c>
      <c r="F1209">
        <v>31</v>
      </c>
      <c r="G1209">
        <v>2</v>
      </c>
      <c r="H1209">
        <v>18</v>
      </c>
      <c r="I1209">
        <f>Cocina[[#This Row],[Precio Unitario]]*Cocina[[#This Row],[Cantidad Ordenada]]</f>
        <v>62</v>
      </c>
      <c r="J1209">
        <f>(Cocina[[#This Row],[Precio Unitario]]-Cocina[[#This Row],[Costo Unitario]])*Cocina[[#This Row],[Cantidad Ordenada]]</f>
        <v>24</v>
      </c>
      <c r="K1209" s="4">
        <f>Cocina[[#This Row],[Ganancia neta]]/_xlfn.XLOOKUP(Cocina[[#This Row],[Número de Orden]],Sala[Número de Orden],Sala[Monto total],"fracaso",0,1)</f>
        <v>0.12972972972972974</v>
      </c>
      <c r="L1209" t="s">
        <v>608</v>
      </c>
    </row>
    <row r="1210" spans="1:12" x14ac:dyDescent="0.25">
      <c r="A1210">
        <v>489</v>
      </c>
      <c r="B1210">
        <v>3</v>
      </c>
      <c r="C1210" t="s">
        <v>48</v>
      </c>
      <c r="D1210" t="s">
        <v>622</v>
      </c>
      <c r="E1210">
        <v>25</v>
      </c>
      <c r="F1210">
        <v>40</v>
      </c>
      <c r="G1210">
        <v>2</v>
      </c>
      <c r="H1210">
        <v>28</v>
      </c>
      <c r="I1210">
        <f>Cocina[[#This Row],[Precio Unitario]]*Cocina[[#This Row],[Cantidad Ordenada]]</f>
        <v>80</v>
      </c>
      <c r="J1210">
        <f>(Cocina[[#This Row],[Precio Unitario]]-Cocina[[#This Row],[Costo Unitario]])*Cocina[[#This Row],[Cantidad Ordenada]]</f>
        <v>30</v>
      </c>
      <c r="K1210" s="4">
        <f>Cocina[[#This Row],[Ganancia neta]]/_xlfn.XLOOKUP(Cocina[[#This Row],[Número de Orden]],Sala[Número de Orden],Sala[Monto total],"fracaso",0,1)</f>
        <v>0.20134228187919462</v>
      </c>
      <c r="L1210" t="s">
        <v>608</v>
      </c>
    </row>
    <row r="1211" spans="1:12" x14ac:dyDescent="0.25">
      <c r="A1211">
        <v>489</v>
      </c>
      <c r="B1211">
        <v>3</v>
      </c>
      <c r="C1211" t="s">
        <v>200</v>
      </c>
      <c r="D1211" t="s">
        <v>633</v>
      </c>
      <c r="E1211">
        <v>14</v>
      </c>
      <c r="F1211">
        <v>23</v>
      </c>
      <c r="G1211">
        <v>3</v>
      </c>
      <c r="H1211">
        <v>6</v>
      </c>
      <c r="I1211">
        <f>Cocina[[#This Row],[Precio Unitario]]*Cocina[[#This Row],[Cantidad Ordenada]]</f>
        <v>69</v>
      </c>
      <c r="J1211">
        <f>(Cocina[[#This Row],[Precio Unitario]]-Cocina[[#This Row],[Costo Unitario]])*Cocina[[#This Row],[Cantidad Ordenada]]</f>
        <v>27</v>
      </c>
      <c r="K1211" s="4">
        <f>Cocina[[#This Row],[Ganancia neta]]/_xlfn.XLOOKUP(Cocina[[#This Row],[Número de Orden]],Sala[Número de Orden],Sala[Monto total],"fracaso",0,1)</f>
        <v>0.18120805369127516</v>
      </c>
      <c r="L1211" t="s">
        <v>608</v>
      </c>
    </row>
    <row r="1212" spans="1:12" x14ac:dyDescent="0.25">
      <c r="A1212">
        <v>490</v>
      </c>
      <c r="B1212">
        <v>1</v>
      </c>
      <c r="C1212" t="s">
        <v>155</v>
      </c>
      <c r="D1212" t="s">
        <v>636</v>
      </c>
      <c r="E1212">
        <v>15</v>
      </c>
      <c r="F1212">
        <v>26</v>
      </c>
      <c r="G1212">
        <v>3</v>
      </c>
      <c r="H1212">
        <v>34</v>
      </c>
      <c r="I1212">
        <f>Cocina[[#This Row],[Precio Unitario]]*Cocina[[#This Row],[Cantidad Ordenada]]</f>
        <v>78</v>
      </c>
      <c r="J1212">
        <f>(Cocina[[#This Row],[Precio Unitario]]-Cocina[[#This Row],[Costo Unitario]])*Cocina[[#This Row],[Cantidad Ordenada]]</f>
        <v>33</v>
      </c>
      <c r="K1212" s="4">
        <f>Cocina[[#This Row],[Ganancia neta]]/_xlfn.XLOOKUP(Cocina[[#This Row],[Número de Orden]],Sala[Número de Orden],Sala[Monto total],"fracaso",0,1)</f>
        <v>0.15566037735849056</v>
      </c>
      <c r="L1212" t="s">
        <v>607</v>
      </c>
    </row>
    <row r="1213" spans="1:12" x14ac:dyDescent="0.25">
      <c r="A1213">
        <v>490</v>
      </c>
      <c r="B1213">
        <v>1</v>
      </c>
      <c r="C1213" t="s">
        <v>247</v>
      </c>
      <c r="D1213" t="s">
        <v>629</v>
      </c>
      <c r="E1213">
        <v>19</v>
      </c>
      <c r="F1213">
        <v>32</v>
      </c>
      <c r="G1213">
        <v>1</v>
      </c>
      <c r="H1213">
        <v>55</v>
      </c>
      <c r="I1213">
        <f>Cocina[[#This Row],[Precio Unitario]]*Cocina[[#This Row],[Cantidad Ordenada]]</f>
        <v>32</v>
      </c>
      <c r="J1213">
        <f>(Cocina[[#This Row],[Precio Unitario]]-Cocina[[#This Row],[Costo Unitario]])*Cocina[[#This Row],[Cantidad Ordenada]]</f>
        <v>13</v>
      </c>
      <c r="K1213" s="4">
        <f>Cocina[[#This Row],[Ganancia neta]]/_xlfn.XLOOKUP(Cocina[[#This Row],[Número de Orden]],Sala[Número de Orden],Sala[Monto total],"fracaso",0,1)</f>
        <v>6.1320754716981132E-2</v>
      </c>
      <c r="L1213" t="s">
        <v>607</v>
      </c>
    </row>
    <row r="1214" spans="1:12" x14ac:dyDescent="0.25">
      <c r="A1214">
        <v>490</v>
      </c>
      <c r="B1214">
        <v>1</v>
      </c>
      <c r="C1214" t="s">
        <v>55</v>
      </c>
      <c r="D1214" t="s">
        <v>631</v>
      </c>
      <c r="E1214">
        <v>20</v>
      </c>
      <c r="F1214">
        <v>34</v>
      </c>
      <c r="G1214">
        <v>3</v>
      </c>
      <c r="H1214">
        <v>42</v>
      </c>
      <c r="I1214">
        <f>Cocina[[#This Row],[Precio Unitario]]*Cocina[[#This Row],[Cantidad Ordenada]]</f>
        <v>102</v>
      </c>
      <c r="J1214">
        <f>(Cocina[[#This Row],[Precio Unitario]]-Cocina[[#This Row],[Costo Unitario]])*Cocina[[#This Row],[Cantidad Ordenada]]</f>
        <v>42</v>
      </c>
      <c r="K1214" s="4">
        <f>Cocina[[#This Row],[Ganancia neta]]/_xlfn.XLOOKUP(Cocina[[#This Row],[Número de Orden]],Sala[Número de Orden],Sala[Monto total],"fracaso",0,1)</f>
        <v>0.19811320754716982</v>
      </c>
      <c r="L1214" t="s">
        <v>607</v>
      </c>
    </row>
    <row r="1215" spans="1:12" x14ac:dyDescent="0.25">
      <c r="A1215">
        <v>491</v>
      </c>
      <c r="B1215">
        <v>7</v>
      </c>
      <c r="C1215" t="s">
        <v>38</v>
      </c>
      <c r="D1215" t="s">
        <v>624</v>
      </c>
      <c r="E1215">
        <v>17</v>
      </c>
      <c r="F1215">
        <v>29</v>
      </c>
      <c r="G1215">
        <v>2</v>
      </c>
      <c r="H1215">
        <v>30</v>
      </c>
      <c r="I1215">
        <f>Cocina[[#This Row],[Precio Unitario]]*Cocina[[#This Row],[Cantidad Ordenada]]</f>
        <v>58</v>
      </c>
      <c r="J1215">
        <f>(Cocina[[#This Row],[Precio Unitario]]-Cocina[[#This Row],[Costo Unitario]])*Cocina[[#This Row],[Cantidad Ordenada]]</f>
        <v>24</v>
      </c>
      <c r="K1215" s="4">
        <f>Cocina[[#This Row],[Ganancia neta]]/_xlfn.XLOOKUP(Cocina[[#This Row],[Número de Orden]],Sala[Número de Orden],Sala[Monto total],"fracaso",0,1)</f>
        <v>0.20338983050847459</v>
      </c>
      <c r="L1215" t="s">
        <v>607</v>
      </c>
    </row>
    <row r="1216" spans="1:12" x14ac:dyDescent="0.25">
      <c r="A1216">
        <v>491</v>
      </c>
      <c r="B1216">
        <v>7</v>
      </c>
      <c r="C1216" t="s">
        <v>68</v>
      </c>
      <c r="D1216" t="s">
        <v>619</v>
      </c>
      <c r="E1216">
        <v>18</v>
      </c>
      <c r="F1216">
        <v>30</v>
      </c>
      <c r="G1216">
        <v>2</v>
      </c>
      <c r="H1216">
        <v>11</v>
      </c>
      <c r="I1216">
        <f>Cocina[[#This Row],[Precio Unitario]]*Cocina[[#This Row],[Cantidad Ordenada]]</f>
        <v>60</v>
      </c>
      <c r="J1216">
        <f>(Cocina[[#This Row],[Precio Unitario]]-Cocina[[#This Row],[Costo Unitario]])*Cocina[[#This Row],[Cantidad Ordenada]]</f>
        <v>24</v>
      </c>
      <c r="K1216" s="4">
        <f>Cocina[[#This Row],[Ganancia neta]]/_xlfn.XLOOKUP(Cocina[[#This Row],[Número de Orden]],Sala[Número de Orden],Sala[Monto total],"fracaso",0,1)</f>
        <v>0.20338983050847459</v>
      </c>
      <c r="L1216" t="s">
        <v>607</v>
      </c>
    </row>
    <row r="1217" spans="1:12" x14ac:dyDescent="0.25">
      <c r="A1217">
        <v>492</v>
      </c>
      <c r="B1217">
        <v>4</v>
      </c>
      <c r="C1217" t="s">
        <v>261</v>
      </c>
      <c r="D1217" t="s">
        <v>625</v>
      </c>
      <c r="E1217">
        <v>20</v>
      </c>
      <c r="F1217">
        <v>33</v>
      </c>
      <c r="G1217">
        <v>3</v>
      </c>
      <c r="H1217">
        <v>15</v>
      </c>
      <c r="I1217">
        <f>Cocina[[#This Row],[Precio Unitario]]*Cocina[[#This Row],[Cantidad Ordenada]]</f>
        <v>99</v>
      </c>
      <c r="J1217">
        <f>(Cocina[[#This Row],[Precio Unitario]]-Cocina[[#This Row],[Costo Unitario]])*Cocina[[#This Row],[Cantidad Ordenada]]</f>
        <v>39</v>
      </c>
      <c r="K1217" s="4">
        <f>Cocina[[#This Row],[Ganancia neta]]/_xlfn.XLOOKUP(Cocina[[#This Row],[Número de Orden]],Sala[Número de Orden],Sala[Monto total],"fracaso",0,1)</f>
        <v>0.18571428571428572</v>
      </c>
      <c r="L1217" t="s">
        <v>607</v>
      </c>
    </row>
    <row r="1218" spans="1:12" x14ac:dyDescent="0.25">
      <c r="A1218">
        <v>492</v>
      </c>
      <c r="B1218">
        <v>4</v>
      </c>
      <c r="C1218" t="s">
        <v>70</v>
      </c>
      <c r="D1218" t="s">
        <v>634</v>
      </c>
      <c r="E1218">
        <v>13</v>
      </c>
      <c r="F1218">
        <v>21</v>
      </c>
      <c r="G1218">
        <v>3</v>
      </c>
      <c r="H1218">
        <v>8</v>
      </c>
      <c r="I1218">
        <f>Cocina[[#This Row],[Precio Unitario]]*Cocina[[#This Row],[Cantidad Ordenada]]</f>
        <v>63</v>
      </c>
      <c r="J1218">
        <f>(Cocina[[#This Row],[Precio Unitario]]-Cocina[[#This Row],[Costo Unitario]])*Cocina[[#This Row],[Cantidad Ordenada]]</f>
        <v>24</v>
      </c>
      <c r="K1218" s="4">
        <f>Cocina[[#This Row],[Ganancia neta]]/_xlfn.XLOOKUP(Cocina[[#This Row],[Número de Orden]],Sala[Número de Orden],Sala[Monto total],"fracaso",0,1)</f>
        <v>0.11428571428571428</v>
      </c>
      <c r="L1218" t="s">
        <v>607</v>
      </c>
    </row>
    <row r="1219" spans="1:12" x14ac:dyDescent="0.25">
      <c r="A1219">
        <v>492</v>
      </c>
      <c r="B1219">
        <v>4</v>
      </c>
      <c r="C1219" t="s">
        <v>158</v>
      </c>
      <c r="D1219" t="s">
        <v>617</v>
      </c>
      <c r="E1219">
        <v>14</v>
      </c>
      <c r="F1219">
        <v>24</v>
      </c>
      <c r="G1219">
        <v>2</v>
      </c>
      <c r="H1219">
        <v>26</v>
      </c>
      <c r="I1219">
        <f>Cocina[[#This Row],[Precio Unitario]]*Cocina[[#This Row],[Cantidad Ordenada]]</f>
        <v>48</v>
      </c>
      <c r="J1219">
        <f>(Cocina[[#This Row],[Precio Unitario]]-Cocina[[#This Row],[Costo Unitario]])*Cocina[[#This Row],[Cantidad Ordenada]]</f>
        <v>20</v>
      </c>
      <c r="K1219" s="4">
        <f>Cocina[[#This Row],[Ganancia neta]]/_xlfn.XLOOKUP(Cocina[[#This Row],[Número de Orden]],Sala[Número de Orden],Sala[Monto total],"fracaso",0,1)</f>
        <v>9.5238095238095233E-2</v>
      </c>
      <c r="L1219" t="s">
        <v>607</v>
      </c>
    </row>
    <row r="1220" spans="1:12" x14ac:dyDescent="0.25">
      <c r="A1220">
        <v>493</v>
      </c>
      <c r="B1220">
        <v>2</v>
      </c>
      <c r="C1220" t="s">
        <v>79</v>
      </c>
      <c r="D1220" t="s">
        <v>635</v>
      </c>
      <c r="E1220">
        <v>10</v>
      </c>
      <c r="F1220">
        <v>18</v>
      </c>
      <c r="G1220">
        <v>3</v>
      </c>
      <c r="H1220">
        <v>8</v>
      </c>
      <c r="I1220">
        <f>Cocina[[#This Row],[Precio Unitario]]*Cocina[[#This Row],[Cantidad Ordenada]]</f>
        <v>54</v>
      </c>
      <c r="J1220">
        <f>(Cocina[[#This Row],[Precio Unitario]]-Cocina[[#This Row],[Costo Unitario]])*Cocina[[#This Row],[Cantidad Ordenada]]</f>
        <v>24</v>
      </c>
      <c r="K1220" s="4">
        <f>Cocina[[#This Row],[Ganancia neta]]/_xlfn.XLOOKUP(Cocina[[#This Row],[Número de Orden]],Sala[Número de Orden],Sala[Monto total],"fracaso",0,1)</f>
        <v>0.44444444444444442</v>
      </c>
      <c r="L1220" t="s">
        <v>608</v>
      </c>
    </row>
    <row r="1221" spans="1:12" x14ac:dyDescent="0.25">
      <c r="A1221">
        <v>494</v>
      </c>
      <c r="B1221">
        <v>20</v>
      </c>
      <c r="C1221" t="s">
        <v>247</v>
      </c>
      <c r="D1221" t="s">
        <v>629</v>
      </c>
      <c r="E1221">
        <v>19</v>
      </c>
      <c r="F1221">
        <v>32</v>
      </c>
      <c r="G1221">
        <v>2</v>
      </c>
      <c r="H1221">
        <v>9</v>
      </c>
      <c r="I1221">
        <f>Cocina[[#This Row],[Precio Unitario]]*Cocina[[#This Row],[Cantidad Ordenada]]</f>
        <v>64</v>
      </c>
      <c r="J1221">
        <f>(Cocina[[#This Row],[Precio Unitario]]-Cocina[[#This Row],[Costo Unitario]])*Cocina[[#This Row],[Cantidad Ordenada]]</f>
        <v>26</v>
      </c>
      <c r="K1221" s="4">
        <f>Cocina[[#This Row],[Ganancia neta]]/_xlfn.XLOOKUP(Cocina[[#This Row],[Número de Orden]],Sala[Número de Orden],Sala[Monto total],"fracaso",0,1)</f>
        <v>0.15116279069767441</v>
      </c>
      <c r="L1221" t="s">
        <v>607</v>
      </c>
    </row>
    <row r="1222" spans="1:12" x14ac:dyDescent="0.25">
      <c r="A1222">
        <v>494</v>
      </c>
      <c r="B1222">
        <v>20</v>
      </c>
      <c r="C1222" t="s">
        <v>73</v>
      </c>
      <c r="D1222" t="s">
        <v>623</v>
      </c>
      <c r="E1222">
        <v>22</v>
      </c>
      <c r="F1222">
        <v>36</v>
      </c>
      <c r="G1222">
        <v>3</v>
      </c>
      <c r="H1222">
        <v>22</v>
      </c>
      <c r="I1222">
        <f>Cocina[[#This Row],[Precio Unitario]]*Cocina[[#This Row],[Cantidad Ordenada]]</f>
        <v>108</v>
      </c>
      <c r="J1222">
        <f>(Cocina[[#This Row],[Precio Unitario]]-Cocina[[#This Row],[Costo Unitario]])*Cocina[[#This Row],[Cantidad Ordenada]]</f>
        <v>42</v>
      </c>
      <c r="K1222" s="4">
        <f>Cocina[[#This Row],[Ganancia neta]]/_xlfn.XLOOKUP(Cocina[[#This Row],[Número de Orden]],Sala[Número de Orden],Sala[Monto total],"fracaso",0,1)</f>
        <v>0.2441860465116279</v>
      </c>
      <c r="L1222" t="s">
        <v>607</v>
      </c>
    </row>
    <row r="1223" spans="1:12" x14ac:dyDescent="0.25">
      <c r="A1223">
        <v>495</v>
      </c>
      <c r="B1223">
        <v>11</v>
      </c>
      <c r="C1223" t="s">
        <v>48</v>
      </c>
      <c r="D1223" t="s">
        <v>622</v>
      </c>
      <c r="E1223">
        <v>25</v>
      </c>
      <c r="F1223">
        <v>40</v>
      </c>
      <c r="G1223">
        <v>3</v>
      </c>
      <c r="H1223">
        <v>13</v>
      </c>
      <c r="I1223">
        <f>Cocina[[#This Row],[Precio Unitario]]*Cocina[[#This Row],[Cantidad Ordenada]]</f>
        <v>120</v>
      </c>
      <c r="J1223">
        <f>(Cocina[[#This Row],[Precio Unitario]]-Cocina[[#This Row],[Costo Unitario]])*Cocina[[#This Row],[Cantidad Ordenada]]</f>
        <v>45</v>
      </c>
      <c r="K1223" s="4">
        <f>Cocina[[#This Row],[Ganancia neta]]/_xlfn.XLOOKUP(Cocina[[#This Row],[Número de Orden]],Sala[Número de Orden],Sala[Monto total],"fracaso",0,1)</f>
        <v>0.17110266159695817</v>
      </c>
      <c r="L1223" t="s">
        <v>608</v>
      </c>
    </row>
    <row r="1224" spans="1:12" x14ac:dyDescent="0.25">
      <c r="A1224">
        <v>495</v>
      </c>
      <c r="B1224">
        <v>11</v>
      </c>
      <c r="C1224" t="s">
        <v>106</v>
      </c>
      <c r="D1224" t="s">
        <v>621</v>
      </c>
      <c r="E1224">
        <v>16</v>
      </c>
      <c r="F1224">
        <v>27</v>
      </c>
      <c r="G1224">
        <v>2</v>
      </c>
      <c r="H1224">
        <v>9</v>
      </c>
      <c r="I1224">
        <f>Cocina[[#This Row],[Precio Unitario]]*Cocina[[#This Row],[Cantidad Ordenada]]</f>
        <v>54</v>
      </c>
      <c r="J1224">
        <f>(Cocina[[#This Row],[Precio Unitario]]-Cocina[[#This Row],[Costo Unitario]])*Cocina[[#This Row],[Cantidad Ordenada]]</f>
        <v>22</v>
      </c>
      <c r="K1224" s="4">
        <f>Cocina[[#This Row],[Ganancia neta]]/_xlfn.XLOOKUP(Cocina[[#This Row],[Número de Orden]],Sala[Número de Orden],Sala[Monto total],"fracaso",0,1)</f>
        <v>8.3650190114068435E-2</v>
      </c>
      <c r="L1224" t="s">
        <v>608</v>
      </c>
    </row>
    <row r="1225" spans="1:12" x14ac:dyDescent="0.25">
      <c r="A1225">
        <v>495</v>
      </c>
      <c r="B1225">
        <v>11</v>
      </c>
      <c r="C1225" t="s">
        <v>42</v>
      </c>
      <c r="D1225" t="s">
        <v>626</v>
      </c>
      <c r="E1225">
        <v>16</v>
      </c>
      <c r="F1225">
        <v>28</v>
      </c>
      <c r="G1225">
        <v>2</v>
      </c>
      <c r="H1225">
        <v>44</v>
      </c>
      <c r="I1225">
        <f>Cocina[[#This Row],[Precio Unitario]]*Cocina[[#This Row],[Cantidad Ordenada]]</f>
        <v>56</v>
      </c>
      <c r="J1225">
        <f>(Cocina[[#This Row],[Precio Unitario]]-Cocina[[#This Row],[Costo Unitario]])*Cocina[[#This Row],[Cantidad Ordenada]]</f>
        <v>24</v>
      </c>
      <c r="K1225" s="4">
        <f>Cocina[[#This Row],[Ganancia neta]]/_xlfn.XLOOKUP(Cocina[[#This Row],[Número de Orden]],Sala[Número de Orden],Sala[Monto total],"fracaso",0,1)</f>
        <v>9.125475285171103E-2</v>
      </c>
      <c r="L1225" t="s">
        <v>607</v>
      </c>
    </row>
    <row r="1226" spans="1:12" x14ac:dyDescent="0.25">
      <c r="A1226">
        <v>495</v>
      </c>
      <c r="B1226">
        <v>11</v>
      </c>
      <c r="C1226" t="s">
        <v>261</v>
      </c>
      <c r="D1226" t="s">
        <v>625</v>
      </c>
      <c r="E1226">
        <v>20</v>
      </c>
      <c r="F1226">
        <v>33</v>
      </c>
      <c r="G1226">
        <v>1</v>
      </c>
      <c r="H1226">
        <v>36</v>
      </c>
      <c r="I1226">
        <f>Cocina[[#This Row],[Precio Unitario]]*Cocina[[#This Row],[Cantidad Ordenada]]</f>
        <v>33</v>
      </c>
      <c r="J1226">
        <f>(Cocina[[#This Row],[Precio Unitario]]-Cocina[[#This Row],[Costo Unitario]])*Cocina[[#This Row],[Cantidad Ordenada]]</f>
        <v>13</v>
      </c>
      <c r="K1226" s="4">
        <f>Cocina[[#This Row],[Ganancia neta]]/_xlfn.XLOOKUP(Cocina[[#This Row],[Número de Orden]],Sala[Número de Orden],Sala[Monto total],"fracaso",0,1)</f>
        <v>4.9429657794676805E-2</v>
      </c>
      <c r="L1226" t="s">
        <v>608</v>
      </c>
    </row>
    <row r="1227" spans="1:12" x14ac:dyDescent="0.25">
      <c r="A1227">
        <v>496</v>
      </c>
      <c r="B1227">
        <v>1</v>
      </c>
      <c r="C1227" t="s">
        <v>261</v>
      </c>
      <c r="D1227" t="s">
        <v>625</v>
      </c>
      <c r="E1227">
        <v>20</v>
      </c>
      <c r="F1227">
        <v>33</v>
      </c>
      <c r="G1227">
        <v>1</v>
      </c>
      <c r="H1227">
        <v>28</v>
      </c>
      <c r="I1227">
        <f>Cocina[[#This Row],[Precio Unitario]]*Cocina[[#This Row],[Cantidad Ordenada]]</f>
        <v>33</v>
      </c>
      <c r="J1227">
        <f>(Cocina[[#This Row],[Precio Unitario]]-Cocina[[#This Row],[Costo Unitario]])*Cocina[[#This Row],[Cantidad Ordenada]]</f>
        <v>13</v>
      </c>
      <c r="K1227" s="4">
        <f>Cocina[[#This Row],[Ganancia neta]]/_xlfn.XLOOKUP(Cocina[[#This Row],[Número de Orden]],Sala[Número de Orden],Sala[Monto total],"fracaso",0,1)</f>
        <v>5.829596412556054E-2</v>
      </c>
      <c r="L1227" t="s">
        <v>607</v>
      </c>
    </row>
    <row r="1228" spans="1:12" x14ac:dyDescent="0.25">
      <c r="A1228">
        <v>496</v>
      </c>
      <c r="B1228">
        <v>1</v>
      </c>
      <c r="C1228" t="s">
        <v>55</v>
      </c>
      <c r="D1228" t="s">
        <v>631</v>
      </c>
      <c r="E1228">
        <v>20</v>
      </c>
      <c r="F1228">
        <v>34</v>
      </c>
      <c r="G1228">
        <v>3</v>
      </c>
      <c r="H1228">
        <v>23</v>
      </c>
      <c r="I1228">
        <f>Cocina[[#This Row],[Precio Unitario]]*Cocina[[#This Row],[Cantidad Ordenada]]</f>
        <v>102</v>
      </c>
      <c r="J1228">
        <f>(Cocina[[#This Row],[Precio Unitario]]-Cocina[[#This Row],[Costo Unitario]])*Cocina[[#This Row],[Cantidad Ordenada]]</f>
        <v>42</v>
      </c>
      <c r="K1228" s="4">
        <f>Cocina[[#This Row],[Ganancia neta]]/_xlfn.XLOOKUP(Cocina[[#This Row],[Número de Orden]],Sala[Número de Orden],Sala[Monto total],"fracaso",0,1)</f>
        <v>0.18834080717488788</v>
      </c>
      <c r="L1228" t="s">
        <v>607</v>
      </c>
    </row>
    <row r="1229" spans="1:12" x14ac:dyDescent="0.25">
      <c r="A1229">
        <v>496</v>
      </c>
      <c r="B1229">
        <v>1</v>
      </c>
      <c r="C1229" t="s">
        <v>112</v>
      </c>
      <c r="D1229" t="s">
        <v>627</v>
      </c>
      <c r="E1229">
        <v>11</v>
      </c>
      <c r="F1229">
        <v>19</v>
      </c>
      <c r="G1229">
        <v>3</v>
      </c>
      <c r="H1229">
        <v>41</v>
      </c>
      <c r="I1229">
        <f>Cocina[[#This Row],[Precio Unitario]]*Cocina[[#This Row],[Cantidad Ordenada]]</f>
        <v>57</v>
      </c>
      <c r="J1229">
        <f>(Cocina[[#This Row],[Precio Unitario]]-Cocina[[#This Row],[Costo Unitario]])*Cocina[[#This Row],[Cantidad Ordenada]]</f>
        <v>24</v>
      </c>
      <c r="K1229" s="4">
        <f>Cocina[[#This Row],[Ganancia neta]]/_xlfn.XLOOKUP(Cocina[[#This Row],[Número de Orden]],Sala[Número de Orden],Sala[Monto total],"fracaso",0,1)</f>
        <v>0.10762331838565023</v>
      </c>
      <c r="L1229" t="s">
        <v>608</v>
      </c>
    </row>
    <row r="1230" spans="1:12" x14ac:dyDescent="0.25">
      <c r="A1230">
        <v>496</v>
      </c>
      <c r="B1230">
        <v>1</v>
      </c>
      <c r="C1230" t="s">
        <v>116</v>
      </c>
      <c r="D1230" t="s">
        <v>620</v>
      </c>
      <c r="E1230">
        <v>19</v>
      </c>
      <c r="F1230">
        <v>31</v>
      </c>
      <c r="G1230">
        <v>1</v>
      </c>
      <c r="H1230">
        <v>41</v>
      </c>
      <c r="I1230">
        <f>Cocina[[#This Row],[Precio Unitario]]*Cocina[[#This Row],[Cantidad Ordenada]]</f>
        <v>31</v>
      </c>
      <c r="J1230">
        <f>(Cocina[[#This Row],[Precio Unitario]]-Cocina[[#This Row],[Costo Unitario]])*Cocina[[#This Row],[Cantidad Ordenada]]</f>
        <v>12</v>
      </c>
      <c r="K1230" s="4">
        <f>Cocina[[#This Row],[Ganancia neta]]/_xlfn.XLOOKUP(Cocina[[#This Row],[Número de Orden]],Sala[Número de Orden],Sala[Monto total],"fracaso",0,1)</f>
        <v>5.3811659192825115E-2</v>
      </c>
      <c r="L1230" t="s">
        <v>608</v>
      </c>
    </row>
    <row r="1231" spans="1:12" x14ac:dyDescent="0.25">
      <c r="A1231">
        <v>497</v>
      </c>
      <c r="B1231">
        <v>13</v>
      </c>
      <c r="C1231" t="s">
        <v>68</v>
      </c>
      <c r="D1231" t="s">
        <v>619</v>
      </c>
      <c r="E1231">
        <v>18</v>
      </c>
      <c r="F1231">
        <v>30</v>
      </c>
      <c r="G1231">
        <v>1</v>
      </c>
      <c r="H1231">
        <v>6</v>
      </c>
      <c r="I1231">
        <f>Cocina[[#This Row],[Precio Unitario]]*Cocina[[#This Row],[Cantidad Ordenada]]</f>
        <v>30</v>
      </c>
      <c r="J1231">
        <f>(Cocina[[#This Row],[Precio Unitario]]-Cocina[[#This Row],[Costo Unitario]])*Cocina[[#This Row],[Cantidad Ordenada]]</f>
        <v>12</v>
      </c>
      <c r="K1231" s="4">
        <f>Cocina[[#This Row],[Ganancia neta]]/_xlfn.XLOOKUP(Cocina[[#This Row],[Número de Orden]],Sala[Número de Orden],Sala[Monto total],"fracaso",0,1)</f>
        <v>0.08</v>
      </c>
      <c r="L1231" t="s">
        <v>608</v>
      </c>
    </row>
    <row r="1232" spans="1:12" x14ac:dyDescent="0.25">
      <c r="A1232">
        <v>497</v>
      </c>
      <c r="B1232">
        <v>13</v>
      </c>
      <c r="C1232" t="s">
        <v>48</v>
      </c>
      <c r="D1232" t="s">
        <v>622</v>
      </c>
      <c r="E1232">
        <v>25</v>
      </c>
      <c r="F1232">
        <v>40</v>
      </c>
      <c r="G1232">
        <v>3</v>
      </c>
      <c r="H1232">
        <v>32</v>
      </c>
      <c r="I1232">
        <f>Cocina[[#This Row],[Precio Unitario]]*Cocina[[#This Row],[Cantidad Ordenada]]</f>
        <v>120</v>
      </c>
      <c r="J1232">
        <f>(Cocina[[#This Row],[Precio Unitario]]-Cocina[[#This Row],[Costo Unitario]])*Cocina[[#This Row],[Cantidad Ordenada]]</f>
        <v>45</v>
      </c>
      <c r="K1232" s="4">
        <f>Cocina[[#This Row],[Ganancia neta]]/_xlfn.XLOOKUP(Cocina[[#This Row],[Número de Orden]],Sala[Número de Orden],Sala[Monto total],"fracaso",0,1)</f>
        <v>0.3</v>
      </c>
      <c r="L1232" t="s">
        <v>608</v>
      </c>
    </row>
    <row r="1233" spans="1:12" x14ac:dyDescent="0.25">
      <c r="A1233">
        <v>498</v>
      </c>
      <c r="B1233">
        <v>20</v>
      </c>
      <c r="C1233" t="s">
        <v>112</v>
      </c>
      <c r="D1233" t="s">
        <v>627</v>
      </c>
      <c r="E1233">
        <v>11</v>
      </c>
      <c r="F1233">
        <v>19</v>
      </c>
      <c r="G1233">
        <v>1</v>
      </c>
      <c r="H1233">
        <v>32</v>
      </c>
      <c r="I1233">
        <f>Cocina[[#This Row],[Precio Unitario]]*Cocina[[#This Row],[Cantidad Ordenada]]</f>
        <v>19</v>
      </c>
      <c r="J1233">
        <f>(Cocina[[#This Row],[Precio Unitario]]-Cocina[[#This Row],[Costo Unitario]])*Cocina[[#This Row],[Cantidad Ordenada]]</f>
        <v>8</v>
      </c>
      <c r="K1233" s="4">
        <f>Cocina[[#This Row],[Ganancia neta]]/_xlfn.XLOOKUP(Cocina[[#This Row],[Número de Orden]],Sala[Número de Orden],Sala[Monto total],"fracaso",0,1)</f>
        <v>0.42105263157894735</v>
      </c>
      <c r="L1233" t="s">
        <v>607</v>
      </c>
    </row>
    <row r="1234" spans="1:12" x14ac:dyDescent="0.25">
      <c r="A1234">
        <v>499</v>
      </c>
      <c r="B1234">
        <v>5</v>
      </c>
      <c r="C1234" t="s">
        <v>155</v>
      </c>
      <c r="D1234" t="s">
        <v>636</v>
      </c>
      <c r="E1234">
        <v>15</v>
      </c>
      <c r="F1234">
        <v>26</v>
      </c>
      <c r="G1234">
        <v>3</v>
      </c>
      <c r="H1234">
        <v>52</v>
      </c>
      <c r="I1234">
        <f>Cocina[[#This Row],[Precio Unitario]]*Cocina[[#This Row],[Cantidad Ordenada]]</f>
        <v>78</v>
      </c>
      <c r="J1234">
        <f>(Cocina[[#This Row],[Precio Unitario]]-Cocina[[#This Row],[Costo Unitario]])*Cocina[[#This Row],[Cantidad Ordenada]]</f>
        <v>33</v>
      </c>
      <c r="K1234" s="4">
        <f>Cocina[[#This Row],[Ganancia neta]]/_xlfn.XLOOKUP(Cocina[[#This Row],[Número de Orden]],Sala[Número de Orden],Sala[Monto total],"fracaso",0,1)</f>
        <v>0.20886075949367089</v>
      </c>
      <c r="L1234" t="s">
        <v>607</v>
      </c>
    </row>
    <row r="1235" spans="1:12" x14ac:dyDescent="0.25">
      <c r="A1235">
        <v>499</v>
      </c>
      <c r="B1235">
        <v>5</v>
      </c>
      <c r="C1235" t="s">
        <v>68</v>
      </c>
      <c r="D1235" t="s">
        <v>619</v>
      </c>
      <c r="E1235">
        <v>18</v>
      </c>
      <c r="F1235">
        <v>30</v>
      </c>
      <c r="G1235">
        <v>1</v>
      </c>
      <c r="H1235">
        <v>36</v>
      </c>
      <c r="I1235">
        <f>Cocina[[#This Row],[Precio Unitario]]*Cocina[[#This Row],[Cantidad Ordenada]]</f>
        <v>30</v>
      </c>
      <c r="J1235">
        <f>(Cocina[[#This Row],[Precio Unitario]]-Cocina[[#This Row],[Costo Unitario]])*Cocina[[#This Row],[Cantidad Ordenada]]</f>
        <v>12</v>
      </c>
      <c r="K1235" s="4">
        <f>Cocina[[#This Row],[Ganancia neta]]/_xlfn.XLOOKUP(Cocina[[#This Row],[Número de Orden]],Sala[Número de Orden],Sala[Monto total],"fracaso",0,1)</f>
        <v>7.5949367088607597E-2</v>
      </c>
      <c r="L1235" t="s">
        <v>608</v>
      </c>
    </row>
    <row r="1236" spans="1:12" x14ac:dyDescent="0.25">
      <c r="A1236">
        <v>499</v>
      </c>
      <c r="B1236">
        <v>5</v>
      </c>
      <c r="C1236" t="s">
        <v>122</v>
      </c>
      <c r="D1236" t="s">
        <v>637</v>
      </c>
      <c r="E1236">
        <v>15</v>
      </c>
      <c r="F1236">
        <v>25</v>
      </c>
      <c r="G1236">
        <v>2</v>
      </c>
      <c r="H1236">
        <v>42</v>
      </c>
      <c r="I1236">
        <f>Cocina[[#This Row],[Precio Unitario]]*Cocina[[#This Row],[Cantidad Ordenada]]</f>
        <v>50</v>
      </c>
      <c r="J1236">
        <f>(Cocina[[#This Row],[Precio Unitario]]-Cocina[[#This Row],[Costo Unitario]])*Cocina[[#This Row],[Cantidad Ordenada]]</f>
        <v>20</v>
      </c>
      <c r="K1236" s="4">
        <f>Cocina[[#This Row],[Ganancia neta]]/_xlfn.XLOOKUP(Cocina[[#This Row],[Número de Orden]],Sala[Número de Orden],Sala[Monto total],"fracaso",0,1)</f>
        <v>0.12658227848101267</v>
      </c>
      <c r="L1236" t="s">
        <v>608</v>
      </c>
    </row>
    <row r="1237" spans="1:12" x14ac:dyDescent="0.25">
      <c r="A1237">
        <v>500</v>
      </c>
      <c r="B1237">
        <v>4</v>
      </c>
      <c r="C1237" t="s">
        <v>106</v>
      </c>
      <c r="D1237" t="s">
        <v>621</v>
      </c>
      <c r="E1237">
        <v>16</v>
      </c>
      <c r="F1237">
        <v>27</v>
      </c>
      <c r="G1237">
        <v>1</v>
      </c>
      <c r="H1237">
        <v>22</v>
      </c>
      <c r="I1237">
        <f>Cocina[[#This Row],[Precio Unitario]]*Cocina[[#This Row],[Cantidad Ordenada]]</f>
        <v>27</v>
      </c>
      <c r="J1237">
        <f>(Cocina[[#This Row],[Precio Unitario]]-Cocina[[#This Row],[Costo Unitario]])*Cocina[[#This Row],[Cantidad Ordenada]]</f>
        <v>11</v>
      </c>
      <c r="K1237" s="4">
        <f>Cocina[[#This Row],[Ganancia neta]]/_xlfn.XLOOKUP(Cocina[[#This Row],[Número de Orden]],Sala[Número de Orden],Sala[Monto total],"fracaso",0,1)</f>
        <v>0.11827956989247312</v>
      </c>
      <c r="L1237" t="s">
        <v>608</v>
      </c>
    </row>
    <row r="1238" spans="1:12" x14ac:dyDescent="0.25">
      <c r="A1238">
        <v>500</v>
      </c>
      <c r="B1238">
        <v>4</v>
      </c>
      <c r="C1238" t="s">
        <v>203</v>
      </c>
      <c r="D1238" t="s">
        <v>630</v>
      </c>
      <c r="E1238">
        <v>13</v>
      </c>
      <c r="F1238">
        <v>22</v>
      </c>
      <c r="G1238">
        <v>3</v>
      </c>
      <c r="H1238">
        <v>20</v>
      </c>
      <c r="I1238">
        <f>Cocina[[#This Row],[Precio Unitario]]*Cocina[[#This Row],[Cantidad Ordenada]]</f>
        <v>66</v>
      </c>
      <c r="J1238">
        <f>(Cocina[[#This Row],[Precio Unitario]]-Cocina[[#This Row],[Costo Unitario]])*Cocina[[#This Row],[Cantidad Ordenada]]</f>
        <v>27</v>
      </c>
      <c r="K1238" s="4">
        <f>Cocina[[#This Row],[Ganancia neta]]/_xlfn.XLOOKUP(Cocina[[#This Row],[Número de Orden]],Sala[Número de Orden],Sala[Monto total],"fracaso",0,1)</f>
        <v>0.29032258064516131</v>
      </c>
      <c r="L1238" t="s">
        <v>607</v>
      </c>
    </row>
    <row r="1239" spans="1:12" x14ac:dyDescent="0.25">
      <c r="A1239">
        <v>501</v>
      </c>
      <c r="B1239">
        <v>7</v>
      </c>
      <c r="C1239" t="s">
        <v>48</v>
      </c>
      <c r="D1239" t="s">
        <v>622</v>
      </c>
      <c r="E1239">
        <v>25</v>
      </c>
      <c r="F1239">
        <v>40</v>
      </c>
      <c r="G1239">
        <v>1</v>
      </c>
      <c r="H1239">
        <v>18</v>
      </c>
      <c r="I1239">
        <f>Cocina[[#This Row],[Precio Unitario]]*Cocina[[#This Row],[Cantidad Ordenada]]</f>
        <v>40</v>
      </c>
      <c r="J1239">
        <f>(Cocina[[#This Row],[Precio Unitario]]-Cocina[[#This Row],[Costo Unitario]])*Cocina[[#This Row],[Cantidad Ordenada]]</f>
        <v>15</v>
      </c>
      <c r="K1239" s="4">
        <f>Cocina[[#This Row],[Ganancia neta]]/_xlfn.XLOOKUP(Cocina[[#This Row],[Número de Orden]],Sala[Número de Orden],Sala[Monto total],"fracaso",0,1)</f>
        <v>0.10869565217391304</v>
      </c>
      <c r="L1239" t="s">
        <v>608</v>
      </c>
    </row>
    <row r="1240" spans="1:12" x14ac:dyDescent="0.25">
      <c r="A1240">
        <v>501</v>
      </c>
      <c r="B1240">
        <v>7</v>
      </c>
      <c r="C1240" t="s">
        <v>70</v>
      </c>
      <c r="D1240" t="s">
        <v>634</v>
      </c>
      <c r="E1240">
        <v>13</v>
      </c>
      <c r="F1240">
        <v>21</v>
      </c>
      <c r="G1240">
        <v>2</v>
      </c>
      <c r="H1240">
        <v>15</v>
      </c>
      <c r="I1240">
        <f>Cocina[[#This Row],[Precio Unitario]]*Cocina[[#This Row],[Cantidad Ordenada]]</f>
        <v>42</v>
      </c>
      <c r="J1240">
        <f>(Cocina[[#This Row],[Precio Unitario]]-Cocina[[#This Row],[Costo Unitario]])*Cocina[[#This Row],[Cantidad Ordenada]]</f>
        <v>16</v>
      </c>
      <c r="K1240" s="4">
        <f>Cocina[[#This Row],[Ganancia neta]]/_xlfn.XLOOKUP(Cocina[[#This Row],[Número de Orden]],Sala[Número de Orden],Sala[Monto total],"fracaso",0,1)</f>
        <v>0.11594202898550725</v>
      </c>
      <c r="L1240" t="s">
        <v>608</v>
      </c>
    </row>
    <row r="1241" spans="1:12" x14ac:dyDescent="0.25">
      <c r="A1241">
        <v>501</v>
      </c>
      <c r="B1241">
        <v>7</v>
      </c>
      <c r="C1241" t="s">
        <v>42</v>
      </c>
      <c r="D1241" t="s">
        <v>626</v>
      </c>
      <c r="E1241">
        <v>16</v>
      </c>
      <c r="F1241">
        <v>28</v>
      </c>
      <c r="G1241">
        <v>2</v>
      </c>
      <c r="H1241">
        <v>6</v>
      </c>
      <c r="I1241">
        <f>Cocina[[#This Row],[Precio Unitario]]*Cocina[[#This Row],[Cantidad Ordenada]]</f>
        <v>56</v>
      </c>
      <c r="J1241">
        <f>(Cocina[[#This Row],[Precio Unitario]]-Cocina[[#This Row],[Costo Unitario]])*Cocina[[#This Row],[Cantidad Ordenada]]</f>
        <v>24</v>
      </c>
      <c r="K1241" s="4">
        <f>Cocina[[#This Row],[Ganancia neta]]/_xlfn.XLOOKUP(Cocina[[#This Row],[Número de Orden]],Sala[Número de Orden],Sala[Monto total],"fracaso",0,1)</f>
        <v>0.17391304347826086</v>
      </c>
      <c r="L1241" t="s">
        <v>607</v>
      </c>
    </row>
    <row r="1242" spans="1:12" x14ac:dyDescent="0.25">
      <c r="A1242">
        <v>502</v>
      </c>
      <c r="B1242">
        <v>5</v>
      </c>
      <c r="C1242" t="s">
        <v>203</v>
      </c>
      <c r="D1242" t="s">
        <v>630</v>
      </c>
      <c r="E1242">
        <v>13</v>
      </c>
      <c r="F1242">
        <v>22</v>
      </c>
      <c r="G1242">
        <v>1</v>
      </c>
      <c r="H1242">
        <v>33</v>
      </c>
      <c r="I1242">
        <f>Cocina[[#This Row],[Precio Unitario]]*Cocina[[#This Row],[Cantidad Ordenada]]</f>
        <v>22</v>
      </c>
      <c r="J1242">
        <f>(Cocina[[#This Row],[Precio Unitario]]-Cocina[[#This Row],[Costo Unitario]])*Cocina[[#This Row],[Cantidad Ordenada]]</f>
        <v>9</v>
      </c>
      <c r="K1242" s="4">
        <f>Cocina[[#This Row],[Ganancia neta]]/_xlfn.XLOOKUP(Cocina[[#This Row],[Número de Orden]],Sala[Número de Orden],Sala[Monto total],"fracaso",0,1)</f>
        <v>6.4748201438848921E-2</v>
      </c>
      <c r="L1242" t="s">
        <v>607</v>
      </c>
    </row>
    <row r="1243" spans="1:12" x14ac:dyDescent="0.25">
      <c r="A1243">
        <v>502</v>
      </c>
      <c r="B1243">
        <v>5</v>
      </c>
      <c r="C1243" t="s">
        <v>79</v>
      </c>
      <c r="D1243" t="s">
        <v>635</v>
      </c>
      <c r="E1243">
        <v>10</v>
      </c>
      <c r="F1243">
        <v>18</v>
      </c>
      <c r="G1243">
        <v>1</v>
      </c>
      <c r="H1243">
        <v>5</v>
      </c>
      <c r="I1243">
        <f>Cocina[[#This Row],[Precio Unitario]]*Cocina[[#This Row],[Cantidad Ordenada]]</f>
        <v>18</v>
      </c>
      <c r="J1243">
        <f>(Cocina[[#This Row],[Precio Unitario]]-Cocina[[#This Row],[Costo Unitario]])*Cocina[[#This Row],[Cantidad Ordenada]]</f>
        <v>8</v>
      </c>
      <c r="K1243" s="4">
        <f>Cocina[[#This Row],[Ganancia neta]]/_xlfn.XLOOKUP(Cocina[[#This Row],[Número de Orden]],Sala[Número de Orden],Sala[Monto total],"fracaso",0,1)</f>
        <v>5.7553956834532377E-2</v>
      </c>
      <c r="L1243" t="s">
        <v>607</v>
      </c>
    </row>
    <row r="1244" spans="1:12" x14ac:dyDescent="0.25">
      <c r="A1244">
        <v>502</v>
      </c>
      <c r="B1244">
        <v>5</v>
      </c>
      <c r="C1244" t="s">
        <v>261</v>
      </c>
      <c r="D1244" t="s">
        <v>625</v>
      </c>
      <c r="E1244">
        <v>20</v>
      </c>
      <c r="F1244">
        <v>33</v>
      </c>
      <c r="G1244">
        <v>3</v>
      </c>
      <c r="H1244">
        <v>35</v>
      </c>
      <c r="I1244">
        <f>Cocina[[#This Row],[Precio Unitario]]*Cocina[[#This Row],[Cantidad Ordenada]]</f>
        <v>99</v>
      </c>
      <c r="J1244">
        <f>(Cocina[[#This Row],[Precio Unitario]]-Cocina[[#This Row],[Costo Unitario]])*Cocina[[#This Row],[Cantidad Ordenada]]</f>
        <v>39</v>
      </c>
      <c r="K1244" s="4">
        <f>Cocina[[#This Row],[Ganancia neta]]/_xlfn.XLOOKUP(Cocina[[#This Row],[Número de Orden]],Sala[Número de Orden],Sala[Monto total],"fracaso",0,1)</f>
        <v>0.2805755395683453</v>
      </c>
      <c r="L1244" t="s">
        <v>608</v>
      </c>
    </row>
    <row r="1245" spans="1:12" x14ac:dyDescent="0.25">
      <c r="A1245">
        <v>503</v>
      </c>
      <c r="B1245">
        <v>3</v>
      </c>
      <c r="C1245" t="s">
        <v>48</v>
      </c>
      <c r="D1245" t="s">
        <v>622</v>
      </c>
      <c r="E1245">
        <v>25</v>
      </c>
      <c r="F1245">
        <v>40</v>
      </c>
      <c r="G1245">
        <v>2</v>
      </c>
      <c r="H1245">
        <v>52</v>
      </c>
      <c r="I1245">
        <f>Cocina[[#This Row],[Precio Unitario]]*Cocina[[#This Row],[Cantidad Ordenada]]</f>
        <v>80</v>
      </c>
      <c r="J1245">
        <f>(Cocina[[#This Row],[Precio Unitario]]-Cocina[[#This Row],[Costo Unitario]])*Cocina[[#This Row],[Cantidad Ordenada]]</f>
        <v>30</v>
      </c>
      <c r="K1245" s="4">
        <f>Cocina[[#This Row],[Ganancia neta]]/_xlfn.XLOOKUP(Cocina[[#This Row],[Número de Orden]],Sala[Número de Orden],Sala[Monto total],"fracaso",0,1)</f>
        <v>0.21897810218978103</v>
      </c>
      <c r="L1245" t="s">
        <v>607</v>
      </c>
    </row>
    <row r="1246" spans="1:12" x14ac:dyDescent="0.25">
      <c r="A1246">
        <v>503</v>
      </c>
      <c r="B1246">
        <v>3</v>
      </c>
      <c r="C1246" t="s">
        <v>112</v>
      </c>
      <c r="D1246" t="s">
        <v>627</v>
      </c>
      <c r="E1246">
        <v>11</v>
      </c>
      <c r="F1246">
        <v>19</v>
      </c>
      <c r="G1246">
        <v>3</v>
      </c>
      <c r="H1246">
        <v>33</v>
      </c>
      <c r="I1246">
        <f>Cocina[[#This Row],[Precio Unitario]]*Cocina[[#This Row],[Cantidad Ordenada]]</f>
        <v>57</v>
      </c>
      <c r="J1246">
        <f>(Cocina[[#This Row],[Precio Unitario]]-Cocina[[#This Row],[Costo Unitario]])*Cocina[[#This Row],[Cantidad Ordenada]]</f>
        <v>24</v>
      </c>
      <c r="K1246" s="4">
        <f>Cocina[[#This Row],[Ganancia neta]]/_xlfn.XLOOKUP(Cocina[[#This Row],[Número de Orden]],Sala[Número de Orden],Sala[Monto total],"fracaso",0,1)</f>
        <v>0.17518248175182483</v>
      </c>
      <c r="L1246" t="s">
        <v>608</v>
      </c>
    </row>
    <row r="1247" spans="1:12" x14ac:dyDescent="0.25">
      <c r="A1247">
        <v>504</v>
      </c>
      <c r="B1247">
        <v>2</v>
      </c>
      <c r="C1247" t="s">
        <v>106</v>
      </c>
      <c r="D1247" t="s">
        <v>621</v>
      </c>
      <c r="E1247">
        <v>16</v>
      </c>
      <c r="F1247">
        <v>27</v>
      </c>
      <c r="G1247">
        <v>2</v>
      </c>
      <c r="H1247">
        <v>19</v>
      </c>
      <c r="I1247">
        <f>Cocina[[#This Row],[Precio Unitario]]*Cocina[[#This Row],[Cantidad Ordenada]]</f>
        <v>54</v>
      </c>
      <c r="J1247">
        <f>(Cocina[[#This Row],[Precio Unitario]]-Cocina[[#This Row],[Costo Unitario]])*Cocina[[#This Row],[Cantidad Ordenada]]</f>
        <v>22</v>
      </c>
      <c r="K1247" s="4">
        <f>Cocina[[#This Row],[Ganancia neta]]/_xlfn.XLOOKUP(Cocina[[#This Row],[Número de Orden]],Sala[Número de Orden],Sala[Monto total],"fracaso",0,1)</f>
        <v>0.40740740740740738</v>
      </c>
      <c r="L1247" t="s">
        <v>607</v>
      </c>
    </row>
    <row r="1248" spans="1:12" x14ac:dyDescent="0.25">
      <c r="A1248">
        <v>505</v>
      </c>
      <c r="B1248">
        <v>5</v>
      </c>
      <c r="C1248" t="s">
        <v>48</v>
      </c>
      <c r="D1248" t="s">
        <v>622</v>
      </c>
      <c r="E1248">
        <v>25</v>
      </c>
      <c r="F1248">
        <v>40</v>
      </c>
      <c r="G1248">
        <v>2</v>
      </c>
      <c r="H1248">
        <v>56</v>
      </c>
      <c r="I1248">
        <f>Cocina[[#This Row],[Precio Unitario]]*Cocina[[#This Row],[Cantidad Ordenada]]</f>
        <v>80</v>
      </c>
      <c r="J1248">
        <f>(Cocina[[#This Row],[Precio Unitario]]-Cocina[[#This Row],[Costo Unitario]])*Cocina[[#This Row],[Cantidad Ordenada]]</f>
        <v>30</v>
      </c>
      <c r="K1248" s="4">
        <f>Cocina[[#This Row],[Ganancia neta]]/_xlfn.XLOOKUP(Cocina[[#This Row],[Número de Orden]],Sala[Número de Orden],Sala[Monto total],"fracaso",0,1)</f>
        <v>0.19354838709677419</v>
      </c>
      <c r="L1248" t="s">
        <v>607</v>
      </c>
    </row>
    <row r="1249" spans="1:12" x14ac:dyDescent="0.25">
      <c r="A1249">
        <v>505</v>
      </c>
      <c r="B1249">
        <v>5</v>
      </c>
      <c r="C1249" t="s">
        <v>122</v>
      </c>
      <c r="D1249" t="s">
        <v>637</v>
      </c>
      <c r="E1249">
        <v>15</v>
      </c>
      <c r="F1249">
        <v>25</v>
      </c>
      <c r="G1249">
        <v>3</v>
      </c>
      <c r="H1249">
        <v>59</v>
      </c>
      <c r="I1249">
        <f>Cocina[[#This Row],[Precio Unitario]]*Cocina[[#This Row],[Cantidad Ordenada]]</f>
        <v>75</v>
      </c>
      <c r="J1249">
        <f>(Cocina[[#This Row],[Precio Unitario]]-Cocina[[#This Row],[Costo Unitario]])*Cocina[[#This Row],[Cantidad Ordenada]]</f>
        <v>30</v>
      </c>
      <c r="K1249" s="4">
        <f>Cocina[[#This Row],[Ganancia neta]]/_xlfn.XLOOKUP(Cocina[[#This Row],[Número de Orden]],Sala[Número de Orden],Sala[Monto total],"fracaso",0,1)</f>
        <v>0.19354838709677419</v>
      </c>
      <c r="L1249" t="s">
        <v>607</v>
      </c>
    </row>
    <row r="1250" spans="1:12" x14ac:dyDescent="0.25">
      <c r="A1250">
        <v>506</v>
      </c>
      <c r="B1250">
        <v>18</v>
      </c>
      <c r="C1250" t="s">
        <v>26</v>
      </c>
      <c r="D1250" t="s">
        <v>628</v>
      </c>
      <c r="E1250">
        <v>21</v>
      </c>
      <c r="F1250">
        <v>35</v>
      </c>
      <c r="G1250">
        <v>2</v>
      </c>
      <c r="H1250">
        <v>5</v>
      </c>
      <c r="I1250">
        <f>Cocina[[#This Row],[Precio Unitario]]*Cocina[[#This Row],[Cantidad Ordenada]]</f>
        <v>70</v>
      </c>
      <c r="J1250">
        <f>(Cocina[[#This Row],[Precio Unitario]]-Cocina[[#This Row],[Costo Unitario]])*Cocina[[#This Row],[Cantidad Ordenada]]</f>
        <v>28</v>
      </c>
      <c r="K1250" s="4">
        <f>Cocina[[#This Row],[Ganancia neta]]/_xlfn.XLOOKUP(Cocina[[#This Row],[Número de Orden]],Sala[Número de Orden],Sala[Monto total],"fracaso",0,1)</f>
        <v>0.4</v>
      </c>
      <c r="L1250" t="s">
        <v>608</v>
      </c>
    </row>
    <row r="1251" spans="1:12" x14ac:dyDescent="0.25">
      <c r="A1251">
        <v>507</v>
      </c>
      <c r="B1251">
        <v>18</v>
      </c>
      <c r="C1251" t="s">
        <v>55</v>
      </c>
      <c r="D1251" t="s">
        <v>631</v>
      </c>
      <c r="E1251">
        <v>20</v>
      </c>
      <c r="F1251">
        <v>34</v>
      </c>
      <c r="G1251">
        <v>3</v>
      </c>
      <c r="H1251">
        <v>53</v>
      </c>
      <c r="I1251">
        <f>Cocina[[#This Row],[Precio Unitario]]*Cocina[[#This Row],[Cantidad Ordenada]]</f>
        <v>102</v>
      </c>
      <c r="J1251">
        <f>(Cocina[[#This Row],[Precio Unitario]]-Cocina[[#This Row],[Costo Unitario]])*Cocina[[#This Row],[Cantidad Ordenada]]</f>
        <v>42</v>
      </c>
      <c r="K1251" s="4">
        <f>Cocina[[#This Row],[Ganancia neta]]/_xlfn.XLOOKUP(Cocina[[#This Row],[Número de Orden]],Sala[Número de Orden],Sala[Monto total],"fracaso",0,1)</f>
        <v>0.2</v>
      </c>
      <c r="L1251" t="s">
        <v>607</v>
      </c>
    </row>
    <row r="1252" spans="1:12" x14ac:dyDescent="0.25">
      <c r="A1252">
        <v>507</v>
      </c>
      <c r="B1252">
        <v>18</v>
      </c>
      <c r="C1252" t="s">
        <v>73</v>
      </c>
      <c r="D1252" t="s">
        <v>623</v>
      </c>
      <c r="E1252">
        <v>22</v>
      </c>
      <c r="F1252">
        <v>36</v>
      </c>
      <c r="G1252">
        <v>3</v>
      </c>
      <c r="H1252">
        <v>16</v>
      </c>
      <c r="I1252">
        <f>Cocina[[#This Row],[Precio Unitario]]*Cocina[[#This Row],[Cantidad Ordenada]]</f>
        <v>108</v>
      </c>
      <c r="J1252">
        <f>(Cocina[[#This Row],[Precio Unitario]]-Cocina[[#This Row],[Costo Unitario]])*Cocina[[#This Row],[Cantidad Ordenada]]</f>
        <v>42</v>
      </c>
      <c r="K1252" s="4">
        <f>Cocina[[#This Row],[Ganancia neta]]/_xlfn.XLOOKUP(Cocina[[#This Row],[Número de Orden]],Sala[Número de Orden],Sala[Monto total],"fracaso",0,1)</f>
        <v>0.2</v>
      </c>
      <c r="L1252" t="s">
        <v>608</v>
      </c>
    </row>
    <row r="1253" spans="1:12" x14ac:dyDescent="0.25">
      <c r="A1253">
        <v>508</v>
      </c>
      <c r="B1253">
        <v>6</v>
      </c>
      <c r="C1253" t="s">
        <v>247</v>
      </c>
      <c r="D1253" t="s">
        <v>629</v>
      </c>
      <c r="E1253">
        <v>19</v>
      </c>
      <c r="F1253">
        <v>32</v>
      </c>
      <c r="G1253">
        <v>1</v>
      </c>
      <c r="H1253">
        <v>34</v>
      </c>
      <c r="I1253">
        <f>Cocina[[#This Row],[Precio Unitario]]*Cocina[[#This Row],[Cantidad Ordenada]]</f>
        <v>32</v>
      </c>
      <c r="J1253">
        <f>(Cocina[[#This Row],[Precio Unitario]]-Cocina[[#This Row],[Costo Unitario]])*Cocina[[#This Row],[Cantidad Ordenada]]</f>
        <v>13</v>
      </c>
      <c r="K1253" s="4">
        <f>Cocina[[#This Row],[Ganancia neta]]/_xlfn.XLOOKUP(Cocina[[#This Row],[Número de Orden]],Sala[Número de Orden],Sala[Monto total],"fracaso",0,1)</f>
        <v>0.40625</v>
      </c>
      <c r="L1253" t="s">
        <v>608</v>
      </c>
    </row>
    <row r="1254" spans="1:12" x14ac:dyDescent="0.25">
      <c r="A1254">
        <v>509</v>
      </c>
      <c r="B1254">
        <v>5</v>
      </c>
      <c r="C1254" t="s">
        <v>48</v>
      </c>
      <c r="D1254" t="s">
        <v>622</v>
      </c>
      <c r="E1254">
        <v>25</v>
      </c>
      <c r="F1254">
        <v>40</v>
      </c>
      <c r="G1254">
        <v>2</v>
      </c>
      <c r="H1254">
        <v>47</v>
      </c>
      <c r="I1254">
        <f>Cocina[[#This Row],[Precio Unitario]]*Cocina[[#This Row],[Cantidad Ordenada]]</f>
        <v>80</v>
      </c>
      <c r="J1254">
        <f>(Cocina[[#This Row],[Precio Unitario]]-Cocina[[#This Row],[Costo Unitario]])*Cocina[[#This Row],[Cantidad Ordenada]]</f>
        <v>30</v>
      </c>
      <c r="K1254" s="4">
        <f>Cocina[[#This Row],[Ganancia neta]]/_xlfn.XLOOKUP(Cocina[[#This Row],[Número de Orden]],Sala[Número de Orden],Sala[Monto total],"fracaso",0,1)</f>
        <v>0.375</v>
      </c>
      <c r="L1254" t="s">
        <v>607</v>
      </c>
    </row>
    <row r="1255" spans="1:12" x14ac:dyDescent="0.25">
      <c r="A1255">
        <v>510</v>
      </c>
      <c r="B1255">
        <v>6</v>
      </c>
      <c r="C1255" t="s">
        <v>73</v>
      </c>
      <c r="D1255" t="s">
        <v>623</v>
      </c>
      <c r="E1255">
        <v>22</v>
      </c>
      <c r="F1255">
        <v>36</v>
      </c>
      <c r="G1255">
        <v>1</v>
      </c>
      <c r="H1255">
        <v>48</v>
      </c>
      <c r="I1255">
        <f>Cocina[[#This Row],[Precio Unitario]]*Cocina[[#This Row],[Cantidad Ordenada]]</f>
        <v>36</v>
      </c>
      <c r="J1255">
        <f>(Cocina[[#This Row],[Precio Unitario]]-Cocina[[#This Row],[Costo Unitario]])*Cocina[[#This Row],[Cantidad Ordenada]]</f>
        <v>14</v>
      </c>
      <c r="K1255" s="4">
        <f>Cocina[[#This Row],[Ganancia neta]]/_xlfn.XLOOKUP(Cocina[[#This Row],[Número de Orden]],Sala[Número de Orden],Sala[Monto total],"fracaso",0,1)</f>
        <v>0.3888888888888889</v>
      </c>
      <c r="L1255" t="s">
        <v>607</v>
      </c>
    </row>
    <row r="1256" spans="1:12" x14ac:dyDescent="0.25">
      <c r="A1256">
        <v>511</v>
      </c>
      <c r="B1256">
        <v>2</v>
      </c>
      <c r="C1256" t="s">
        <v>200</v>
      </c>
      <c r="D1256" t="s">
        <v>633</v>
      </c>
      <c r="E1256">
        <v>14</v>
      </c>
      <c r="F1256">
        <v>23</v>
      </c>
      <c r="G1256">
        <v>3</v>
      </c>
      <c r="H1256">
        <v>14</v>
      </c>
      <c r="I1256">
        <f>Cocina[[#This Row],[Precio Unitario]]*Cocina[[#This Row],[Cantidad Ordenada]]</f>
        <v>69</v>
      </c>
      <c r="J1256">
        <f>(Cocina[[#This Row],[Precio Unitario]]-Cocina[[#This Row],[Costo Unitario]])*Cocina[[#This Row],[Cantidad Ordenada]]</f>
        <v>27</v>
      </c>
      <c r="K1256" s="4">
        <f>Cocina[[#This Row],[Ganancia neta]]/_xlfn.XLOOKUP(Cocina[[#This Row],[Número de Orden]],Sala[Número de Orden],Sala[Monto total],"fracaso",0,1)</f>
        <v>0.19708029197080293</v>
      </c>
      <c r="L1256" t="s">
        <v>607</v>
      </c>
    </row>
    <row r="1257" spans="1:12" x14ac:dyDescent="0.25">
      <c r="A1257">
        <v>511</v>
      </c>
      <c r="B1257">
        <v>2</v>
      </c>
      <c r="C1257" t="s">
        <v>55</v>
      </c>
      <c r="D1257" t="s">
        <v>631</v>
      </c>
      <c r="E1257">
        <v>20</v>
      </c>
      <c r="F1257">
        <v>34</v>
      </c>
      <c r="G1257">
        <v>2</v>
      </c>
      <c r="H1257">
        <v>24</v>
      </c>
      <c r="I1257">
        <f>Cocina[[#This Row],[Precio Unitario]]*Cocina[[#This Row],[Cantidad Ordenada]]</f>
        <v>68</v>
      </c>
      <c r="J1257">
        <f>(Cocina[[#This Row],[Precio Unitario]]-Cocina[[#This Row],[Costo Unitario]])*Cocina[[#This Row],[Cantidad Ordenada]]</f>
        <v>28</v>
      </c>
      <c r="K1257" s="4">
        <f>Cocina[[#This Row],[Ganancia neta]]/_xlfn.XLOOKUP(Cocina[[#This Row],[Número de Orden]],Sala[Número de Orden],Sala[Monto total],"fracaso",0,1)</f>
        <v>0.20437956204379562</v>
      </c>
      <c r="L1257" t="s">
        <v>607</v>
      </c>
    </row>
    <row r="1258" spans="1:12" x14ac:dyDescent="0.25">
      <c r="A1258">
        <v>512</v>
      </c>
      <c r="B1258">
        <v>2</v>
      </c>
      <c r="C1258" t="s">
        <v>146</v>
      </c>
      <c r="D1258" t="s">
        <v>632</v>
      </c>
      <c r="E1258">
        <v>12</v>
      </c>
      <c r="F1258">
        <v>20</v>
      </c>
      <c r="G1258">
        <v>1</v>
      </c>
      <c r="H1258">
        <v>6</v>
      </c>
      <c r="I1258">
        <f>Cocina[[#This Row],[Precio Unitario]]*Cocina[[#This Row],[Cantidad Ordenada]]</f>
        <v>20</v>
      </c>
      <c r="J1258">
        <f>(Cocina[[#This Row],[Precio Unitario]]-Cocina[[#This Row],[Costo Unitario]])*Cocina[[#This Row],[Cantidad Ordenada]]</f>
        <v>8</v>
      </c>
      <c r="K1258" s="4">
        <f>Cocina[[#This Row],[Ganancia neta]]/_xlfn.XLOOKUP(Cocina[[#This Row],[Número de Orden]],Sala[Número de Orden],Sala[Monto total],"fracaso",0,1)</f>
        <v>6.25E-2</v>
      </c>
      <c r="L1258" t="s">
        <v>608</v>
      </c>
    </row>
    <row r="1259" spans="1:12" x14ac:dyDescent="0.25">
      <c r="A1259">
        <v>512</v>
      </c>
      <c r="B1259">
        <v>2</v>
      </c>
      <c r="C1259" t="s">
        <v>73</v>
      </c>
      <c r="D1259" t="s">
        <v>623</v>
      </c>
      <c r="E1259">
        <v>22</v>
      </c>
      <c r="F1259">
        <v>36</v>
      </c>
      <c r="G1259">
        <v>3</v>
      </c>
      <c r="H1259">
        <v>53</v>
      </c>
      <c r="I1259">
        <f>Cocina[[#This Row],[Precio Unitario]]*Cocina[[#This Row],[Cantidad Ordenada]]</f>
        <v>108</v>
      </c>
      <c r="J1259">
        <f>(Cocina[[#This Row],[Precio Unitario]]-Cocina[[#This Row],[Costo Unitario]])*Cocina[[#This Row],[Cantidad Ordenada]]</f>
        <v>42</v>
      </c>
      <c r="K1259" s="4">
        <f>Cocina[[#This Row],[Ganancia neta]]/_xlfn.XLOOKUP(Cocina[[#This Row],[Número de Orden]],Sala[Número de Orden],Sala[Monto total],"fracaso",0,1)</f>
        <v>0.328125</v>
      </c>
      <c r="L1259" t="s">
        <v>608</v>
      </c>
    </row>
    <row r="1260" spans="1:12" x14ac:dyDescent="0.25">
      <c r="A1260">
        <v>513</v>
      </c>
      <c r="B1260">
        <v>8</v>
      </c>
      <c r="C1260" t="s">
        <v>79</v>
      </c>
      <c r="D1260" t="s">
        <v>635</v>
      </c>
      <c r="E1260">
        <v>10</v>
      </c>
      <c r="F1260">
        <v>18</v>
      </c>
      <c r="G1260">
        <v>3</v>
      </c>
      <c r="H1260">
        <v>56</v>
      </c>
      <c r="I1260">
        <f>Cocina[[#This Row],[Precio Unitario]]*Cocina[[#This Row],[Cantidad Ordenada]]</f>
        <v>54</v>
      </c>
      <c r="J1260">
        <f>(Cocina[[#This Row],[Precio Unitario]]-Cocina[[#This Row],[Costo Unitario]])*Cocina[[#This Row],[Cantidad Ordenada]]</f>
        <v>24</v>
      </c>
      <c r="K1260" s="4">
        <f>Cocina[[#This Row],[Ganancia neta]]/_xlfn.XLOOKUP(Cocina[[#This Row],[Número de Orden]],Sala[Número de Orden],Sala[Monto total],"fracaso",0,1)</f>
        <v>0.44444444444444442</v>
      </c>
      <c r="L1260" t="s">
        <v>608</v>
      </c>
    </row>
    <row r="1261" spans="1:12" x14ac:dyDescent="0.25">
      <c r="A1261">
        <v>514</v>
      </c>
      <c r="B1261">
        <v>18</v>
      </c>
      <c r="C1261" t="s">
        <v>155</v>
      </c>
      <c r="D1261" t="s">
        <v>636</v>
      </c>
      <c r="E1261">
        <v>15</v>
      </c>
      <c r="F1261">
        <v>26</v>
      </c>
      <c r="G1261">
        <v>2</v>
      </c>
      <c r="H1261">
        <v>21</v>
      </c>
      <c r="I1261">
        <f>Cocina[[#This Row],[Precio Unitario]]*Cocina[[#This Row],[Cantidad Ordenada]]</f>
        <v>52</v>
      </c>
      <c r="J1261">
        <f>(Cocina[[#This Row],[Precio Unitario]]-Cocina[[#This Row],[Costo Unitario]])*Cocina[[#This Row],[Cantidad Ordenada]]</f>
        <v>22</v>
      </c>
      <c r="K1261" s="4">
        <f>Cocina[[#This Row],[Ganancia neta]]/_xlfn.XLOOKUP(Cocina[[#This Row],[Número de Orden]],Sala[Número de Orden],Sala[Monto total],"fracaso",0,1)</f>
        <v>0.12643678160919541</v>
      </c>
      <c r="L1261" t="s">
        <v>607</v>
      </c>
    </row>
    <row r="1262" spans="1:12" x14ac:dyDescent="0.25">
      <c r="A1262">
        <v>514</v>
      </c>
      <c r="B1262">
        <v>18</v>
      </c>
      <c r="C1262" t="s">
        <v>112</v>
      </c>
      <c r="D1262" t="s">
        <v>627</v>
      </c>
      <c r="E1262">
        <v>11</v>
      </c>
      <c r="F1262">
        <v>19</v>
      </c>
      <c r="G1262">
        <v>2</v>
      </c>
      <c r="H1262">
        <v>56</v>
      </c>
      <c r="I1262">
        <f>Cocina[[#This Row],[Precio Unitario]]*Cocina[[#This Row],[Cantidad Ordenada]]</f>
        <v>38</v>
      </c>
      <c r="J1262">
        <f>(Cocina[[#This Row],[Precio Unitario]]-Cocina[[#This Row],[Costo Unitario]])*Cocina[[#This Row],[Cantidad Ordenada]]</f>
        <v>16</v>
      </c>
      <c r="K1262" s="4">
        <f>Cocina[[#This Row],[Ganancia neta]]/_xlfn.XLOOKUP(Cocina[[#This Row],[Número de Orden]],Sala[Número de Orden],Sala[Monto total],"fracaso",0,1)</f>
        <v>9.1954022988505746E-2</v>
      </c>
      <c r="L1262" t="s">
        <v>608</v>
      </c>
    </row>
    <row r="1263" spans="1:12" x14ac:dyDescent="0.25">
      <c r="A1263">
        <v>514</v>
      </c>
      <c r="B1263">
        <v>18</v>
      </c>
      <c r="C1263" t="s">
        <v>146</v>
      </c>
      <c r="D1263" t="s">
        <v>632</v>
      </c>
      <c r="E1263">
        <v>12</v>
      </c>
      <c r="F1263">
        <v>20</v>
      </c>
      <c r="G1263">
        <v>1</v>
      </c>
      <c r="H1263">
        <v>25</v>
      </c>
      <c r="I1263">
        <f>Cocina[[#This Row],[Precio Unitario]]*Cocina[[#This Row],[Cantidad Ordenada]]</f>
        <v>20</v>
      </c>
      <c r="J1263">
        <f>(Cocina[[#This Row],[Precio Unitario]]-Cocina[[#This Row],[Costo Unitario]])*Cocina[[#This Row],[Cantidad Ordenada]]</f>
        <v>8</v>
      </c>
      <c r="K1263" s="4">
        <f>Cocina[[#This Row],[Ganancia neta]]/_xlfn.XLOOKUP(Cocina[[#This Row],[Número de Orden]],Sala[Número de Orden],Sala[Monto total],"fracaso",0,1)</f>
        <v>4.5977011494252873E-2</v>
      </c>
      <c r="L1263" t="s">
        <v>608</v>
      </c>
    </row>
    <row r="1264" spans="1:12" x14ac:dyDescent="0.25">
      <c r="A1264">
        <v>514</v>
      </c>
      <c r="B1264">
        <v>18</v>
      </c>
      <c r="C1264" t="s">
        <v>247</v>
      </c>
      <c r="D1264" t="s">
        <v>629</v>
      </c>
      <c r="E1264">
        <v>19</v>
      </c>
      <c r="F1264">
        <v>32</v>
      </c>
      <c r="G1264">
        <v>2</v>
      </c>
      <c r="H1264">
        <v>10</v>
      </c>
      <c r="I1264">
        <f>Cocina[[#This Row],[Precio Unitario]]*Cocina[[#This Row],[Cantidad Ordenada]]</f>
        <v>64</v>
      </c>
      <c r="J1264">
        <f>(Cocina[[#This Row],[Precio Unitario]]-Cocina[[#This Row],[Costo Unitario]])*Cocina[[#This Row],[Cantidad Ordenada]]</f>
        <v>26</v>
      </c>
      <c r="K1264" s="4">
        <f>Cocina[[#This Row],[Ganancia neta]]/_xlfn.XLOOKUP(Cocina[[#This Row],[Número de Orden]],Sala[Número de Orden],Sala[Monto total],"fracaso",0,1)</f>
        <v>0.14942528735632185</v>
      </c>
      <c r="L1264" t="s">
        <v>607</v>
      </c>
    </row>
    <row r="1265" spans="1:12" x14ac:dyDescent="0.25">
      <c r="A1265">
        <v>515</v>
      </c>
      <c r="B1265">
        <v>19</v>
      </c>
      <c r="C1265" t="s">
        <v>79</v>
      </c>
      <c r="D1265" t="s">
        <v>635</v>
      </c>
      <c r="E1265">
        <v>10</v>
      </c>
      <c r="F1265">
        <v>18</v>
      </c>
      <c r="G1265">
        <v>1</v>
      </c>
      <c r="H1265">
        <v>13</v>
      </c>
      <c r="I1265">
        <f>Cocina[[#This Row],[Precio Unitario]]*Cocina[[#This Row],[Cantidad Ordenada]]</f>
        <v>18</v>
      </c>
      <c r="J1265">
        <f>(Cocina[[#This Row],[Precio Unitario]]-Cocina[[#This Row],[Costo Unitario]])*Cocina[[#This Row],[Cantidad Ordenada]]</f>
        <v>8</v>
      </c>
      <c r="K1265" s="4">
        <f>Cocina[[#This Row],[Ganancia neta]]/_xlfn.XLOOKUP(Cocina[[#This Row],[Número de Orden]],Sala[Número de Orden],Sala[Monto total],"fracaso",0,1)</f>
        <v>0.44444444444444442</v>
      </c>
      <c r="L1265" t="s">
        <v>608</v>
      </c>
    </row>
    <row r="1266" spans="1:12" x14ac:dyDescent="0.25">
      <c r="A1266">
        <v>516</v>
      </c>
      <c r="B1266">
        <v>7</v>
      </c>
      <c r="C1266" t="s">
        <v>112</v>
      </c>
      <c r="D1266" t="s">
        <v>627</v>
      </c>
      <c r="E1266">
        <v>11</v>
      </c>
      <c r="F1266">
        <v>19</v>
      </c>
      <c r="G1266">
        <v>3</v>
      </c>
      <c r="H1266">
        <v>43</v>
      </c>
      <c r="I1266">
        <f>Cocina[[#This Row],[Precio Unitario]]*Cocina[[#This Row],[Cantidad Ordenada]]</f>
        <v>57</v>
      </c>
      <c r="J1266">
        <f>(Cocina[[#This Row],[Precio Unitario]]-Cocina[[#This Row],[Costo Unitario]])*Cocina[[#This Row],[Cantidad Ordenada]]</f>
        <v>24</v>
      </c>
      <c r="K1266" s="4">
        <f>Cocina[[#This Row],[Ganancia neta]]/_xlfn.XLOOKUP(Cocina[[#This Row],[Número de Orden]],Sala[Número de Orden],Sala[Monto total],"fracaso",0,1)</f>
        <v>0.16438356164383561</v>
      </c>
      <c r="L1266" t="s">
        <v>607</v>
      </c>
    </row>
    <row r="1267" spans="1:12" x14ac:dyDescent="0.25">
      <c r="A1267">
        <v>516</v>
      </c>
      <c r="B1267">
        <v>7</v>
      </c>
      <c r="C1267" t="s">
        <v>200</v>
      </c>
      <c r="D1267" t="s">
        <v>633</v>
      </c>
      <c r="E1267">
        <v>14</v>
      </c>
      <c r="F1267">
        <v>23</v>
      </c>
      <c r="G1267">
        <v>3</v>
      </c>
      <c r="H1267">
        <v>40</v>
      </c>
      <c r="I1267">
        <f>Cocina[[#This Row],[Precio Unitario]]*Cocina[[#This Row],[Cantidad Ordenada]]</f>
        <v>69</v>
      </c>
      <c r="J1267">
        <f>(Cocina[[#This Row],[Precio Unitario]]-Cocina[[#This Row],[Costo Unitario]])*Cocina[[#This Row],[Cantidad Ordenada]]</f>
        <v>27</v>
      </c>
      <c r="K1267" s="4">
        <f>Cocina[[#This Row],[Ganancia neta]]/_xlfn.XLOOKUP(Cocina[[#This Row],[Número de Orden]],Sala[Número de Orden],Sala[Monto total],"fracaso",0,1)</f>
        <v>0.18493150684931506</v>
      </c>
      <c r="L1267" t="s">
        <v>607</v>
      </c>
    </row>
    <row r="1268" spans="1:12" x14ac:dyDescent="0.25">
      <c r="A1268">
        <v>516</v>
      </c>
      <c r="B1268">
        <v>7</v>
      </c>
      <c r="C1268" t="s">
        <v>146</v>
      </c>
      <c r="D1268" t="s">
        <v>632</v>
      </c>
      <c r="E1268">
        <v>12</v>
      </c>
      <c r="F1268">
        <v>20</v>
      </c>
      <c r="G1268">
        <v>1</v>
      </c>
      <c r="H1268">
        <v>14</v>
      </c>
      <c r="I1268">
        <f>Cocina[[#This Row],[Precio Unitario]]*Cocina[[#This Row],[Cantidad Ordenada]]</f>
        <v>20</v>
      </c>
      <c r="J1268">
        <f>(Cocina[[#This Row],[Precio Unitario]]-Cocina[[#This Row],[Costo Unitario]])*Cocina[[#This Row],[Cantidad Ordenada]]</f>
        <v>8</v>
      </c>
      <c r="K1268" s="4">
        <f>Cocina[[#This Row],[Ganancia neta]]/_xlfn.XLOOKUP(Cocina[[#This Row],[Número de Orden]],Sala[Número de Orden],Sala[Monto total],"fracaso",0,1)</f>
        <v>5.4794520547945202E-2</v>
      </c>
      <c r="L1268" t="s">
        <v>607</v>
      </c>
    </row>
    <row r="1269" spans="1:12" x14ac:dyDescent="0.25">
      <c r="A1269">
        <v>517</v>
      </c>
      <c r="B1269">
        <v>4</v>
      </c>
      <c r="C1269" t="s">
        <v>158</v>
      </c>
      <c r="D1269" t="s">
        <v>617</v>
      </c>
      <c r="E1269">
        <v>14</v>
      </c>
      <c r="F1269">
        <v>24</v>
      </c>
      <c r="G1269">
        <v>1</v>
      </c>
      <c r="H1269">
        <v>6</v>
      </c>
      <c r="I1269">
        <f>Cocina[[#This Row],[Precio Unitario]]*Cocina[[#This Row],[Cantidad Ordenada]]</f>
        <v>24</v>
      </c>
      <c r="J1269">
        <f>(Cocina[[#This Row],[Precio Unitario]]-Cocina[[#This Row],[Costo Unitario]])*Cocina[[#This Row],[Cantidad Ordenada]]</f>
        <v>10</v>
      </c>
      <c r="K1269" s="4">
        <f>Cocina[[#This Row],[Ganancia neta]]/_xlfn.XLOOKUP(Cocina[[#This Row],[Número de Orden]],Sala[Número de Orden],Sala[Monto total],"fracaso",0,1)</f>
        <v>9.7087378640776698E-2</v>
      </c>
      <c r="L1269" t="s">
        <v>607</v>
      </c>
    </row>
    <row r="1270" spans="1:12" x14ac:dyDescent="0.25">
      <c r="A1270">
        <v>517</v>
      </c>
      <c r="B1270">
        <v>4</v>
      </c>
      <c r="C1270" t="s">
        <v>112</v>
      </c>
      <c r="D1270" t="s">
        <v>627</v>
      </c>
      <c r="E1270">
        <v>11</v>
      </c>
      <c r="F1270">
        <v>19</v>
      </c>
      <c r="G1270">
        <v>3</v>
      </c>
      <c r="H1270">
        <v>44</v>
      </c>
      <c r="I1270">
        <f>Cocina[[#This Row],[Precio Unitario]]*Cocina[[#This Row],[Cantidad Ordenada]]</f>
        <v>57</v>
      </c>
      <c r="J1270">
        <f>(Cocina[[#This Row],[Precio Unitario]]-Cocina[[#This Row],[Costo Unitario]])*Cocina[[#This Row],[Cantidad Ordenada]]</f>
        <v>24</v>
      </c>
      <c r="K1270" s="4">
        <f>Cocina[[#This Row],[Ganancia neta]]/_xlfn.XLOOKUP(Cocina[[#This Row],[Número de Orden]],Sala[Número de Orden],Sala[Monto total],"fracaso",0,1)</f>
        <v>0.23300970873786409</v>
      </c>
      <c r="L1270" t="s">
        <v>607</v>
      </c>
    </row>
    <row r="1271" spans="1:12" x14ac:dyDescent="0.25">
      <c r="A1271">
        <v>517</v>
      </c>
      <c r="B1271">
        <v>4</v>
      </c>
      <c r="C1271" t="s">
        <v>203</v>
      </c>
      <c r="D1271" t="s">
        <v>630</v>
      </c>
      <c r="E1271">
        <v>13</v>
      </c>
      <c r="F1271">
        <v>22</v>
      </c>
      <c r="G1271">
        <v>1</v>
      </c>
      <c r="H1271">
        <v>15</v>
      </c>
      <c r="I1271">
        <f>Cocina[[#This Row],[Precio Unitario]]*Cocina[[#This Row],[Cantidad Ordenada]]</f>
        <v>22</v>
      </c>
      <c r="J1271">
        <f>(Cocina[[#This Row],[Precio Unitario]]-Cocina[[#This Row],[Costo Unitario]])*Cocina[[#This Row],[Cantidad Ordenada]]</f>
        <v>9</v>
      </c>
      <c r="K1271" s="4">
        <f>Cocina[[#This Row],[Ganancia neta]]/_xlfn.XLOOKUP(Cocina[[#This Row],[Número de Orden]],Sala[Número de Orden],Sala[Monto total],"fracaso",0,1)</f>
        <v>8.7378640776699032E-2</v>
      </c>
      <c r="L1271" t="s">
        <v>608</v>
      </c>
    </row>
    <row r="1272" spans="1:12" x14ac:dyDescent="0.25">
      <c r="A1272">
        <v>518</v>
      </c>
      <c r="B1272">
        <v>5</v>
      </c>
      <c r="C1272" t="s">
        <v>261</v>
      </c>
      <c r="D1272" t="s">
        <v>625</v>
      </c>
      <c r="E1272">
        <v>20</v>
      </c>
      <c r="F1272">
        <v>33</v>
      </c>
      <c r="G1272">
        <v>1</v>
      </c>
      <c r="H1272">
        <v>48</v>
      </c>
      <c r="I1272">
        <f>Cocina[[#This Row],[Precio Unitario]]*Cocina[[#This Row],[Cantidad Ordenada]]</f>
        <v>33</v>
      </c>
      <c r="J1272">
        <f>(Cocina[[#This Row],[Precio Unitario]]-Cocina[[#This Row],[Costo Unitario]])*Cocina[[#This Row],[Cantidad Ordenada]]</f>
        <v>13</v>
      </c>
      <c r="K1272" s="4">
        <f>Cocina[[#This Row],[Ganancia neta]]/_xlfn.XLOOKUP(Cocina[[#This Row],[Número de Orden]],Sala[Número de Orden],Sala[Monto total],"fracaso",0,1)</f>
        <v>0.16883116883116883</v>
      </c>
      <c r="L1272" t="s">
        <v>607</v>
      </c>
    </row>
    <row r="1273" spans="1:12" x14ac:dyDescent="0.25">
      <c r="A1273">
        <v>518</v>
      </c>
      <c r="B1273">
        <v>5</v>
      </c>
      <c r="C1273" t="s">
        <v>203</v>
      </c>
      <c r="D1273" t="s">
        <v>630</v>
      </c>
      <c r="E1273">
        <v>13</v>
      </c>
      <c r="F1273">
        <v>22</v>
      </c>
      <c r="G1273">
        <v>2</v>
      </c>
      <c r="H1273">
        <v>5</v>
      </c>
      <c r="I1273">
        <f>Cocina[[#This Row],[Precio Unitario]]*Cocina[[#This Row],[Cantidad Ordenada]]</f>
        <v>44</v>
      </c>
      <c r="J1273">
        <f>(Cocina[[#This Row],[Precio Unitario]]-Cocina[[#This Row],[Costo Unitario]])*Cocina[[#This Row],[Cantidad Ordenada]]</f>
        <v>18</v>
      </c>
      <c r="K1273" s="4">
        <f>Cocina[[#This Row],[Ganancia neta]]/_xlfn.XLOOKUP(Cocina[[#This Row],[Número de Orden]],Sala[Número de Orden],Sala[Monto total],"fracaso",0,1)</f>
        <v>0.23376623376623376</v>
      </c>
      <c r="L1273" t="s">
        <v>608</v>
      </c>
    </row>
    <row r="1274" spans="1:12" x14ac:dyDescent="0.25">
      <c r="A1274">
        <v>519</v>
      </c>
      <c r="B1274">
        <v>6</v>
      </c>
      <c r="C1274" t="s">
        <v>106</v>
      </c>
      <c r="D1274" t="s">
        <v>621</v>
      </c>
      <c r="E1274">
        <v>16</v>
      </c>
      <c r="F1274">
        <v>27</v>
      </c>
      <c r="G1274">
        <v>3</v>
      </c>
      <c r="H1274">
        <v>49</v>
      </c>
      <c r="I1274">
        <f>Cocina[[#This Row],[Precio Unitario]]*Cocina[[#This Row],[Cantidad Ordenada]]</f>
        <v>81</v>
      </c>
      <c r="J1274">
        <f>(Cocina[[#This Row],[Precio Unitario]]-Cocina[[#This Row],[Costo Unitario]])*Cocina[[#This Row],[Cantidad Ordenada]]</f>
        <v>33</v>
      </c>
      <c r="K1274" s="4">
        <f>Cocina[[#This Row],[Ganancia neta]]/_xlfn.XLOOKUP(Cocina[[#This Row],[Número de Orden]],Sala[Número de Orden],Sala[Monto total],"fracaso",0,1)</f>
        <v>0.13469387755102041</v>
      </c>
      <c r="L1274" t="s">
        <v>607</v>
      </c>
    </row>
    <row r="1275" spans="1:12" x14ac:dyDescent="0.25">
      <c r="A1275">
        <v>519</v>
      </c>
      <c r="B1275">
        <v>6</v>
      </c>
      <c r="C1275" t="s">
        <v>48</v>
      </c>
      <c r="D1275" t="s">
        <v>622</v>
      </c>
      <c r="E1275">
        <v>25</v>
      </c>
      <c r="F1275">
        <v>40</v>
      </c>
      <c r="G1275">
        <v>3</v>
      </c>
      <c r="H1275">
        <v>51</v>
      </c>
      <c r="I1275">
        <f>Cocina[[#This Row],[Precio Unitario]]*Cocina[[#This Row],[Cantidad Ordenada]]</f>
        <v>120</v>
      </c>
      <c r="J1275">
        <f>(Cocina[[#This Row],[Precio Unitario]]-Cocina[[#This Row],[Costo Unitario]])*Cocina[[#This Row],[Cantidad Ordenada]]</f>
        <v>45</v>
      </c>
      <c r="K1275" s="4">
        <f>Cocina[[#This Row],[Ganancia neta]]/_xlfn.XLOOKUP(Cocina[[#This Row],[Número de Orden]],Sala[Número de Orden],Sala[Monto total],"fracaso",0,1)</f>
        <v>0.18367346938775511</v>
      </c>
      <c r="L1275" t="s">
        <v>608</v>
      </c>
    </row>
    <row r="1276" spans="1:12" x14ac:dyDescent="0.25">
      <c r="A1276">
        <v>519</v>
      </c>
      <c r="B1276">
        <v>6</v>
      </c>
      <c r="C1276" t="s">
        <v>203</v>
      </c>
      <c r="D1276" t="s">
        <v>630</v>
      </c>
      <c r="E1276">
        <v>13</v>
      </c>
      <c r="F1276">
        <v>22</v>
      </c>
      <c r="G1276">
        <v>2</v>
      </c>
      <c r="H1276">
        <v>56</v>
      </c>
      <c r="I1276">
        <f>Cocina[[#This Row],[Precio Unitario]]*Cocina[[#This Row],[Cantidad Ordenada]]</f>
        <v>44</v>
      </c>
      <c r="J1276">
        <f>(Cocina[[#This Row],[Precio Unitario]]-Cocina[[#This Row],[Costo Unitario]])*Cocina[[#This Row],[Cantidad Ordenada]]</f>
        <v>18</v>
      </c>
      <c r="K1276" s="4">
        <f>Cocina[[#This Row],[Ganancia neta]]/_xlfn.XLOOKUP(Cocina[[#This Row],[Número de Orden]],Sala[Número de Orden],Sala[Monto total],"fracaso",0,1)</f>
        <v>7.3469387755102047E-2</v>
      </c>
      <c r="L1276" t="s">
        <v>607</v>
      </c>
    </row>
    <row r="1277" spans="1:12" x14ac:dyDescent="0.25">
      <c r="A1277">
        <v>520</v>
      </c>
      <c r="B1277">
        <v>4</v>
      </c>
      <c r="C1277" t="s">
        <v>38</v>
      </c>
      <c r="D1277" t="s">
        <v>624</v>
      </c>
      <c r="E1277">
        <v>17</v>
      </c>
      <c r="F1277">
        <v>29</v>
      </c>
      <c r="G1277">
        <v>1</v>
      </c>
      <c r="H1277">
        <v>46</v>
      </c>
      <c r="I1277">
        <f>Cocina[[#This Row],[Precio Unitario]]*Cocina[[#This Row],[Cantidad Ordenada]]</f>
        <v>29</v>
      </c>
      <c r="J1277">
        <f>(Cocina[[#This Row],[Precio Unitario]]-Cocina[[#This Row],[Costo Unitario]])*Cocina[[#This Row],[Cantidad Ordenada]]</f>
        <v>12</v>
      </c>
      <c r="K1277" s="4">
        <f>Cocina[[#This Row],[Ganancia neta]]/_xlfn.XLOOKUP(Cocina[[#This Row],[Número de Orden]],Sala[Número de Orden],Sala[Monto total],"fracaso",0,1)</f>
        <v>4.2857142857142858E-2</v>
      </c>
      <c r="L1277" t="s">
        <v>607</v>
      </c>
    </row>
    <row r="1278" spans="1:12" x14ac:dyDescent="0.25">
      <c r="A1278">
        <v>520</v>
      </c>
      <c r="B1278">
        <v>4</v>
      </c>
      <c r="C1278" t="s">
        <v>55</v>
      </c>
      <c r="D1278" t="s">
        <v>631</v>
      </c>
      <c r="E1278">
        <v>20</v>
      </c>
      <c r="F1278">
        <v>34</v>
      </c>
      <c r="G1278">
        <v>2</v>
      </c>
      <c r="H1278">
        <v>21</v>
      </c>
      <c r="I1278">
        <f>Cocina[[#This Row],[Precio Unitario]]*Cocina[[#This Row],[Cantidad Ordenada]]</f>
        <v>68</v>
      </c>
      <c r="J1278">
        <f>(Cocina[[#This Row],[Precio Unitario]]-Cocina[[#This Row],[Costo Unitario]])*Cocina[[#This Row],[Cantidad Ordenada]]</f>
        <v>28</v>
      </c>
      <c r="K1278" s="4">
        <f>Cocina[[#This Row],[Ganancia neta]]/_xlfn.XLOOKUP(Cocina[[#This Row],[Número de Orden]],Sala[Número de Orden],Sala[Monto total],"fracaso",0,1)</f>
        <v>0.1</v>
      </c>
      <c r="L1278" t="s">
        <v>607</v>
      </c>
    </row>
    <row r="1279" spans="1:12" x14ac:dyDescent="0.25">
      <c r="A1279">
        <v>520</v>
      </c>
      <c r="B1279">
        <v>4</v>
      </c>
      <c r="C1279" t="s">
        <v>116</v>
      </c>
      <c r="D1279" t="s">
        <v>620</v>
      </c>
      <c r="E1279">
        <v>19</v>
      </c>
      <c r="F1279">
        <v>31</v>
      </c>
      <c r="G1279">
        <v>3</v>
      </c>
      <c r="H1279">
        <v>22</v>
      </c>
      <c r="I1279">
        <f>Cocina[[#This Row],[Precio Unitario]]*Cocina[[#This Row],[Cantidad Ordenada]]</f>
        <v>93</v>
      </c>
      <c r="J1279">
        <f>(Cocina[[#This Row],[Precio Unitario]]-Cocina[[#This Row],[Costo Unitario]])*Cocina[[#This Row],[Cantidad Ordenada]]</f>
        <v>36</v>
      </c>
      <c r="K1279" s="4">
        <f>Cocina[[#This Row],[Ganancia neta]]/_xlfn.XLOOKUP(Cocina[[#This Row],[Número de Orden]],Sala[Número de Orden],Sala[Monto total],"fracaso",0,1)</f>
        <v>0.12857142857142856</v>
      </c>
      <c r="L1279" t="s">
        <v>608</v>
      </c>
    </row>
    <row r="1280" spans="1:12" x14ac:dyDescent="0.25">
      <c r="A1280">
        <v>520</v>
      </c>
      <c r="B1280">
        <v>4</v>
      </c>
      <c r="C1280" t="s">
        <v>68</v>
      </c>
      <c r="D1280" t="s">
        <v>619</v>
      </c>
      <c r="E1280">
        <v>18</v>
      </c>
      <c r="F1280">
        <v>30</v>
      </c>
      <c r="G1280">
        <v>3</v>
      </c>
      <c r="H1280">
        <v>32</v>
      </c>
      <c r="I1280">
        <f>Cocina[[#This Row],[Precio Unitario]]*Cocina[[#This Row],[Cantidad Ordenada]]</f>
        <v>90</v>
      </c>
      <c r="J1280">
        <f>(Cocina[[#This Row],[Precio Unitario]]-Cocina[[#This Row],[Costo Unitario]])*Cocina[[#This Row],[Cantidad Ordenada]]</f>
        <v>36</v>
      </c>
      <c r="K1280" s="4">
        <f>Cocina[[#This Row],[Ganancia neta]]/_xlfn.XLOOKUP(Cocina[[#This Row],[Número de Orden]],Sala[Número de Orden],Sala[Monto total],"fracaso",0,1)</f>
        <v>0.12857142857142856</v>
      </c>
      <c r="L1280" t="s">
        <v>607</v>
      </c>
    </row>
    <row r="1281" spans="1:12" x14ac:dyDescent="0.25">
      <c r="A1281">
        <v>521</v>
      </c>
      <c r="B1281">
        <v>18</v>
      </c>
      <c r="C1281" t="s">
        <v>122</v>
      </c>
      <c r="D1281" t="s">
        <v>637</v>
      </c>
      <c r="E1281">
        <v>15</v>
      </c>
      <c r="F1281">
        <v>25</v>
      </c>
      <c r="G1281">
        <v>2</v>
      </c>
      <c r="H1281">
        <v>52</v>
      </c>
      <c r="I1281">
        <f>Cocina[[#This Row],[Precio Unitario]]*Cocina[[#This Row],[Cantidad Ordenada]]</f>
        <v>50</v>
      </c>
      <c r="J1281">
        <f>(Cocina[[#This Row],[Precio Unitario]]-Cocina[[#This Row],[Costo Unitario]])*Cocina[[#This Row],[Cantidad Ordenada]]</f>
        <v>20</v>
      </c>
      <c r="K1281" s="4">
        <f>Cocina[[#This Row],[Ganancia neta]]/_xlfn.XLOOKUP(Cocina[[#This Row],[Número de Orden]],Sala[Número de Orden],Sala[Monto total],"fracaso",0,1)</f>
        <v>9.5238095238095233E-2</v>
      </c>
      <c r="L1281" t="s">
        <v>608</v>
      </c>
    </row>
    <row r="1282" spans="1:12" x14ac:dyDescent="0.25">
      <c r="A1282">
        <v>521</v>
      </c>
      <c r="B1282">
        <v>18</v>
      </c>
      <c r="C1282" t="s">
        <v>38</v>
      </c>
      <c r="D1282" t="s">
        <v>624</v>
      </c>
      <c r="E1282">
        <v>17</v>
      </c>
      <c r="F1282">
        <v>29</v>
      </c>
      <c r="G1282">
        <v>2</v>
      </c>
      <c r="H1282">
        <v>18</v>
      </c>
      <c r="I1282">
        <f>Cocina[[#This Row],[Precio Unitario]]*Cocina[[#This Row],[Cantidad Ordenada]]</f>
        <v>58</v>
      </c>
      <c r="J1282">
        <f>(Cocina[[#This Row],[Precio Unitario]]-Cocina[[#This Row],[Costo Unitario]])*Cocina[[#This Row],[Cantidad Ordenada]]</f>
        <v>24</v>
      </c>
      <c r="K1282" s="4">
        <f>Cocina[[#This Row],[Ganancia neta]]/_xlfn.XLOOKUP(Cocina[[#This Row],[Número de Orden]],Sala[Número de Orden],Sala[Monto total],"fracaso",0,1)</f>
        <v>0.11428571428571428</v>
      </c>
      <c r="L1282" t="s">
        <v>607</v>
      </c>
    </row>
    <row r="1283" spans="1:12" x14ac:dyDescent="0.25">
      <c r="A1283">
        <v>521</v>
      </c>
      <c r="B1283">
        <v>18</v>
      </c>
      <c r="C1283" t="s">
        <v>55</v>
      </c>
      <c r="D1283" t="s">
        <v>631</v>
      </c>
      <c r="E1283">
        <v>20</v>
      </c>
      <c r="F1283">
        <v>34</v>
      </c>
      <c r="G1283">
        <v>3</v>
      </c>
      <c r="H1283">
        <v>21</v>
      </c>
      <c r="I1283">
        <f>Cocina[[#This Row],[Precio Unitario]]*Cocina[[#This Row],[Cantidad Ordenada]]</f>
        <v>102</v>
      </c>
      <c r="J1283">
        <f>(Cocina[[#This Row],[Precio Unitario]]-Cocina[[#This Row],[Costo Unitario]])*Cocina[[#This Row],[Cantidad Ordenada]]</f>
        <v>42</v>
      </c>
      <c r="K1283" s="4">
        <f>Cocina[[#This Row],[Ganancia neta]]/_xlfn.XLOOKUP(Cocina[[#This Row],[Número de Orden]],Sala[Número de Orden],Sala[Monto total],"fracaso",0,1)</f>
        <v>0.2</v>
      </c>
      <c r="L1283" t="s">
        <v>608</v>
      </c>
    </row>
    <row r="1284" spans="1:12" x14ac:dyDescent="0.25">
      <c r="A1284">
        <v>522</v>
      </c>
      <c r="B1284">
        <v>2</v>
      </c>
      <c r="C1284" t="s">
        <v>42</v>
      </c>
      <c r="D1284" t="s">
        <v>626</v>
      </c>
      <c r="E1284">
        <v>16</v>
      </c>
      <c r="F1284">
        <v>28</v>
      </c>
      <c r="G1284">
        <v>3</v>
      </c>
      <c r="H1284">
        <v>47</v>
      </c>
      <c r="I1284">
        <f>Cocina[[#This Row],[Precio Unitario]]*Cocina[[#This Row],[Cantidad Ordenada]]</f>
        <v>84</v>
      </c>
      <c r="J1284">
        <f>(Cocina[[#This Row],[Precio Unitario]]-Cocina[[#This Row],[Costo Unitario]])*Cocina[[#This Row],[Cantidad Ordenada]]</f>
        <v>36</v>
      </c>
      <c r="K1284" s="4">
        <f>Cocina[[#This Row],[Ganancia neta]]/_xlfn.XLOOKUP(Cocina[[#This Row],[Número de Orden]],Sala[Número de Orden],Sala[Monto total],"fracaso",0,1)</f>
        <v>0.42857142857142855</v>
      </c>
      <c r="L1284" t="s">
        <v>608</v>
      </c>
    </row>
    <row r="1285" spans="1:12" x14ac:dyDescent="0.25">
      <c r="A1285">
        <v>523</v>
      </c>
      <c r="B1285">
        <v>4</v>
      </c>
      <c r="C1285" t="s">
        <v>106</v>
      </c>
      <c r="D1285" t="s">
        <v>621</v>
      </c>
      <c r="E1285">
        <v>16</v>
      </c>
      <c r="F1285">
        <v>27</v>
      </c>
      <c r="G1285">
        <v>3</v>
      </c>
      <c r="H1285">
        <v>51</v>
      </c>
      <c r="I1285">
        <f>Cocina[[#This Row],[Precio Unitario]]*Cocina[[#This Row],[Cantidad Ordenada]]</f>
        <v>81</v>
      </c>
      <c r="J1285">
        <f>(Cocina[[#This Row],[Precio Unitario]]-Cocina[[#This Row],[Costo Unitario]])*Cocina[[#This Row],[Cantidad Ordenada]]</f>
        <v>33</v>
      </c>
      <c r="K1285" s="4">
        <f>Cocina[[#This Row],[Ganancia neta]]/_xlfn.XLOOKUP(Cocina[[#This Row],[Número de Orden]],Sala[Número de Orden],Sala[Monto total],"fracaso",0,1)</f>
        <v>0.40740740740740738</v>
      </c>
      <c r="L1285" t="s">
        <v>607</v>
      </c>
    </row>
    <row r="1286" spans="1:12" x14ac:dyDescent="0.25">
      <c r="A1286">
        <v>524</v>
      </c>
      <c r="B1286">
        <v>16</v>
      </c>
      <c r="C1286" t="s">
        <v>203</v>
      </c>
      <c r="D1286" t="s">
        <v>630</v>
      </c>
      <c r="E1286">
        <v>13</v>
      </c>
      <c r="F1286">
        <v>22</v>
      </c>
      <c r="G1286">
        <v>1</v>
      </c>
      <c r="H1286">
        <v>46</v>
      </c>
      <c r="I1286">
        <f>Cocina[[#This Row],[Precio Unitario]]*Cocina[[#This Row],[Cantidad Ordenada]]</f>
        <v>22</v>
      </c>
      <c r="J1286">
        <f>(Cocina[[#This Row],[Precio Unitario]]-Cocina[[#This Row],[Costo Unitario]])*Cocina[[#This Row],[Cantidad Ordenada]]</f>
        <v>9</v>
      </c>
      <c r="K1286" s="4">
        <f>Cocina[[#This Row],[Ganancia neta]]/_xlfn.XLOOKUP(Cocina[[#This Row],[Número de Orden]],Sala[Número de Orden],Sala[Monto total],"fracaso",0,1)</f>
        <v>0.11842105263157894</v>
      </c>
      <c r="L1286" t="s">
        <v>608</v>
      </c>
    </row>
    <row r="1287" spans="1:12" x14ac:dyDescent="0.25">
      <c r="A1287">
        <v>524</v>
      </c>
      <c r="B1287">
        <v>16</v>
      </c>
      <c r="C1287" t="s">
        <v>106</v>
      </c>
      <c r="D1287" t="s">
        <v>621</v>
      </c>
      <c r="E1287">
        <v>16</v>
      </c>
      <c r="F1287">
        <v>27</v>
      </c>
      <c r="G1287">
        <v>2</v>
      </c>
      <c r="H1287">
        <v>15</v>
      </c>
      <c r="I1287">
        <f>Cocina[[#This Row],[Precio Unitario]]*Cocina[[#This Row],[Cantidad Ordenada]]</f>
        <v>54</v>
      </c>
      <c r="J1287">
        <f>(Cocina[[#This Row],[Precio Unitario]]-Cocina[[#This Row],[Costo Unitario]])*Cocina[[#This Row],[Cantidad Ordenada]]</f>
        <v>22</v>
      </c>
      <c r="K1287" s="4">
        <f>Cocina[[#This Row],[Ganancia neta]]/_xlfn.XLOOKUP(Cocina[[#This Row],[Número de Orden]],Sala[Número de Orden],Sala[Monto total],"fracaso",0,1)</f>
        <v>0.28947368421052633</v>
      </c>
      <c r="L1287" t="s">
        <v>607</v>
      </c>
    </row>
    <row r="1288" spans="1:12" x14ac:dyDescent="0.25">
      <c r="A1288">
        <v>525</v>
      </c>
      <c r="B1288">
        <v>16</v>
      </c>
      <c r="C1288" t="s">
        <v>200</v>
      </c>
      <c r="D1288" t="s">
        <v>633</v>
      </c>
      <c r="E1288">
        <v>14</v>
      </c>
      <c r="F1288">
        <v>23</v>
      </c>
      <c r="G1288">
        <v>3</v>
      </c>
      <c r="H1288">
        <v>23</v>
      </c>
      <c r="I1288">
        <f>Cocina[[#This Row],[Precio Unitario]]*Cocina[[#This Row],[Cantidad Ordenada]]</f>
        <v>69</v>
      </c>
      <c r="J1288">
        <f>(Cocina[[#This Row],[Precio Unitario]]-Cocina[[#This Row],[Costo Unitario]])*Cocina[[#This Row],[Cantidad Ordenada]]</f>
        <v>27</v>
      </c>
      <c r="K1288" s="4">
        <f>Cocina[[#This Row],[Ganancia neta]]/_xlfn.XLOOKUP(Cocina[[#This Row],[Número de Orden]],Sala[Número de Orden],Sala[Monto total],"fracaso",0,1)</f>
        <v>0.13705583756345177</v>
      </c>
      <c r="L1288" t="s">
        <v>608</v>
      </c>
    </row>
    <row r="1289" spans="1:12" x14ac:dyDescent="0.25">
      <c r="A1289">
        <v>525</v>
      </c>
      <c r="B1289">
        <v>16</v>
      </c>
      <c r="C1289" t="s">
        <v>26</v>
      </c>
      <c r="D1289" t="s">
        <v>628</v>
      </c>
      <c r="E1289">
        <v>21</v>
      </c>
      <c r="F1289">
        <v>35</v>
      </c>
      <c r="G1289">
        <v>1</v>
      </c>
      <c r="H1289">
        <v>14</v>
      </c>
      <c r="I1289">
        <f>Cocina[[#This Row],[Precio Unitario]]*Cocina[[#This Row],[Cantidad Ordenada]]</f>
        <v>35</v>
      </c>
      <c r="J1289">
        <f>(Cocina[[#This Row],[Precio Unitario]]-Cocina[[#This Row],[Costo Unitario]])*Cocina[[#This Row],[Cantidad Ordenada]]</f>
        <v>14</v>
      </c>
      <c r="K1289" s="4">
        <f>Cocina[[#This Row],[Ganancia neta]]/_xlfn.XLOOKUP(Cocina[[#This Row],[Número de Orden]],Sala[Número de Orden],Sala[Monto total],"fracaso",0,1)</f>
        <v>7.1065989847715741E-2</v>
      </c>
      <c r="L1289" t="s">
        <v>607</v>
      </c>
    </row>
    <row r="1290" spans="1:12" x14ac:dyDescent="0.25">
      <c r="A1290">
        <v>525</v>
      </c>
      <c r="B1290">
        <v>16</v>
      </c>
      <c r="C1290" t="s">
        <v>116</v>
      </c>
      <c r="D1290" t="s">
        <v>620</v>
      </c>
      <c r="E1290">
        <v>19</v>
      </c>
      <c r="F1290">
        <v>31</v>
      </c>
      <c r="G1290">
        <v>3</v>
      </c>
      <c r="H1290">
        <v>40</v>
      </c>
      <c r="I1290">
        <f>Cocina[[#This Row],[Precio Unitario]]*Cocina[[#This Row],[Cantidad Ordenada]]</f>
        <v>93</v>
      </c>
      <c r="J1290">
        <f>(Cocina[[#This Row],[Precio Unitario]]-Cocina[[#This Row],[Costo Unitario]])*Cocina[[#This Row],[Cantidad Ordenada]]</f>
        <v>36</v>
      </c>
      <c r="K1290" s="4">
        <f>Cocina[[#This Row],[Ganancia neta]]/_xlfn.XLOOKUP(Cocina[[#This Row],[Número de Orden]],Sala[Número de Orden],Sala[Monto total],"fracaso",0,1)</f>
        <v>0.18274111675126903</v>
      </c>
      <c r="L1290" t="s">
        <v>608</v>
      </c>
    </row>
    <row r="1291" spans="1:12" x14ac:dyDescent="0.25">
      <c r="A1291">
        <v>526</v>
      </c>
      <c r="B1291">
        <v>4</v>
      </c>
      <c r="C1291" t="s">
        <v>261</v>
      </c>
      <c r="D1291" t="s">
        <v>625</v>
      </c>
      <c r="E1291">
        <v>20</v>
      </c>
      <c r="F1291">
        <v>33</v>
      </c>
      <c r="G1291">
        <v>1</v>
      </c>
      <c r="H1291">
        <v>22</v>
      </c>
      <c r="I1291">
        <f>Cocina[[#This Row],[Precio Unitario]]*Cocina[[#This Row],[Cantidad Ordenada]]</f>
        <v>33</v>
      </c>
      <c r="J1291">
        <f>(Cocina[[#This Row],[Precio Unitario]]-Cocina[[#This Row],[Costo Unitario]])*Cocina[[#This Row],[Cantidad Ordenada]]</f>
        <v>13</v>
      </c>
      <c r="K1291" s="4">
        <f>Cocina[[#This Row],[Ganancia neta]]/_xlfn.XLOOKUP(Cocina[[#This Row],[Número de Orden]],Sala[Número de Orden],Sala[Monto total],"fracaso",0,1)</f>
        <v>0.39393939393939392</v>
      </c>
      <c r="L1291" t="s">
        <v>607</v>
      </c>
    </row>
    <row r="1292" spans="1:12" x14ac:dyDescent="0.25">
      <c r="A1292">
        <v>527</v>
      </c>
      <c r="B1292">
        <v>19</v>
      </c>
      <c r="C1292" t="s">
        <v>106</v>
      </c>
      <c r="D1292" t="s">
        <v>621</v>
      </c>
      <c r="E1292">
        <v>16</v>
      </c>
      <c r="F1292">
        <v>27</v>
      </c>
      <c r="G1292">
        <v>2</v>
      </c>
      <c r="H1292">
        <v>31</v>
      </c>
      <c r="I1292">
        <f>Cocina[[#This Row],[Precio Unitario]]*Cocina[[#This Row],[Cantidad Ordenada]]</f>
        <v>54</v>
      </c>
      <c r="J1292">
        <f>(Cocina[[#This Row],[Precio Unitario]]-Cocina[[#This Row],[Costo Unitario]])*Cocina[[#This Row],[Cantidad Ordenada]]</f>
        <v>22</v>
      </c>
      <c r="K1292" s="4">
        <f>Cocina[[#This Row],[Ganancia neta]]/_xlfn.XLOOKUP(Cocina[[#This Row],[Número de Orden]],Sala[Número de Orden],Sala[Monto total],"fracaso",0,1)</f>
        <v>0.40740740740740738</v>
      </c>
      <c r="L1292" t="s">
        <v>607</v>
      </c>
    </row>
    <row r="1293" spans="1:12" x14ac:dyDescent="0.25">
      <c r="A1293">
        <v>528</v>
      </c>
      <c r="B1293">
        <v>14</v>
      </c>
      <c r="C1293" t="s">
        <v>146</v>
      </c>
      <c r="D1293" t="s">
        <v>632</v>
      </c>
      <c r="E1293">
        <v>12</v>
      </c>
      <c r="F1293">
        <v>20</v>
      </c>
      <c r="G1293">
        <v>1</v>
      </c>
      <c r="H1293">
        <v>29</v>
      </c>
      <c r="I1293">
        <f>Cocina[[#This Row],[Precio Unitario]]*Cocina[[#This Row],[Cantidad Ordenada]]</f>
        <v>20</v>
      </c>
      <c r="J1293">
        <f>(Cocina[[#This Row],[Precio Unitario]]-Cocina[[#This Row],[Costo Unitario]])*Cocina[[#This Row],[Cantidad Ordenada]]</f>
        <v>8</v>
      </c>
      <c r="K1293" s="4">
        <f>Cocina[[#This Row],[Ganancia neta]]/_xlfn.XLOOKUP(Cocina[[#This Row],[Número de Orden]],Sala[Número de Orden],Sala[Monto total],"fracaso",0,1)</f>
        <v>0.10256410256410256</v>
      </c>
      <c r="L1293" t="s">
        <v>607</v>
      </c>
    </row>
    <row r="1294" spans="1:12" x14ac:dyDescent="0.25">
      <c r="A1294">
        <v>528</v>
      </c>
      <c r="B1294">
        <v>14</v>
      </c>
      <c r="C1294" t="s">
        <v>48</v>
      </c>
      <c r="D1294" t="s">
        <v>622</v>
      </c>
      <c r="E1294">
        <v>25</v>
      </c>
      <c r="F1294">
        <v>40</v>
      </c>
      <c r="G1294">
        <v>1</v>
      </c>
      <c r="H1294">
        <v>47</v>
      </c>
      <c r="I1294">
        <f>Cocina[[#This Row],[Precio Unitario]]*Cocina[[#This Row],[Cantidad Ordenada]]</f>
        <v>40</v>
      </c>
      <c r="J1294">
        <f>(Cocina[[#This Row],[Precio Unitario]]-Cocina[[#This Row],[Costo Unitario]])*Cocina[[#This Row],[Cantidad Ordenada]]</f>
        <v>15</v>
      </c>
      <c r="K1294" s="4">
        <f>Cocina[[#This Row],[Ganancia neta]]/_xlfn.XLOOKUP(Cocina[[#This Row],[Número de Orden]],Sala[Número de Orden],Sala[Monto total],"fracaso",0,1)</f>
        <v>0.19230769230769232</v>
      </c>
      <c r="L1294" t="s">
        <v>607</v>
      </c>
    </row>
    <row r="1295" spans="1:12" x14ac:dyDescent="0.25">
      <c r="A1295">
        <v>528</v>
      </c>
      <c r="B1295">
        <v>14</v>
      </c>
      <c r="C1295" t="s">
        <v>79</v>
      </c>
      <c r="D1295" t="s">
        <v>635</v>
      </c>
      <c r="E1295">
        <v>10</v>
      </c>
      <c r="F1295">
        <v>18</v>
      </c>
      <c r="G1295">
        <v>1</v>
      </c>
      <c r="H1295">
        <v>45</v>
      </c>
      <c r="I1295">
        <f>Cocina[[#This Row],[Precio Unitario]]*Cocina[[#This Row],[Cantidad Ordenada]]</f>
        <v>18</v>
      </c>
      <c r="J1295">
        <f>(Cocina[[#This Row],[Precio Unitario]]-Cocina[[#This Row],[Costo Unitario]])*Cocina[[#This Row],[Cantidad Ordenada]]</f>
        <v>8</v>
      </c>
      <c r="K1295" s="4">
        <f>Cocina[[#This Row],[Ganancia neta]]/_xlfn.XLOOKUP(Cocina[[#This Row],[Número de Orden]],Sala[Número de Orden],Sala[Monto total],"fracaso",0,1)</f>
        <v>0.10256410256410256</v>
      </c>
      <c r="L1295" t="s">
        <v>608</v>
      </c>
    </row>
    <row r="1296" spans="1:12" x14ac:dyDescent="0.25">
      <c r="A1296">
        <v>529</v>
      </c>
      <c r="B1296">
        <v>1</v>
      </c>
      <c r="C1296" t="s">
        <v>55</v>
      </c>
      <c r="D1296" t="s">
        <v>631</v>
      </c>
      <c r="E1296">
        <v>20</v>
      </c>
      <c r="F1296">
        <v>34</v>
      </c>
      <c r="G1296">
        <v>1</v>
      </c>
      <c r="H1296">
        <v>24</v>
      </c>
      <c r="I1296">
        <f>Cocina[[#This Row],[Precio Unitario]]*Cocina[[#This Row],[Cantidad Ordenada]]</f>
        <v>34</v>
      </c>
      <c r="J1296">
        <f>(Cocina[[#This Row],[Precio Unitario]]-Cocina[[#This Row],[Costo Unitario]])*Cocina[[#This Row],[Cantidad Ordenada]]</f>
        <v>14</v>
      </c>
      <c r="K1296" s="4">
        <f>Cocina[[#This Row],[Ganancia neta]]/_xlfn.XLOOKUP(Cocina[[#This Row],[Número de Orden]],Sala[Número de Orden],Sala[Monto total],"fracaso",0,1)</f>
        <v>6.7307692307692304E-2</v>
      </c>
      <c r="L1296" t="s">
        <v>608</v>
      </c>
    </row>
    <row r="1297" spans="1:12" x14ac:dyDescent="0.25">
      <c r="A1297">
        <v>529</v>
      </c>
      <c r="B1297">
        <v>1</v>
      </c>
      <c r="C1297" t="s">
        <v>73</v>
      </c>
      <c r="D1297" t="s">
        <v>623</v>
      </c>
      <c r="E1297">
        <v>22</v>
      </c>
      <c r="F1297">
        <v>36</v>
      </c>
      <c r="G1297">
        <v>2</v>
      </c>
      <c r="H1297">
        <v>51</v>
      </c>
      <c r="I1297">
        <f>Cocina[[#This Row],[Precio Unitario]]*Cocina[[#This Row],[Cantidad Ordenada]]</f>
        <v>72</v>
      </c>
      <c r="J1297">
        <f>(Cocina[[#This Row],[Precio Unitario]]-Cocina[[#This Row],[Costo Unitario]])*Cocina[[#This Row],[Cantidad Ordenada]]</f>
        <v>28</v>
      </c>
      <c r="K1297" s="4">
        <f>Cocina[[#This Row],[Ganancia neta]]/_xlfn.XLOOKUP(Cocina[[#This Row],[Número de Orden]],Sala[Número de Orden],Sala[Monto total],"fracaso",0,1)</f>
        <v>0.13461538461538461</v>
      </c>
      <c r="L1297" t="s">
        <v>607</v>
      </c>
    </row>
    <row r="1298" spans="1:12" x14ac:dyDescent="0.25">
      <c r="A1298">
        <v>529</v>
      </c>
      <c r="B1298">
        <v>1</v>
      </c>
      <c r="C1298" t="s">
        <v>200</v>
      </c>
      <c r="D1298" t="s">
        <v>633</v>
      </c>
      <c r="E1298">
        <v>14</v>
      </c>
      <c r="F1298">
        <v>23</v>
      </c>
      <c r="G1298">
        <v>2</v>
      </c>
      <c r="H1298">
        <v>27</v>
      </c>
      <c r="I1298">
        <f>Cocina[[#This Row],[Precio Unitario]]*Cocina[[#This Row],[Cantidad Ordenada]]</f>
        <v>46</v>
      </c>
      <c r="J1298">
        <f>(Cocina[[#This Row],[Precio Unitario]]-Cocina[[#This Row],[Costo Unitario]])*Cocina[[#This Row],[Cantidad Ordenada]]</f>
        <v>18</v>
      </c>
      <c r="K1298" s="4">
        <f>Cocina[[#This Row],[Ganancia neta]]/_xlfn.XLOOKUP(Cocina[[#This Row],[Número de Orden]],Sala[Número de Orden],Sala[Monto total],"fracaso",0,1)</f>
        <v>8.6538461538461536E-2</v>
      </c>
      <c r="L1298" t="s">
        <v>608</v>
      </c>
    </row>
    <row r="1299" spans="1:12" x14ac:dyDescent="0.25">
      <c r="A1299">
        <v>529</v>
      </c>
      <c r="B1299">
        <v>1</v>
      </c>
      <c r="C1299" t="s">
        <v>42</v>
      </c>
      <c r="D1299" t="s">
        <v>626</v>
      </c>
      <c r="E1299">
        <v>16</v>
      </c>
      <c r="F1299">
        <v>28</v>
      </c>
      <c r="G1299">
        <v>2</v>
      </c>
      <c r="H1299">
        <v>55</v>
      </c>
      <c r="I1299">
        <f>Cocina[[#This Row],[Precio Unitario]]*Cocina[[#This Row],[Cantidad Ordenada]]</f>
        <v>56</v>
      </c>
      <c r="J1299">
        <f>(Cocina[[#This Row],[Precio Unitario]]-Cocina[[#This Row],[Costo Unitario]])*Cocina[[#This Row],[Cantidad Ordenada]]</f>
        <v>24</v>
      </c>
      <c r="K1299" s="4">
        <f>Cocina[[#This Row],[Ganancia neta]]/_xlfn.XLOOKUP(Cocina[[#This Row],[Número de Orden]],Sala[Número de Orden],Sala[Monto total],"fracaso",0,1)</f>
        <v>0.11538461538461539</v>
      </c>
      <c r="L1299" t="s">
        <v>607</v>
      </c>
    </row>
    <row r="1300" spans="1:12" x14ac:dyDescent="0.25">
      <c r="A1300">
        <v>530</v>
      </c>
      <c r="B1300">
        <v>7</v>
      </c>
      <c r="C1300" t="s">
        <v>79</v>
      </c>
      <c r="D1300" t="s">
        <v>635</v>
      </c>
      <c r="E1300">
        <v>10</v>
      </c>
      <c r="F1300">
        <v>18</v>
      </c>
      <c r="G1300">
        <v>3</v>
      </c>
      <c r="H1300">
        <v>37</v>
      </c>
      <c r="I1300">
        <f>Cocina[[#This Row],[Precio Unitario]]*Cocina[[#This Row],[Cantidad Ordenada]]</f>
        <v>54</v>
      </c>
      <c r="J1300">
        <f>(Cocina[[#This Row],[Precio Unitario]]-Cocina[[#This Row],[Costo Unitario]])*Cocina[[#This Row],[Cantidad Ordenada]]</f>
        <v>24</v>
      </c>
      <c r="K1300" s="4">
        <f>Cocina[[#This Row],[Ganancia neta]]/_xlfn.XLOOKUP(Cocina[[#This Row],[Número de Orden]],Sala[Número de Orden],Sala[Monto total],"fracaso",0,1)</f>
        <v>0.15</v>
      </c>
      <c r="L1300" t="s">
        <v>608</v>
      </c>
    </row>
    <row r="1301" spans="1:12" x14ac:dyDescent="0.25">
      <c r="A1301">
        <v>530</v>
      </c>
      <c r="B1301">
        <v>7</v>
      </c>
      <c r="C1301" t="s">
        <v>42</v>
      </c>
      <c r="D1301" t="s">
        <v>626</v>
      </c>
      <c r="E1301">
        <v>16</v>
      </c>
      <c r="F1301">
        <v>28</v>
      </c>
      <c r="G1301">
        <v>2</v>
      </c>
      <c r="H1301">
        <v>50</v>
      </c>
      <c r="I1301">
        <f>Cocina[[#This Row],[Precio Unitario]]*Cocina[[#This Row],[Cantidad Ordenada]]</f>
        <v>56</v>
      </c>
      <c r="J1301">
        <f>(Cocina[[#This Row],[Precio Unitario]]-Cocina[[#This Row],[Costo Unitario]])*Cocina[[#This Row],[Cantidad Ordenada]]</f>
        <v>24</v>
      </c>
      <c r="K1301" s="4">
        <f>Cocina[[#This Row],[Ganancia neta]]/_xlfn.XLOOKUP(Cocina[[#This Row],[Número de Orden]],Sala[Número de Orden],Sala[Monto total],"fracaso",0,1)</f>
        <v>0.15</v>
      </c>
      <c r="L1301" t="s">
        <v>608</v>
      </c>
    </row>
    <row r="1302" spans="1:12" x14ac:dyDescent="0.25">
      <c r="A1302">
        <v>530</v>
      </c>
      <c r="B1302">
        <v>7</v>
      </c>
      <c r="C1302" t="s">
        <v>122</v>
      </c>
      <c r="D1302" t="s">
        <v>637</v>
      </c>
      <c r="E1302">
        <v>15</v>
      </c>
      <c r="F1302">
        <v>25</v>
      </c>
      <c r="G1302">
        <v>2</v>
      </c>
      <c r="H1302">
        <v>19</v>
      </c>
      <c r="I1302">
        <f>Cocina[[#This Row],[Precio Unitario]]*Cocina[[#This Row],[Cantidad Ordenada]]</f>
        <v>50</v>
      </c>
      <c r="J1302">
        <f>(Cocina[[#This Row],[Precio Unitario]]-Cocina[[#This Row],[Costo Unitario]])*Cocina[[#This Row],[Cantidad Ordenada]]</f>
        <v>20</v>
      </c>
      <c r="K1302" s="4">
        <f>Cocina[[#This Row],[Ganancia neta]]/_xlfn.XLOOKUP(Cocina[[#This Row],[Número de Orden]],Sala[Número de Orden],Sala[Monto total],"fracaso",0,1)</f>
        <v>0.125</v>
      </c>
      <c r="L1302" t="s">
        <v>607</v>
      </c>
    </row>
    <row r="1303" spans="1:12" x14ac:dyDescent="0.25">
      <c r="A1303">
        <v>531</v>
      </c>
      <c r="B1303">
        <v>9</v>
      </c>
      <c r="C1303" t="s">
        <v>70</v>
      </c>
      <c r="D1303" t="s">
        <v>634</v>
      </c>
      <c r="E1303">
        <v>13</v>
      </c>
      <c r="F1303">
        <v>21</v>
      </c>
      <c r="G1303">
        <v>3</v>
      </c>
      <c r="H1303">
        <v>41</v>
      </c>
      <c r="I1303">
        <f>Cocina[[#This Row],[Precio Unitario]]*Cocina[[#This Row],[Cantidad Ordenada]]</f>
        <v>63</v>
      </c>
      <c r="J1303">
        <f>(Cocina[[#This Row],[Precio Unitario]]-Cocina[[#This Row],[Costo Unitario]])*Cocina[[#This Row],[Cantidad Ordenada]]</f>
        <v>24</v>
      </c>
      <c r="K1303" s="4">
        <f>Cocina[[#This Row],[Ganancia neta]]/_xlfn.XLOOKUP(Cocina[[#This Row],[Número de Orden]],Sala[Número de Orden],Sala[Monto total],"fracaso",0,1)</f>
        <v>9.8360655737704916E-2</v>
      </c>
      <c r="L1303" t="s">
        <v>607</v>
      </c>
    </row>
    <row r="1304" spans="1:12" x14ac:dyDescent="0.25">
      <c r="A1304">
        <v>531</v>
      </c>
      <c r="B1304">
        <v>9</v>
      </c>
      <c r="C1304" t="s">
        <v>48</v>
      </c>
      <c r="D1304" t="s">
        <v>622</v>
      </c>
      <c r="E1304">
        <v>25</v>
      </c>
      <c r="F1304">
        <v>40</v>
      </c>
      <c r="G1304">
        <v>1</v>
      </c>
      <c r="H1304">
        <v>43</v>
      </c>
      <c r="I1304">
        <f>Cocina[[#This Row],[Precio Unitario]]*Cocina[[#This Row],[Cantidad Ordenada]]</f>
        <v>40</v>
      </c>
      <c r="J1304">
        <f>(Cocina[[#This Row],[Precio Unitario]]-Cocina[[#This Row],[Costo Unitario]])*Cocina[[#This Row],[Cantidad Ordenada]]</f>
        <v>15</v>
      </c>
      <c r="K1304" s="4">
        <f>Cocina[[#This Row],[Ganancia neta]]/_xlfn.XLOOKUP(Cocina[[#This Row],[Número de Orden]],Sala[Número de Orden],Sala[Monto total],"fracaso",0,1)</f>
        <v>6.1475409836065573E-2</v>
      </c>
      <c r="L1304" t="s">
        <v>607</v>
      </c>
    </row>
    <row r="1305" spans="1:12" x14ac:dyDescent="0.25">
      <c r="A1305">
        <v>531</v>
      </c>
      <c r="B1305">
        <v>9</v>
      </c>
      <c r="C1305" t="s">
        <v>79</v>
      </c>
      <c r="D1305" t="s">
        <v>635</v>
      </c>
      <c r="E1305">
        <v>10</v>
      </c>
      <c r="F1305">
        <v>18</v>
      </c>
      <c r="G1305">
        <v>3</v>
      </c>
      <c r="H1305">
        <v>56</v>
      </c>
      <c r="I1305">
        <f>Cocina[[#This Row],[Precio Unitario]]*Cocina[[#This Row],[Cantidad Ordenada]]</f>
        <v>54</v>
      </c>
      <c r="J1305">
        <f>(Cocina[[#This Row],[Precio Unitario]]-Cocina[[#This Row],[Costo Unitario]])*Cocina[[#This Row],[Cantidad Ordenada]]</f>
        <v>24</v>
      </c>
      <c r="K1305" s="4">
        <f>Cocina[[#This Row],[Ganancia neta]]/_xlfn.XLOOKUP(Cocina[[#This Row],[Número de Orden]],Sala[Número de Orden],Sala[Monto total],"fracaso",0,1)</f>
        <v>9.8360655737704916E-2</v>
      </c>
      <c r="L1305" t="s">
        <v>608</v>
      </c>
    </row>
    <row r="1306" spans="1:12" x14ac:dyDescent="0.25">
      <c r="A1306">
        <v>531</v>
      </c>
      <c r="B1306">
        <v>9</v>
      </c>
      <c r="C1306" t="s">
        <v>38</v>
      </c>
      <c r="D1306" t="s">
        <v>624</v>
      </c>
      <c r="E1306">
        <v>17</v>
      </c>
      <c r="F1306">
        <v>29</v>
      </c>
      <c r="G1306">
        <v>3</v>
      </c>
      <c r="H1306">
        <v>59</v>
      </c>
      <c r="I1306">
        <f>Cocina[[#This Row],[Precio Unitario]]*Cocina[[#This Row],[Cantidad Ordenada]]</f>
        <v>87</v>
      </c>
      <c r="J1306">
        <f>(Cocina[[#This Row],[Precio Unitario]]-Cocina[[#This Row],[Costo Unitario]])*Cocina[[#This Row],[Cantidad Ordenada]]</f>
        <v>36</v>
      </c>
      <c r="K1306" s="4">
        <f>Cocina[[#This Row],[Ganancia neta]]/_xlfn.XLOOKUP(Cocina[[#This Row],[Número de Orden]],Sala[Número de Orden],Sala[Monto total],"fracaso",0,1)</f>
        <v>0.14754098360655737</v>
      </c>
      <c r="L1306" t="s">
        <v>608</v>
      </c>
    </row>
    <row r="1307" spans="1:12" x14ac:dyDescent="0.25">
      <c r="A1307">
        <v>532</v>
      </c>
      <c r="B1307">
        <v>13</v>
      </c>
      <c r="C1307" t="s">
        <v>70</v>
      </c>
      <c r="D1307" t="s">
        <v>634</v>
      </c>
      <c r="E1307">
        <v>13</v>
      </c>
      <c r="F1307">
        <v>21</v>
      </c>
      <c r="G1307">
        <v>1</v>
      </c>
      <c r="H1307">
        <v>24</v>
      </c>
      <c r="I1307">
        <f>Cocina[[#This Row],[Precio Unitario]]*Cocina[[#This Row],[Cantidad Ordenada]]</f>
        <v>21</v>
      </c>
      <c r="J1307">
        <f>(Cocina[[#This Row],[Precio Unitario]]-Cocina[[#This Row],[Costo Unitario]])*Cocina[[#This Row],[Cantidad Ordenada]]</f>
        <v>8</v>
      </c>
      <c r="K1307" s="4">
        <f>Cocina[[#This Row],[Ganancia neta]]/_xlfn.XLOOKUP(Cocina[[#This Row],[Número de Orden]],Sala[Número de Orden],Sala[Monto total],"fracaso",0,1)</f>
        <v>5.8394160583941604E-2</v>
      </c>
      <c r="L1307" t="s">
        <v>608</v>
      </c>
    </row>
    <row r="1308" spans="1:12" x14ac:dyDescent="0.25">
      <c r="A1308">
        <v>532</v>
      </c>
      <c r="B1308">
        <v>13</v>
      </c>
      <c r="C1308" t="s">
        <v>155</v>
      </c>
      <c r="D1308" t="s">
        <v>636</v>
      </c>
      <c r="E1308">
        <v>15</v>
      </c>
      <c r="F1308">
        <v>26</v>
      </c>
      <c r="G1308">
        <v>2</v>
      </c>
      <c r="H1308">
        <v>28</v>
      </c>
      <c r="I1308">
        <f>Cocina[[#This Row],[Precio Unitario]]*Cocina[[#This Row],[Cantidad Ordenada]]</f>
        <v>52</v>
      </c>
      <c r="J1308">
        <f>(Cocina[[#This Row],[Precio Unitario]]-Cocina[[#This Row],[Costo Unitario]])*Cocina[[#This Row],[Cantidad Ordenada]]</f>
        <v>22</v>
      </c>
      <c r="K1308" s="4">
        <f>Cocina[[#This Row],[Ganancia neta]]/_xlfn.XLOOKUP(Cocina[[#This Row],[Número de Orden]],Sala[Número de Orden],Sala[Monto total],"fracaso",0,1)</f>
        <v>0.16058394160583941</v>
      </c>
      <c r="L1308" t="s">
        <v>607</v>
      </c>
    </row>
    <row r="1309" spans="1:12" x14ac:dyDescent="0.25">
      <c r="A1309">
        <v>532</v>
      </c>
      <c r="B1309">
        <v>13</v>
      </c>
      <c r="C1309" t="s">
        <v>247</v>
      </c>
      <c r="D1309" t="s">
        <v>629</v>
      </c>
      <c r="E1309">
        <v>19</v>
      </c>
      <c r="F1309">
        <v>32</v>
      </c>
      <c r="G1309">
        <v>2</v>
      </c>
      <c r="H1309">
        <v>7</v>
      </c>
      <c r="I1309">
        <f>Cocina[[#This Row],[Precio Unitario]]*Cocina[[#This Row],[Cantidad Ordenada]]</f>
        <v>64</v>
      </c>
      <c r="J1309">
        <f>(Cocina[[#This Row],[Precio Unitario]]-Cocina[[#This Row],[Costo Unitario]])*Cocina[[#This Row],[Cantidad Ordenada]]</f>
        <v>26</v>
      </c>
      <c r="K1309" s="4">
        <f>Cocina[[#This Row],[Ganancia neta]]/_xlfn.XLOOKUP(Cocina[[#This Row],[Número de Orden]],Sala[Número de Orden],Sala[Monto total],"fracaso",0,1)</f>
        <v>0.18978102189781021</v>
      </c>
      <c r="L1309" t="s">
        <v>608</v>
      </c>
    </row>
    <row r="1310" spans="1:12" x14ac:dyDescent="0.25">
      <c r="A1310">
        <v>533</v>
      </c>
      <c r="B1310">
        <v>1</v>
      </c>
      <c r="C1310" t="s">
        <v>146</v>
      </c>
      <c r="D1310" t="s">
        <v>632</v>
      </c>
      <c r="E1310">
        <v>12</v>
      </c>
      <c r="F1310">
        <v>20</v>
      </c>
      <c r="G1310">
        <v>1</v>
      </c>
      <c r="H1310">
        <v>34</v>
      </c>
      <c r="I1310">
        <f>Cocina[[#This Row],[Precio Unitario]]*Cocina[[#This Row],[Cantidad Ordenada]]</f>
        <v>20</v>
      </c>
      <c r="J1310">
        <f>(Cocina[[#This Row],[Precio Unitario]]-Cocina[[#This Row],[Costo Unitario]])*Cocina[[#This Row],[Cantidad Ordenada]]</f>
        <v>8</v>
      </c>
      <c r="K1310" s="4">
        <f>Cocina[[#This Row],[Ganancia neta]]/_xlfn.XLOOKUP(Cocina[[#This Row],[Número de Orden]],Sala[Número de Orden],Sala[Monto total],"fracaso",0,1)</f>
        <v>0.1951219512195122</v>
      </c>
      <c r="L1310" t="s">
        <v>607</v>
      </c>
    </row>
    <row r="1311" spans="1:12" x14ac:dyDescent="0.25">
      <c r="A1311">
        <v>533</v>
      </c>
      <c r="B1311">
        <v>1</v>
      </c>
      <c r="C1311" t="s">
        <v>70</v>
      </c>
      <c r="D1311" t="s">
        <v>634</v>
      </c>
      <c r="E1311">
        <v>13</v>
      </c>
      <c r="F1311">
        <v>21</v>
      </c>
      <c r="G1311">
        <v>1</v>
      </c>
      <c r="H1311">
        <v>14</v>
      </c>
      <c r="I1311">
        <f>Cocina[[#This Row],[Precio Unitario]]*Cocina[[#This Row],[Cantidad Ordenada]]</f>
        <v>21</v>
      </c>
      <c r="J1311">
        <f>(Cocina[[#This Row],[Precio Unitario]]-Cocina[[#This Row],[Costo Unitario]])*Cocina[[#This Row],[Cantidad Ordenada]]</f>
        <v>8</v>
      </c>
      <c r="K1311" s="4">
        <f>Cocina[[#This Row],[Ganancia neta]]/_xlfn.XLOOKUP(Cocina[[#This Row],[Número de Orden]],Sala[Número de Orden],Sala[Monto total],"fracaso",0,1)</f>
        <v>0.1951219512195122</v>
      </c>
      <c r="L1311" t="s">
        <v>608</v>
      </c>
    </row>
    <row r="1312" spans="1:12" x14ac:dyDescent="0.25">
      <c r="A1312">
        <v>534</v>
      </c>
      <c r="B1312">
        <v>1</v>
      </c>
      <c r="C1312" t="s">
        <v>158</v>
      </c>
      <c r="D1312" t="s">
        <v>617</v>
      </c>
      <c r="E1312">
        <v>14</v>
      </c>
      <c r="F1312">
        <v>24</v>
      </c>
      <c r="G1312">
        <v>2</v>
      </c>
      <c r="H1312">
        <v>56</v>
      </c>
      <c r="I1312">
        <f>Cocina[[#This Row],[Precio Unitario]]*Cocina[[#This Row],[Cantidad Ordenada]]</f>
        <v>48</v>
      </c>
      <c r="J1312">
        <f>(Cocina[[#This Row],[Precio Unitario]]-Cocina[[#This Row],[Costo Unitario]])*Cocina[[#This Row],[Cantidad Ordenada]]</f>
        <v>20</v>
      </c>
      <c r="K1312" s="4">
        <f>Cocina[[#This Row],[Ganancia neta]]/_xlfn.XLOOKUP(Cocina[[#This Row],[Número de Orden]],Sala[Número de Orden],Sala[Monto total],"fracaso",0,1)</f>
        <v>0.1360544217687075</v>
      </c>
      <c r="L1312" t="s">
        <v>608</v>
      </c>
    </row>
    <row r="1313" spans="1:12" x14ac:dyDescent="0.25">
      <c r="A1313">
        <v>534</v>
      </c>
      <c r="B1313">
        <v>1</v>
      </c>
      <c r="C1313" t="s">
        <v>38</v>
      </c>
      <c r="D1313" t="s">
        <v>624</v>
      </c>
      <c r="E1313">
        <v>17</v>
      </c>
      <c r="F1313">
        <v>29</v>
      </c>
      <c r="G1313">
        <v>1</v>
      </c>
      <c r="H1313">
        <v>10</v>
      </c>
      <c r="I1313">
        <f>Cocina[[#This Row],[Precio Unitario]]*Cocina[[#This Row],[Cantidad Ordenada]]</f>
        <v>29</v>
      </c>
      <c r="J1313">
        <f>(Cocina[[#This Row],[Precio Unitario]]-Cocina[[#This Row],[Costo Unitario]])*Cocina[[#This Row],[Cantidad Ordenada]]</f>
        <v>12</v>
      </c>
      <c r="K1313" s="4">
        <f>Cocina[[#This Row],[Ganancia neta]]/_xlfn.XLOOKUP(Cocina[[#This Row],[Número de Orden]],Sala[Número de Orden],Sala[Monto total],"fracaso",0,1)</f>
        <v>8.1632653061224483E-2</v>
      </c>
      <c r="L1313" t="s">
        <v>608</v>
      </c>
    </row>
    <row r="1314" spans="1:12" x14ac:dyDescent="0.25">
      <c r="A1314">
        <v>534</v>
      </c>
      <c r="B1314">
        <v>1</v>
      </c>
      <c r="C1314" t="s">
        <v>26</v>
      </c>
      <c r="D1314" t="s">
        <v>628</v>
      </c>
      <c r="E1314">
        <v>21</v>
      </c>
      <c r="F1314">
        <v>35</v>
      </c>
      <c r="G1314">
        <v>2</v>
      </c>
      <c r="H1314">
        <v>10</v>
      </c>
      <c r="I1314">
        <f>Cocina[[#This Row],[Precio Unitario]]*Cocina[[#This Row],[Cantidad Ordenada]]</f>
        <v>70</v>
      </c>
      <c r="J1314">
        <f>(Cocina[[#This Row],[Precio Unitario]]-Cocina[[#This Row],[Costo Unitario]])*Cocina[[#This Row],[Cantidad Ordenada]]</f>
        <v>28</v>
      </c>
      <c r="K1314" s="4">
        <f>Cocina[[#This Row],[Ganancia neta]]/_xlfn.XLOOKUP(Cocina[[#This Row],[Número de Orden]],Sala[Número de Orden],Sala[Monto total],"fracaso",0,1)</f>
        <v>0.19047619047619047</v>
      </c>
      <c r="L1314" t="s">
        <v>607</v>
      </c>
    </row>
    <row r="1315" spans="1:12" x14ac:dyDescent="0.25">
      <c r="A1315">
        <v>535</v>
      </c>
      <c r="B1315">
        <v>15</v>
      </c>
      <c r="C1315" t="s">
        <v>48</v>
      </c>
      <c r="D1315" t="s">
        <v>622</v>
      </c>
      <c r="E1315">
        <v>25</v>
      </c>
      <c r="F1315">
        <v>40</v>
      </c>
      <c r="G1315">
        <v>3</v>
      </c>
      <c r="H1315">
        <v>48</v>
      </c>
      <c r="I1315">
        <f>Cocina[[#This Row],[Precio Unitario]]*Cocina[[#This Row],[Cantidad Ordenada]]</f>
        <v>120</v>
      </c>
      <c r="J1315">
        <f>(Cocina[[#This Row],[Precio Unitario]]-Cocina[[#This Row],[Costo Unitario]])*Cocina[[#This Row],[Cantidad Ordenada]]</f>
        <v>45</v>
      </c>
      <c r="K1315" s="4">
        <f>Cocina[[#This Row],[Ganancia neta]]/_xlfn.XLOOKUP(Cocina[[#This Row],[Número de Orden]],Sala[Número de Orden],Sala[Monto total],"fracaso",0,1)</f>
        <v>0.16304347826086957</v>
      </c>
      <c r="L1315" t="s">
        <v>608</v>
      </c>
    </row>
    <row r="1316" spans="1:12" x14ac:dyDescent="0.25">
      <c r="A1316">
        <v>535</v>
      </c>
      <c r="B1316">
        <v>15</v>
      </c>
      <c r="C1316" t="s">
        <v>38</v>
      </c>
      <c r="D1316" t="s">
        <v>624</v>
      </c>
      <c r="E1316">
        <v>17</v>
      </c>
      <c r="F1316">
        <v>29</v>
      </c>
      <c r="G1316">
        <v>3</v>
      </c>
      <c r="H1316">
        <v>9</v>
      </c>
      <c r="I1316">
        <f>Cocina[[#This Row],[Precio Unitario]]*Cocina[[#This Row],[Cantidad Ordenada]]</f>
        <v>87</v>
      </c>
      <c r="J1316">
        <f>(Cocina[[#This Row],[Precio Unitario]]-Cocina[[#This Row],[Costo Unitario]])*Cocina[[#This Row],[Cantidad Ordenada]]</f>
        <v>36</v>
      </c>
      <c r="K1316" s="4">
        <f>Cocina[[#This Row],[Ganancia neta]]/_xlfn.XLOOKUP(Cocina[[#This Row],[Número de Orden]],Sala[Número de Orden],Sala[Monto total],"fracaso",0,1)</f>
        <v>0.13043478260869565</v>
      </c>
      <c r="L1316" t="s">
        <v>607</v>
      </c>
    </row>
    <row r="1317" spans="1:12" x14ac:dyDescent="0.25">
      <c r="A1317">
        <v>535</v>
      </c>
      <c r="B1317">
        <v>15</v>
      </c>
      <c r="C1317" t="s">
        <v>158</v>
      </c>
      <c r="D1317" t="s">
        <v>617</v>
      </c>
      <c r="E1317">
        <v>14</v>
      </c>
      <c r="F1317">
        <v>24</v>
      </c>
      <c r="G1317">
        <v>2</v>
      </c>
      <c r="H1317">
        <v>42</v>
      </c>
      <c r="I1317">
        <f>Cocina[[#This Row],[Precio Unitario]]*Cocina[[#This Row],[Cantidad Ordenada]]</f>
        <v>48</v>
      </c>
      <c r="J1317">
        <f>(Cocina[[#This Row],[Precio Unitario]]-Cocina[[#This Row],[Costo Unitario]])*Cocina[[#This Row],[Cantidad Ordenada]]</f>
        <v>20</v>
      </c>
      <c r="K1317" s="4">
        <f>Cocina[[#This Row],[Ganancia neta]]/_xlfn.XLOOKUP(Cocina[[#This Row],[Número de Orden]],Sala[Número de Orden],Sala[Monto total],"fracaso",0,1)</f>
        <v>7.2463768115942032E-2</v>
      </c>
      <c r="L1317" t="s">
        <v>607</v>
      </c>
    </row>
    <row r="1318" spans="1:12" x14ac:dyDescent="0.25">
      <c r="A1318">
        <v>535</v>
      </c>
      <c r="B1318">
        <v>15</v>
      </c>
      <c r="C1318" t="s">
        <v>70</v>
      </c>
      <c r="D1318" t="s">
        <v>634</v>
      </c>
      <c r="E1318">
        <v>13</v>
      </c>
      <c r="F1318">
        <v>21</v>
      </c>
      <c r="G1318">
        <v>1</v>
      </c>
      <c r="H1318">
        <v>14</v>
      </c>
      <c r="I1318">
        <f>Cocina[[#This Row],[Precio Unitario]]*Cocina[[#This Row],[Cantidad Ordenada]]</f>
        <v>21</v>
      </c>
      <c r="J1318">
        <f>(Cocina[[#This Row],[Precio Unitario]]-Cocina[[#This Row],[Costo Unitario]])*Cocina[[#This Row],[Cantidad Ordenada]]</f>
        <v>8</v>
      </c>
      <c r="K1318" s="4">
        <f>Cocina[[#This Row],[Ganancia neta]]/_xlfn.XLOOKUP(Cocina[[#This Row],[Número de Orden]],Sala[Número de Orden],Sala[Monto total],"fracaso",0,1)</f>
        <v>2.8985507246376812E-2</v>
      </c>
      <c r="L1318" t="s">
        <v>607</v>
      </c>
    </row>
    <row r="1319" spans="1:12" x14ac:dyDescent="0.25">
      <c r="A1319">
        <v>536</v>
      </c>
      <c r="B1319">
        <v>9</v>
      </c>
      <c r="C1319" t="s">
        <v>79</v>
      </c>
      <c r="D1319" t="s">
        <v>635</v>
      </c>
      <c r="E1319">
        <v>10</v>
      </c>
      <c r="F1319">
        <v>18</v>
      </c>
      <c r="G1319">
        <v>1</v>
      </c>
      <c r="H1319">
        <v>29</v>
      </c>
      <c r="I1319">
        <f>Cocina[[#This Row],[Precio Unitario]]*Cocina[[#This Row],[Cantidad Ordenada]]</f>
        <v>18</v>
      </c>
      <c r="J1319">
        <f>(Cocina[[#This Row],[Precio Unitario]]-Cocina[[#This Row],[Costo Unitario]])*Cocina[[#This Row],[Cantidad Ordenada]]</f>
        <v>8</v>
      </c>
      <c r="K1319" s="4">
        <f>Cocina[[#This Row],[Ganancia neta]]/_xlfn.XLOOKUP(Cocina[[#This Row],[Número de Orden]],Sala[Número de Orden],Sala[Monto total],"fracaso",0,1)</f>
        <v>3.7735849056603772E-2</v>
      </c>
      <c r="L1319" t="s">
        <v>608</v>
      </c>
    </row>
    <row r="1320" spans="1:12" x14ac:dyDescent="0.25">
      <c r="A1320">
        <v>536</v>
      </c>
      <c r="B1320">
        <v>9</v>
      </c>
      <c r="C1320" t="s">
        <v>38</v>
      </c>
      <c r="D1320" t="s">
        <v>624</v>
      </c>
      <c r="E1320">
        <v>17</v>
      </c>
      <c r="F1320">
        <v>29</v>
      </c>
      <c r="G1320">
        <v>2</v>
      </c>
      <c r="H1320">
        <v>52</v>
      </c>
      <c r="I1320">
        <f>Cocina[[#This Row],[Precio Unitario]]*Cocina[[#This Row],[Cantidad Ordenada]]</f>
        <v>58</v>
      </c>
      <c r="J1320">
        <f>(Cocina[[#This Row],[Precio Unitario]]-Cocina[[#This Row],[Costo Unitario]])*Cocina[[#This Row],[Cantidad Ordenada]]</f>
        <v>24</v>
      </c>
      <c r="K1320" s="4">
        <f>Cocina[[#This Row],[Ganancia neta]]/_xlfn.XLOOKUP(Cocina[[#This Row],[Número de Orden]],Sala[Número de Orden],Sala[Monto total],"fracaso",0,1)</f>
        <v>0.11320754716981132</v>
      </c>
      <c r="L1320" t="s">
        <v>607</v>
      </c>
    </row>
    <row r="1321" spans="1:12" x14ac:dyDescent="0.25">
      <c r="A1321">
        <v>536</v>
      </c>
      <c r="B1321">
        <v>9</v>
      </c>
      <c r="C1321" t="s">
        <v>200</v>
      </c>
      <c r="D1321" t="s">
        <v>633</v>
      </c>
      <c r="E1321">
        <v>14</v>
      </c>
      <c r="F1321">
        <v>23</v>
      </c>
      <c r="G1321">
        <v>2</v>
      </c>
      <c r="H1321">
        <v>38</v>
      </c>
      <c r="I1321">
        <f>Cocina[[#This Row],[Precio Unitario]]*Cocina[[#This Row],[Cantidad Ordenada]]</f>
        <v>46</v>
      </c>
      <c r="J1321">
        <f>(Cocina[[#This Row],[Precio Unitario]]-Cocina[[#This Row],[Costo Unitario]])*Cocina[[#This Row],[Cantidad Ordenada]]</f>
        <v>18</v>
      </c>
      <c r="K1321" s="4">
        <f>Cocina[[#This Row],[Ganancia neta]]/_xlfn.XLOOKUP(Cocina[[#This Row],[Número de Orden]],Sala[Número de Orden],Sala[Monto total],"fracaso",0,1)</f>
        <v>8.4905660377358486E-2</v>
      </c>
      <c r="L1321" t="s">
        <v>607</v>
      </c>
    </row>
    <row r="1322" spans="1:12" x14ac:dyDescent="0.25">
      <c r="A1322">
        <v>536</v>
      </c>
      <c r="B1322">
        <v>9</v>
      </c>
      <c r="C1322" t="s">
        <v>68</v>
      </c>
      <c r="D1322" t="s">
        <v>619</v>
      </c>
      <c r="E1322">
        <v>18</v>
      </c>
      <c r="F1322">
        <v>30</v>
      </c>
      <c r="G1322">
        <v>3</v>
      </c>
      <c r="H1322">
        <v>33</v>
      </c>
      <c r="I1322">
        <f>Cocina[[#This Row],[Precio Unitario]]*Cocina[[#This Row],[Cantidad Ordenada]]</f>
        <v>90</v>
      </c>
      <c r="J1322">
        <f>(Cocina[[#This Row],[Precio Unitario]]-Cocina[[#This Row],[Costo Unitario]])*Cocina[[#This Row],[Cantidad Ordenada]]</f>
        <v>36</v>
      </c>
      <c r="K1322" s="4">
        <f>Cocina[[#This Row],[Ganancia neta]]/_xlfn.XLOOKUP(Cocina[[#This Row],[Número de Orden]],Sala[Número de Orden],Sala[Monto total],"fracaso",0,1)</f>
        <v>0.16981132075471697</v>
      </c>
      <c r="L1322" t="s">
        <v>607</v>
      </c>
    </row>
    <row r="1323" spans="1:12" x14ac:dyDescent="0.25">
      <c r="A1323">
        <v>537</v>
      </c>
      <c r="B1323">
        <v>18</v>
      </c>
      <c r="C1323" t="s">
        <v>70</v>
      </c>
      <c r="D1323" t="s">
        <v>634</v>
      </c>
      <c r="E1323">
        <v>13</v>
      </c>
      <c r="F1323">
        <v>21</v>
      </c>
      <c r="G1323">
        <v>3</v>
      </c>
      <c r="H1323">
        <v>21</v>
      </c>
      <c r="I1323">
        <f>Cocina[[#This Row],[Precio Unitario]]*Cocina[[#This Row],[Cantidad Ordenada]]</f>
        <v>63</v>
      </c>
      <c r="J1323">
        <f>(Cocina[[#This Row],[Precio Unitario]]-Cocina[[#This Row],[Costo Unitario]])*Cocina[[#This Row],[Cantidad Ordenada]]</f>
        <v>24</v>
      </c>
      <c r="K1323" s="4">
        <f>Cocina[[#This Row],[Ganancia neta]]/_xlfn.XLOOKUP(Cocina[[#This Row],[Número de Orden]],Sala[Número de Orden],Sala[Monto total],"fracaso",0,1)</f>
        <v>0.38095238095238093</v>
      </c>
      <c r="L1323" t="s">
        <v>608</v>
      </c>
    </row>
    <row r="1324" spans="1:12" x14ac:dyDescent="0.25">
      <c r="A1324">
        <v>538</v>
      </c>
      <c r="B1324">
        <v>14</v>
      </c>
      <c r="C1324" t="s">
        <v>68</v>
      </c>
      <c r="D1324" t="s">
        <v>619</v>
      </c>
      <c r="E1324">
        <v>18</v>
      </c>
      <c r="F1324">
        <v>30</v>
      </c>
      <c r="G1324">
        <v>1</v>
      </c>
      <c r="H1324">
        <v>55</v>
      </c>
      <c r="I1324">
        <f>Cocina[[#This Row],[Precio Unitario]]*Cocina[[#This Row],[Cantidad Ordenada]]</f>
        <v>30</v>
      </c>
      <c r="J1324">
        <f>(Cocina[[#This Row],[Precio Unitario]]-Cocina[[#This Row],[Costo Unitario]])*Cocina[[#This Row],[Cantidad Ordenada]]</f>
        <v>12</v>
      </c>
      <c r="K1324" s="4">
        <f>Cocina[[#This Row],[Ganancia neta]]/_xlfn.XLOOKUP(Cocina[[#This Row],[Número de Orden]],Sala[Número de Orden],Sala[Monto total],"fracaso",0,1)</f>
        <v>8.4507042253521125E-2</v>
      </c>
      <c r="L1324" t="s">
        <v>608</v>
      </c>
    </row>
    <row r="1325" spans="1:12" x14ac:dyDescent="0.25">
      <c r="A1325">
        <v>538</v>
      </c>
      <c r="B1325">
        <v>14</v>
      </c>
      <c r="C1325" t="s">
        <v>200</v>
      </c>
      <c r="D1325" t="s">
        <v>633</v>
      </c>
      <c r="E1325">
        <v>14</v>
      </c>
      <c r="F1325">
        <v>23</v>
      </c>
      <c r="G1325">
        <v>1</v>
      </c>
      <c r="H1325">
        <v>39</v>
      </c>
      <c r="I1325">
        <f>Cocina[[#This Row],[Precio Unitario]]*Cocina[[#This Row],[Cantidad Ordenada]]</f>
        <v>23</v>
      </c>
      <c r="J1325">
        <f>(Cocina[[#This Row],[Precio Unitario]]-Cocina[[#This Row],[Costo Unitario]])*Cocina[[#This Row],[Cantidad Ordenada]]</f>
        <v>9</v>
      </c>
      <c r="K1325" s="4">
        <f>Cocina[[#This Row],[Ganancia neta]]/_xlfn.XLOOKUP(Cocina[[#This Row],[Número de Orden]],Sala[Número de Orden],Sala[Monto total],"fracaso",0,1)</f>
        <v>6.3380281690140844E-2</v>
      </c>
      <c r="L1325" t="s">
        <v>607</v>
      </c>
    </row>
    <row r="1326" spans="1:12" x14ac:dyDescent="0.25">
      <c r="A1326">
        <v>538</v>
      </c>
      <c r="B1326">
        <v>14</v>
      </c>
      <c r="C1326" t="s">
        <v>261</v>
      </c>
      <c r="D1326" t="s">
        <v>625</v>
      </c>
      <c r="E1326">
        <v>20</v>
      </c>
      <c r="F1326">
        <v>33</v>
      </c>
      <c r="G1326">
        <v>1</v>
      </c>
      <c r="H1326">
        <v>58</v>
      </c>
      <c r="I1326">
        <f>Cocina[[#This Row],[Precio Unitario]]*Cocina[[#This Row],[Cantidad Ordenada]]</f>
        <v>33</v>
      </c>
      <c r="J1326">
        <f>(Cocina[[#This Row],[Precio Unitario]]-Cocina[[#This Row],[Costo Unitario]])*Cocina[[#This Row],[Cantidad Ordenada]]</f>
        <v>13</v>
      </c>
      <c r="K1326" s="4">
        <f>Cocina[[#This Row],[Ganancia neta]]/_xlfn.XLOOKUP(Cocina[[#This Row],[Número de Orden]],Sala[Número de Orden],Sala[Monto total],"fracaso",0,1)</f>
        <v>9.154929577464789E-2</v>
      </c>
      <c r="L1326" t="s">
        <v>608</v>
      </c>
    </row>
    <row r="1327" spans="1:12" x14ac:dyDescent="0.25">
      <c r="A1327">
        <v>538</v>
      </c>
      <c r="B1327">
        <v>14</v>
      </c>
      <c r="C1327" t="s">
        <v>42</v>
      </c>
      <c r="D1327" t="s">
        <v>626</v>
      </c>
      <c r="E1327">
        <v>16</v>
      </c>
      <c r="F1327">
        <v>28</v>
      </c>
      <c r="G1327">
        <v>2</v>
      </c>
      <c r="H1327">
        <v>46</v>
      </c>
      <c r="I1327">
        <f>Cocina[[#This Row],[Precio Unitario]]*Cocina[[#This Row],[Cantidad Ordenada]]</f>
        <v>56</v>
      </c>
      <c r="J1327">
        <f>(Cocina[[#This Row],[Precio Unitario]]-Cocina[[#This Row],[Costo Unitario]])*Cocina[[#This Row],[Cantidad Ordenada]]</f>
        <v>24</v>
      </c>
      <c r="K1327" s="4">
        <f>Cocina[[#This Row],[Ganancia neta]]/_xlfn.XLOOKUP(Cocina[[#This Row],[Número de Orden]],Sala[Número de Orden],Sala[Monto total],"fracaso",0,1)</f>
        <v>0.16901408450704225</v>
      </c>
      <c r="L1327" t="s">
        <v>607</v>
      </c>
    </row>
    <row r="1328" spans="1:12" x14ac:dyDescent="0.25">
      <c r="A1328">
        <v>539</v>
      </c>
      <c r="B1328">
        <v>18</v>
      </c>
      <c r="C1328" t="s">
        <v>68</v>
      </c>
      <c r="D1328" t="s">
        <v>619</v>
      </c>
      <c r="E1328">
        <v>18</v>
      </c>
      <c r="F1328">
        <v>30</v>
      </c>
      <c r="G1328">
        <v>3</v>
      </c>
      <c r="H1328">
        <v>43</v>
      </c>
      <c r="I1328">
        <f>Cocina[[#This Row],[Precio Unitario]]*Cocina[[#This Row],[Cantidad Ordenada]]</f>
        <v>90</v>
      </c>
      <c r="J1328">
        <f>(Cocina[[#This Row],[Precio Unitario]]-Cocina[[#This Row],[Costo Unitario]])*Cocina[[#This Row],[Cantidad Ordenada]]</f>
        <v>36</v>
      </c>
      <c r="K1328" s="4">
        <f>Cocina[[#This Row],[Ganancia neta]]/_xlfn.XLOOKUP(Cocina[[#This Row],[Número de Orden]],Sala[Número de Orden],Sala[Monto total],"fracaso",0,1)</f>
        <v>0.15</v>
      </c>
      <c r="L1328" t="s">
        <v>608</v>
      </c>
    </row>
    <row r="1329" spans="1:12" x14ac:dyDescent="0.25">
      <c r="A1329">
        <v>539</v>
      </c>
      <c r="B1329">
        <v>18</v>
      </c>
      <c r="C1329" t="s">
        <v>106</v>
      </c>
      <c r="D1329" t="s">
        <v>621</v>
      </c>
      <c r="E1329">
        <v>16</v>
      </c>
      <c r="F1329">
        <v>27</v>
      </c>
      <c r="G1329">
        <v>1</v>
      </c>
      <c r="H1329">
        <v>40</v>
      </c>
      <c r="I1329">
        <f>Cocina[[#This Row],[Precio Unitario]]*Cocina[[#This Row],[Cantidad Ordenada]]</f>
        <v>27</v>
      </c>
      <c r="J1329">
        <f>(Cocina[[#This Row],[Precio Unitario]]-Cocina[[#This Row],[Costo Unitario]])*Cocina[[#This Row],[Cantidad Ordenada]]</f>
        <v>11</v>
      </c>
      <c r="K1329" s="4">
        <f>Cocina[[#This Row],[Ganancia neta]]/_xlfn.XLOOKUP(Cocina[[#This Row],[Número de Orden]],Sala[Número de Orden],Sala[Monto total],"fracaso",0,1)</f>
        <v>4.583333333333333E-2</v>
      </c>
      <c r="L1329" t="s">
        <v>608</v>
      </c>
    </row>
    <row r="1330" spans="1:12" x14ac:dyDescent="0.25">
      <c r="A1330">
        <v>539</v>
      </c>
      <c r="B1330">
        <v>18</v>
      </c>
      <c r="C1330" t="s">
        <v>38</v>
      </c>
      <c r="D1330" t="s">
        <v>624</v>
      </c>
      <c r="E1330">
        <v>17</v>
      </c>
      <c r="F1330">
        <v>29</v>
      </c>
      <c r="G1330">
        <v>3</v>
      </c>
      <c r="H1330">
        <v>18</v>
      </c>
      <c r="I1330">
        <f>Cocina[[#This Row],[Precio Unitario]]*Cocina[[#This Row],[Cantidad Ordenada]]</f>
        <v>87</v>
      </c>
      <c r="J1330">
        <f>(Cocina[[#This Row],[Precio Unitario]]-Cocina[[#This Row],[Costo Unitario]])*Cocina[[#This Row],[Cantidad Ordenada]]</f>
        <v>36</v>
      </c>
      <c r="K1330" s="4">
        <f>Cocina[[#This Row],[Ganancia neta]]/_xlfn.XLOOKUP(Cocina[[#This Row],[Número de Orden]],Sala[Número de Orden],Sala[Monto total],"fracaso",0,1)</f>
        <v>0.15</v>
      </c>
      <c r="L1330" t="s">
        <v>607</v>
      </c>
    </row>
    <row r="1331" spans="1:12" x14ac:dyDescent="0.25">
      <c r="A1331">
        <v>539</v>
      </c>
      <c r="B1331">
        <v>18</v>
      </c>
      <c r="C1331" t="s">
        <v>79</v>
      </c>
      <c r="D1331" t="s">
        <v>635</v>
      </c>
      <c r="E1331">
        <v>10</v>
      </c>
      <c r="F1331">
        <v>18</v>
      </c>
      <c r="G1331">
        <v>2</v>
      </c>
      <c r="H1331">
        <v>28</v>
      </c>
      <c r="I1331">
        <f>Cocina[[#This Row],[Precio Unitario]]*Cocina[[#This Row],[Cantidad Ordenada]]</f>
        <v>36</v>
      </c>
      <c r="J1331">
        <f>(Cocina[[#This Row],[Precio Unitario]]-Cocina[[#This Row],[Costo Unitario]])*Cocina[[#This Row],[Cantidad Ordenada]]</f>
        <v>16</v>
      </c>
      <c r="K1331" s="4">
        <f>Cocina[[#This Row],[Ganancia neta]]/_xlfn.XLOOKUP(Cocina[[#This Row],[Número de Orden]],Sala[Número de Orden],Sala[Monto total],"fracaso",0,1)</f>
        <v>6.6666666666666666E-2</v>
      </c>
      <c r="L1331" t="s">
        <v>607</v>
      </c>
    </row>
    <row r="1332" spans="1:12" x14ac:dyDescent="0.25">
      <c r="A1332">
        <v>540</v>
      </c>
      <c r="B1332">
        <v>6</v>
      </c>
      <c r="C1332" t="s">
        <v>79</v>
      </c>
      <c r="D1332" t="s">
        <v>635</v>
      </c>
      <c r="E1332">
        <v>10</v>
      </c>
      <c r="F1332">
        <v>18</v>
      </c>
      <c r="G1332">
        <v>3</v>
      </c>
      <c r="H1332">
        <v>47</v>
      </c>
      <c r="I1332">
        <f>Cocina[[#This Row],[Precio Unitario]]*Cocina[[#This Row],[Cantidad Ordenada]]</f>
        <v>54</v>
      </c>
      <c r="J1332">
        <f>(Cocina[[#This Row],[Precio Unitario]]-Cocina[[#This Row],[Costo Unitario]])*Cocina[[#This Row],[Cantidad Ordenada]]</f>
        <v>24</v>
      </c>
      <c r="K1332" s="4">
        <f>Cocina[[#This Row],[Ganancia neta]]/_xlfn.XLOOKUP(Cocina[[#This Row],[Número de Orden]],Sala[Número de Orden],Sala[Monto total],"fracaso",0,1)</f>
        <v>0.19354838709677419</v>
      </c>
      <c r="L1332" t="s">
        <v>607</v>
      </c>
    </row>
    <row r="1333" spans="1:12" x14ac:dyDescent="0.25">
      <c r="A1333">
        <v>540</v>
      </c>
      <c r="B1333">
        <v>6</v>
      </c>
      <c r="C1333" t="s">
        <v>26</v>
      </c>
      <c r="D1333" t="s">
        <v>628</v>
      </c>
      <c r="E1333">
        <v>21</v>
      </c>
      <c r="F1333">
        <v>35</v>
      </c>
      <c r="G1333">
        <v>2</v>
      </c>
      <c r="H1333">
        <v>35</v>
      </c>
      <c r="I1333">
        <f>Cocina[[#This Row],[Precio Unitario]]*Cocina[[#This Row],[Cantidad Ordenada]]</f>
        <v>70</v>
      </c>
      <c r="J1333">
        <f>(Cocina[[#This Row],[Precio Unitario]]-Cocina[[#This Row],[Costo Unitario]])*Cocina[[#This Row],[Cantidad Ordenada]]</f>
        <v>28</v>
      </c>
      <c r="K1333" s="4">
        <f>Cocina[[#This Row],[Ganancia neta]]/_xlfn.XLOOKUP(Cocina[[#This Row],[Número de Orden]],Sala[Número de Orden],Sala[Monto total],"fracaso",0,1)</f>
        <v>0.22580645161290322</v>
      </c>
      <c r="L1333" t="s">
        <v>607</v>
      </c>
    </row>
    <row r="1334" spans="1:12" x14ac:dyDescent="0.25">
      <c r="A1334">
        <v>541</v>
      </c>
      <c r="B1334">
        <v>19</v>
      </c>
      <c r="C1334" t="s">
        <v>112</v>
      </c>
      <c r="D1334" t="s">
        <v>627</v>
      </c>
      <c r="E1334">
        <v>11</v>
      </c>
      <c r="F1334">
        <v>19</v>
      </c>
      <c r="G1334">
        <v>2</v>
      </c>
      <c r="H1334">
        <v>31</v>
      </c>
      <c r="I1334">
        <f>Cocina[[#This Row],[Precio Unitario]]*Cocina[[#This Row],[Cantidad Ordenada]]</f>
        <v>38</v>
      </c>
      <c r="J1334">
        <f>(Cocina[[#This Row],[Precio Unitario]]-Cocina[[#This Row],[Costo Unitario]])*Cocina[[#This Row],[Cantidad Ordenada]]</f>
        <v>16</v>
      </c>
      <c r="K1334" s="4">
        <f>Cocina[[#This Row],[Ganancia neta]]/_xlfn.XLOOKUP(Cocina[[#This Row],[Número de Orden]],Sala[Número de Orden],Sala[Monto total],"fracaso",0,1)</f>
        <v>7.9207920792079209E-2</v>
      </c>
      <c r="L1334" t="s">
        <v>607</v>
      </c>
    </row>
    <row r="1335" spans="1:12" x14ac:dyDescent="0.25">
      <c r="A1335">
        <v>541</v>
      </c>
      <c r="B1335">
        <v>19</v>
      </c>
      <c r="C1335" t="s">
        <v>261</v>
      </c>
      <c r="D1335" t="s">
        <v>625</v>
      </c>
      <c r="E1335">
        <v>20</v>
      </c>
      <c r="F1335">
        <v>33</v>
      </c>
      <c r="G1335">
        <v>2</v>
      </c>
      <c r="H1335">
        <v>21</v>
      </c>
      <c r="I1335">
        <f>Cocina[[#This Row],[Precio Unitario]]*Cocina[[#This Row],[Cantidad Ordenada]]</f>
        <v>66</v>
      </c>
      <c r="J1335">
        <f>(Cocina[[#This Row],[Precio Unitario]]-Cocina[[#This Row],[Costo Unitario]])*Cocina[[#This Row],[Cantidad Ordenada]]</f>
        <v>26</v>
      </c>
      <c r="K1335" s="4">
        <f>Cocina[[#This Row],[Ganancia neta]]/_xlfn.XLOOKUP(Cocina[[#This Row],[Número de Orden]],Sala[Número de Orden],Sala[Monto total],"fracaso",0,1)</f>
        <v>0.12871287128712872</v>
      </c>
      <c r="L1335" t="s">
        <v>607</v>
      </c>
    </row>
    <row r="1336" spans="1:12" x14ac:dyDescent="0.25">
      <c r="A1336">
        <v>541</v>
      </c>
      <c r="B1336">
        <v>19</v>
      </c>
      <c r="C1336" t="s">
        <v>38</v>
      </c>
      <c r="D1336" t="s">
        <v>624</v>
      </c>
      <c r="E1336">
        <v>17</v>
      </c>
      <c r="F1336">
        <v>29</v>
      </c>
      <c r="G1336">
        <v>1</v>
      </c>
      <c r="H1336">
        <v>35</v>
      </c>
      <c r="I1336">
        <f>Cocina[[#This Row],[Precio Unitario]]*Cocina[[#This Row],[Cantidad Ordenada]]</f>
        <v>29</v>
      </c>
      <c r="J1336">
        <f>(Cocina[[#This Row],[Precio Unitario]]-Cocina[[#This Row],[Costo Unitario]])*Cocina[[#This Row],[Cantidad Ordenada]]</f>
        <v>12</v>
      </c>
      <c r="K1336" s="4">
        <f>Cocina[[#This Row],[Ganancia neta]]/_xlfn.XLOOKUP(Cocina[[#This Row],[Número de Orden]],Sala[Número de Orden],Sala[Monto total],"fracaso",0,1)</f>
        <v>5.9405940594059403E-2</v>
      </c>
      <c r="L1336" t="s">
        <v>607</v>
      </c>
    </row>
    <row r="1337" spans="1:12" x14ac:dyDescent="0.25">
      <c r="A1337">
        <v>541</v>
      </c>
      <c r="B1337">
        <v>19</v>
      </c>
      <c r="C1337" t="s">
        <v>200</v>
      </c>
      <c r="D1337" t="s">
        <v>633</v>
      </c>
      <c r="E1337">
        <v>14</v>
      </c>
      <c r="F1337">
        <v>23</v>
      </c>
      <c r="G1337">
        <v>3</v>
      </c>
      <c r="H1337">
        <v>37</v>
      </c>
      <c r="I1337">
        <f>Cocina[[#This Row],[Precio Unitario]]*Cocina[[#This Row],[Cantidad Ordenada]]</f>
        <v>69</v>
      </c>
      <c r="J1337">
        <f>(Cocina[[#This Row],[Precio Unitario]]-Cocina[[#This Row],[Costo Unitario]])*Cocina[[#This Row],[Cantidad Ordenada]]</f>
        <v>27</v>
      </c>
      <c r="K1337" s="4">
        <f>Cocina[[#This Row],[Ganancia neta]]/_xlfn.XLOOKUP(Cocina[[#This Row],[Número de Orden]],Sala[Número de Orden],Sala[Monto total],"fracaso",0,1)</f>
        <v>0.13366336633663367</v>
      </c>
      <c r="L1337" t="s">
        <v>607</v>
      </c>
    </row>
    <row r="1338" spans="1:12" x14ac:dyDescent="0.25">
      <c r="A1338">
        <v>542</v>
      </c>
      <c r="B1338">
        <v>9</v>
      </c>
      <c r="C1338" t="s">
        <v>55</v>
      </c>
      <c r="D1338" t="s">
        <v>631</v>
      </c>
      <c r="E1338">
        <v>20</v>
      </c>
      <c r="F1338">
        <v>34</v>
      </c>
      <c r="G1338">
        <v>2</v>
      </c>
      <c r="H1338">
        <v>17</v>
      </c>
      <c r="I1338">
        <f>Cocina[[#This Row],[Precio Unitario]]*Cocina[[#This Row],[Cantidad Ordenada]]</f>
        <v>68</v>
      </c>
      <c r="J1338">
        <f>(Cocina[[#This Row],[Precio Unitario]]-Cocina[[#This Row],[Costo Unitario]])*Cocina[[#This Row],[Cantidad Ordenada]]</f>
        <v>28</v>
      </c>
      <c r="K1338" s="4">
        <f>Cocina[[#This Row],[Ganancia neta]]/_xlfn.XLOOKUP(Cocina[[#This Row],[Número de Orden]],Sala[Número de Orden],Sala[Monto total],"fracaso",0,1)</f>
        <v>0.1891891891891892</v>
      </c>
      <c r="L1338" t="s">
        <v>608</v>
      </c>
    </row>
    <row r="1339" spans="1:12" x14ac:dyDescent="0.25">
      <c r="A1339">
        <v>542</v>
      </c>
      <c r="B1339">
        <v>9</v>
      </c>
      <c r="C1339" t="s">
        <v>155</v>
      </c>
      <c r="D1339" t="s">
        <v>636</v>
      </c>
      <c r="E1339">
        <v>15</v>
      </c>
      <c r="F1339">
        <v>26</v>
      </c>
      <c r="G1339">
        <v>1</v>
      </c>
      <c r="H1339">
        <v>46</v>
      </c>
      <c r="I1339">
        <f>Cocina[[#This Row],[Precio Unitario]]*Cocina[[#This Row],[Cantidad Ordenada]]</f>
        <v>26</v>
      </c>
      <c r="J1339">
        <f>(Cocina[[#This Row],[Precio Unitario]]-Cocina[[#This Row],[Costo Unitario]])*Cocina[[#This Row],[Cantidad Ordenada]]</f>
        <v>11</v>
      </c>
      <c r="K1339" s="4">
        <f>Cocina[[#This Row],[Ganancia neta]]/_xlfn.XLOOKUP(Cocina[[#This Row],[Número de Orden]],Sala[Número de Orden],Sala[Monto total],"fracaso",0,1)</f>
        <v>7.4324324324324328E-2</v>
      </c>
      <c r="L1339" t="s">
        <v>607</v>
      </c>
    </row>
    <row r="1340" spans="1:12" x14ac:dyDescent="0.25">
      <c r="A1340">
        <v>542</v>
      </c>
      <c r="B1340">
        <v>9</v>
      </c>
      <c r="C1340" t="s">
        <v>106</v>
      </c>
      <c r="D1340" t="s">
        <v>621</v>
      </c>
      <c r="E1340">
        <v>16</v>
      </c>
      <c r="F1340">
        <v>27</v>
      </c>
      <c r="G1340">
        <v>2</v>
      </c>
      <c r="H1340">
        <v>52</v>
      </c>
      <c r="I1340">
        <f>Cocina[[#This Row],[Precio Unitario]]*Cocina[[#This Row],[Cantidad Ordenada]]</f>
        <v>54</v>
      </c>
      <c r="J1340">
        <f>(Cocina[[#This Row],[Precio Unitario]]-Cocina[[#This Row],[Costo Unitario]])*Cocina[[#This Row],[Cantidad Ordenada]]</f>
        <v>22</v>
      </c>
      <c r="K1340" s="4">
        <f>Cocina[[#This Row],[Ganancia neta]]/_xlfn.XLOOKUP(Cocina[[#This Row],[Número de Orden]],Sala[Número de Orden],Sala[Monto total],"fracaso",0,1)</f>
        <v>0.14864864864864866</v>
      </c>
      <c r="L1340" t="s">
        <v>608</v>
      </c>
    </row>
    <row r="1341" spans="1:12" x14ac:dyDescent="0.25">
      <c r="A1341">
        <v>543</v>
      </c>
      <c r="B1341">
        <v>19</v>
      </c>
      <c r="C1341" t="s">
        <v>42</v>
      </c>
      <c r="D1341" t="s">
        <v>626</v>
      </c>
      <c r="E1341">
        <v>16</v>
      </c>
      <c r="F1341">
        <v>28</v>
      </c>
      <c r="G1341">
        <v>2</v>
      </c>
      <c r="H1341">
        <v>27</v>
      </c>
      <c r="I1341">
        <f>Cocina[[#This Row],[Precio Unitario]]*Cocina[[#This Row],[Cantidad Ordenada]]</f>
        <v>56</v>
      </c>
      <c r="J1341">
        <f>(Cocina[[#This Row],[Precio Unitario]]-Cocina[[#This Row],[Costo Unitario]])*Cocina[[#This Row],[Cantidad Ordenada]]</f>
        <v>24</v>
      </c>
      <c r="K1341" s="4">
        <f>Cocina[[#This Row],[Ganancia neta]]/_xlfn.XLOOKUP(Cocina[[#This Row],[Número de Orden]],Sala[Número de Orden],Sala[Monto total],"fracaso",0,1)</f>
        <v>0.11650485436893204</v>
      </c>
      <c r="L1341" t="s">
        <v>608</v>
      </c>
    </row>
    <row r="1342" spans="1:12" x14ac:dyDescent="0.25">
      <c r="A1342">
        <v>543</v>
      </c>
      <c r="B1342">
        <v>19</v>
      </c>
      <c r="C1342" t="s">
        <v>106</v>
      </c>
      <c r="D1342" t="s">
        <v>621</v>
      </c>
      <c r="E1342">
        <v>16</v>
      </c>
      <c r="F1342">
        <v>27</v>
      </c>
      <c r="G1342">
        <v>2</v>
      </c>
      <c r="H1342">
        <v>5</v>
      </c>
      <c r="I1342">
        <f>Cocina[[#This Row],[Precio Unitario]]*Cocina[[#This Row],[Cantidad Ordenada]]</f>
        <v>54</v>
      </c>
      <c r="J1342">
        <f>(Cocina[[#This Row],[Precio Unitario]]-Cocina[[#This Row],[Costo Unitario]])*Cocina[[#This Row],[Cantidad Ordenada]]</f>
        <v>22</v>
      </c>
      <c r="K1342" s="4">
        <f>Cocina[[#This Row],[Ganancia neta]]/_xlfn.XLOOKUP(Cocina[[#This Row],[Número de Orden]],Sala[Número de Orden],Sala[Monto total],"fracaso",0,1)</f>
        <v>0.10679611650485436</v>
      </c>
      <c r="L1342" t="s">
        <v>607</v>
      </c>
    </row>
    <row r="1343" spans="1:12" x14ac:dyDescent="0.25">
      <c r="A1343">
        <v>543</v>
      </c>
      <c r="B1343">
        <v>19</v>
      </c>
      <c r="C1343" t="s">
        <v>247</v>
      </c>
      <c r="D1343" t="s">
        <v>629</v>
      </c>
      <c r="E1343">
        <v>19</v>
      </c>
      <c r="F1343">
        <v>32</v>
      </c>
      <c r="G1343">
        <v>3</v>
      </c>
      <c r="H1343">
        <v>42</v>
      </c>
      <c r="I1343">
        <f>Cocina[[#This Row],[Precio Unitario]]*Cocina[[#This Row],[Cantidad Ordenada]]</f>
        <v>96</v>
      </c>
      <c r="J1343">
        <f>(Cocina[[#This Row],[Precio Unitario]]-Cocina[[#This Row],[Costo Unitario]])*Cocina[[#This Row],[Cantidad Ordenada]]</f>
        <v>39</v>
      </c>
      <c r="K1343" s="4">
        <f>Cocina[[#This Row],[Ganancia neta]]/_xlfn.XLOOKUP(Cocina[[#This Row],[Número de Orden]],Sala[Número de Orden],Sala[Monto total],"fracaso",0,1)</f>
        <v>0.18932038834951456</v>
      </c>
      <c r="L1343" t="s">
        <v>608</v>
      </c>
    </row>
    <row r="1344" spans="1:12" x14ac:dyDescent="0.25">
      <c r="A1344">
        <v>544</v>
      </c>
      <c r="B1344">
        <v>7</v>
      </c>
      <c r="C1344" t="s">
        <v>26</v>
      </c>
      <c r="D1344" t="s">
        <v>628</v>
      </c>
      <c r="E1344">
        <v>21</v>
      </c>
      <c r="F1344">
        <v>35</v>
      </c>
      <c r="G1344">
        <v>2</v>
      </c>
      <c r="H1344">
        <v>48</v>
      </c>
      <c r="I1344">
        <f>Cocina[[#This Row],[Precio Unitario]]*Cocina[[#This Row],[Cantidad Ordenada]]</f>
        <v>70</v>
      </c>
      <c r="J1344">
        <f>(Cocina[[#This Row],[Precio Unitario]]-Cocina[[#This Row],[Costo Unitario]])*Cocina[[#This Row],[Cantidad Ordenada]]</f>
        <v>28</v>
      </c>
      <c r="K1344" s="4">
        <f>Cocina[[#This Row],[Ganancia neta]]/_xlfn.XLOOKUP(Cocina[[#This Row],[Número de Orden]],Sala[Número de Orden],Sala[Monto total],"fracaso",0,1)</f>
        <v>0.4</v>
      </c>
      <c r="L1344" t="s">
        <v>607</v>
      </c>
    </row>
    <row r="1345" spans="1:12" x14ac:dyDescent="0.25">
      <c r="A1345">
        <v>545</v>
      </c>
      <c r="B1345">
        <v>20</v>
      </c>
      <c r="C1345" t="s">
        <v>261</v>
      </c>
      <c r="D1345" t="s">
        <v>625</v>
      </c>
      <c r="E1345">
        <v>20</v>
      </c>
      <c r="F1345">
        <v>33</v>
      </c>
      <c r="G1345">
        <v>3</v>
      </c>
      <c r="H1345">
        <v>57</v>
      </c>
      <c r="I1345">
        <f>Cocina[[#This Row],[Precio Unitario]]*Cocina[[#This Row],[Cantidad Ordenada]]</f>
        <v>99</v>
      </c>
      <c r="J1345">
        <f>(Cocina[[#This Row],[Precio Unitario]]-Cocina[[#This Row],[Costo Unitario]])*Cocina[[#This Row],[Cantidad Ordenada]]</f>
        <v>39</v>
      </c>
      <c r="K1345" s="4">
        <f>Cocina[[#This Row],[Ganancia neta]]/_xlfn.XLOOKUP(Cocina[[#This Row],[Número de Orden]],Sala[Número de Orden],Sala[Monto total],"fracaso",0,1)</f>
        <v>0.3</v>
      </c>
      <c r="L1345" t="s">
        <v>608</v>
      </c>
    </row>
    <row r="1346" spans="1:12" x14ac:dyDescent="0.25">
      <c r="A1346">
        <v>545</v>
      </c>
      <c r="B1346">
        <v>20</v>
      </c>
      <c r="C1346" t="s">
        <v>116</v>
      </c>
      <c r="D1346" t="s">
        <v>620</v>
      </c>
      <c r="E1346">
        <v>19</v>
      </c>
      <c r="F1346">
        <v>31</v>
      </c>
      <c r="G1346">
        <v>1</v>
      </c>
      <c r="H1346">
        <v>42</v>
      </c>
      <c r="I1346">
        <f>Cocina[[#This Row],[Precio Unitario]]*Cocina[[#This Row],[Cantidad Ordenada]]</f>
        <v>31</v>
      </c>
      <c r="J1346">
        <f>(Cocina[[#This Row],[Precio Unitario]]-Cocina[[#This Row],[Costo Unitario]])*Cocina[[#This Row],[Cantidad Ordenada]]</f>
        <v>12</v>
      </c>
      <c r="K1346" s="4">
        <f>Cocina[[#This Row],[Ganancia neta]]/_xlfn.XLOOKUP(Cocina[[#This Row],[Número de Orden]],Sala[Número de Orden],Sala[Monto total],"fracaso",0,1)</f>
        <v>9.2307692307692313E-2</v>
      </c>
      <c r="L1346" t="s">
        <v>608</v>
      </c>
    </row>
    <row r="1347" spans="1:12" x14ac:dyDescent="0.25">
      <c r="A1347">
        <v>546</v>
      </c>
      <c r="B1347">
        <v>5</v>
      </c>
      <c r="C1347" t="s">
        <v>247</v>
      </c>
      <c r="D1347" t="s">
        <v>629</v>
      </c>
      <c r="E1347">
        <v>19</v>
      </c>
      <c r="F1347">
        <v>32</v>
      </c>
      <c r="G1347">
        <v>2</v>
      </c>
      <c r="H1347">
        <v>33</v>
      </c>
      <c r="I1347">
        <f>Cocina[[#This Row],[Precio Unitario]]*Cocina[[#This Row],[Cantidad Ordenada]]</f>
        <v>64</v>
      </c>
      <c r="J1347">
        <f>(Cocina[[#This Row],[Precio Unitario]]-Cocina[[#This Row],[Costo Unitario]])*Cocina[[#This Row],[Cantidad Ordenada]]</f>
        <v>26</v>
      </c>
      <c r="K1347" s="4">
        <f>Cocina[[#This Row],[Ganancia neta]]/_xlfn.XLOOKUP(Cocina[[#This Row],[Número de Orden]],Sala[Número de Orden],Sala[Monto total],"fracaso",0,1)</f>
        <v>0.28260869565217389</v>
      </c>
      <c r="L1347" t="s">
        <v>608</v>
      </c>
    </row>
    <row r="1348" spans="1:12" x14ac:dyDescent="0.25">
      <c r="A1348">
        <v>546</v>
      </c>
      <c r="B1348">
        <v>5</v>
      </c>
      <c r="C1348" t="s">
        <v>42</v>
      </c>
      <c r="D1348" t="s">
        <v>626</v>
      </c>
      <c r="E1348">
        <v>16</v>
      </c>
      <c r="F1348">
        <v>28</v>
      </c>
      <c r="G1348">
        <v>1</v>
      </c>
      <c r="H1348">
        <v>58</v>
      </c>
      <c r="I1348">
        <f>Cocina[[#This Row],[Precio Unitario]]*Cocina[[#This Row],[Cantidad Ordenada]]</f>
        <v>28</v>
      </c>
      <c r="J1348">
        <f>(Cocina[[#This Row],[Precio Unitario]]-Cocina[[#This Row],[Costo Unitario]])*Cocina[[#This Row],[Cantidad Ordenada]]</f>
        <v>12</v>
      </c>
      <c r="K1348" s="4">
        <f>Cocina[[#This Row],[Ganancia neta]]/_xlfn.XLOOKUP(Cocina[[#This Row],[Número de Orden]],Sala[Número de Orden],Sala[Monto total],"fracaso",0,1)</f>
        <v>0.13043478260869565</v>
      </c>
      <c r="L1348" t="s">
        <v>608</v>
      </c>
    </row>
    <row r="1349" spans="1:12" x14ac:dyDescent="0.25">
      <c r="A1349">
        <v>547</v>
      </c>
      <c r="B1349">
        <v>9</v>
      </c>
      <c r="C1349" t="s">
        <v>116</v>
      </c>
      <c r="D1349" t="s">
        <v>620</v>
      </c>
      <c r="E1349">
        <v>19</v>
      </c>
      <c r="F1349">
        <v>31</v>
      </c>
      <c r="G1349">
        <v>3</v>
      </c>
      <c r="H1349">
        <v>13</v>
      </c>
      <c r="I1349">
        <f>Cocina[[#This Row],[Precio Unitario]]*Cocina[[#This Row],[Cantidad Ordenada]]</f>
        <v>93</v>
      </c>
      <c r="J1349">
        <f>(Cocina[[#This Row],[Precio Unitario]]-Cocina[[#This Row],[Costo Unitario]])*Cocina[[#This Row],[Cantidad Ordenada]]</f>
        <v>36</v>
      </c>
      <c r="K1349" s="4">
        <f>Cocina[[#This Row],[Ganancia neta]]/_xlfn.XLOOKUP(Cocina[[#This Row],[Número de Orden]],Sala[Número de Orden],Sala[Monto total],"fracaso",0,1)</f>
        <v>0.15859030837004406</v>
      </c>
      <c r="L1349" t="s">
        <v>607</v>
      </c>
    </row>
    <row r="1350" spans="1:12" x14ac:dyDescent="0.25">
      <c r="A1350">
        <v>547</v>
      </c>
      <c r="B1350">
        <v>9</v>
      </c>
      <c r="C1350" t="s">
        <v>261</v>
      </c>
      <c r="D1350" t="s">
        <v>625</v>
      </c>
      <c r="E1350">
        <v>20</v>
      </c>
      <c r="F1350">
        <v>33</v>
      </c>
      <c r="G1350">
        <v>3</v>
      </c>
      <c r="H1350">
        <v>54</v>
      </c>
      <c r="I1350">
        <f>Cocina[[#This Row],[Precio Unitario]]*Cocina[[#This Row],[Cantidad Ordenada]]</f>
        <v>99</v>
      </c>
      <c r="J1350">
        <f>(Cocina[[#This Row],[Precio Unitario]]-Cocina[[#This Row],[Costo Unitario]])*Cocina[[#This Row],[Cantidad Ordenada]]</f>
        <v>39</v>
      </c>
      <c r="K1350" s="4">
        <f>Cocina[[#This Row],[Ganancia neta]]/_xlfn.XLOOKUP(Cocina[[#This Row],[Número de Orden]],Sala[Número de Orden],Sala[Monto total],"fracaso",0,1)</f>
        <v>0.17180616740088106</v>
      </c>
      <c r="L1350" t="s">
        <v>608</v>
      </c>
    </row>
    <row r="1351" spans="1:12" x14ac:dyDescent="0.25">
      <c r="A1351">
        <v>547</v>
      </c>
      <c r="B1351">
        <v>9</v>
      </c>
      <c r="C1351" t="s">
        <v>26</v>
      </c>
      <c r="D1351" t="s">
        <v>628</v>
      </c>
      <c r="E1351">
        <v>21</v>
      </c>
      <c r="F1351">
        <v>35</v>
      </c>
      <c r="G1351">
        <v>1</v>
      </c>
      <c r="H1351">
        <v>30</v>
      </c>
      <c r="I1351">
        <f>Cocina[[#This Row],[Precio Unitario]]*Cocina[[#This Row],[Cantidad Ordenada]]</f>
        <v>35</v>
      </c>
      <c r="J1351">
        <f>(Cocina[[#This Row],[Precio Unitario]]-Cocina[[#This Row],[Costo Unitario]])*Cocina[[#This Row],[Cantidad Ordenada]]</f>
        <v>14</v>
      </c>
      <c r="K1351" s="4">
        <f>Cocina[[#This Row],[Ganancia neta]]/_xlfn.XLOOKUP(Cocina[[#This Row],[Número de Orden]],Sala[Número de Orden],Sala[Monto total],"fracaso",0,1)</f>
        <v>6.1674008810572688E-2</v>
      </c>
      <c r="L1351" t="s">
        <v>608</v>
      </c>
    </row>
    <row r="1352" spans="1:12" x14ac:dyDescent="0.25">
      <c r="A1352">
        <v>548</v>
      </c>
      <c r="B1352">
        <v>4</v>
      </c>
      <c r="C1352" t="s">
        <v>55</v>
      </c>
      <c r="D1352" t="s">
        <v>631</v>
      </c>
      <c r="E1352">
        <v>20</v>
      </c>
      <c r="F1352">
        <v>34</v>
      </c>
      <c r="G1352">
        <v>1</v>
      </c>
      <c r="H1352">
        <v>58</v>
      </c>
      <c r="I1352">
        <f>Cocina[[#This Row],[Precio Unitario]]*Cocina[[#This Row],[Cantidad Ordenada]]</f>
        <v>34</v>
      </c>
      <c r="J1352">
        <f>(Cocina[[#This Row],[Precio Unitario]]-Cocina[[#This Row],[Costo Unitario]])*Cocina[[#This Row],[Cantidad Ordenada]]</f>
        <v>14</v>
      </c>
      <c r="K1352" s="4">
        <f>Cocina[[#This Row],[Ganancia neta]]/_xlfn.XLOOKUP(Cocina[[#This Row],[Número de Orden]],Sala[Número de Orden],Sala[Monto total],"fracaso",0,1)</f>
        <v>0.14583333333333334</v>
      </c>
      <c r="L1352" t="s">
        <v>608</v>
      </c>
    </row>
    <row r="1353" spans="1:12" x14ac:dyDescent="0.25">
      <c r="A1353">
        <v>548</v>
      </c>
      <c r="B1353">
        <v>4</v>
      </c>
      <c r="C1353" t="s">
        <v>116</v>
      </c>
      <c r="D1353" t="s">
        <v>620</v>
      </c>
      <c r="E1353">
        <v>19</v>
      </c>
      <c r="F1353">
        <v>31</v>
      </c>
      <c r="G1353">
        <v>2</v>
      </c>
      <c r="H1353">
        <v>48</v>
      </c>
      <c r="I1353">
        <f>Cocina[[#This Row],[Precio Unitario]]*Cocina[[#This Row],[Cantidad Ordenada]]</f>
        <v>62</v>
      </c>
      <c r="J1353">
        <f>(Cocina[[#This Row],[Precio Unitario]]-Cocina[[#This Row],[Costo Unitario]])*Cocina[[#This Row],[Cantidad Ordenada]]</f>
        <v>24</v>
      </c>
      <c r="K1353" s="4">
        <f>Cocina[[#This Row],[Ganancia neta]]/_xlfn.XLOOKUP(Cocina[[#This Row],[Número de Orden]],Sala[Número de Orden],Sala[Monto total],"fracaso",0,1)</f>
        <v>0.25</v>
      </c>
      <c r="L1353" t="s">
        <v>608</v>
      </c>
    </row>
    <row r="1354" spans="1:12" x14ac:dyDescent="0.25">
      <c r="A1354">
        <v>549</v>
      </c>
      <c r="B1354">
        <v>12</v>
      </c>
      <c r="C1354" t="s">
        <v>122</v>
      </c>
      <c r="D1354" t="s">
        <v>637</v>
      </c>
      <c r="E1354">
        <v>15</v>
      </c>
      <c r="F1354">
        <v>25</v>
      </c>
      <c r="G1354">
        <v>1</v>
      </c>
      <c r="H1354">
        <v>19</v>
      </c>
      <c r="I1354">
        <f>Cocina[[#This Row],[Precio Unitario]]*Cocina[[#This Row],[Cantidad Ordenada]]</f>
        <v>25</v>
      </c>
      <c r="J1354">
        <f>(Cocina[[#This Row],[Precio Unitario]]-Cocina[[#This Row],[Costo Unitario]])*Cocina[[#This Row],[Cantidad Ordenada]]</f>
        <v>10</v>
      </c>
      <c r="K1354" s="4">
        <f>Cocina[[#This Row],[Ganancia neta]]/_xlfn.XLOOKUP(Cocina[[#This Row],[Número de Orden]],Sala[Número de Orden],Sala[Monto total],"fracaso",0,1)</f>
        <v>6.1728395061728392E-2</v>
      </c>
      <c r="L1354" t="s">
        <v>607</v>
      </c>
    </row>
    <row r="1355" spans="1:12" x14ac:dyDescent="0.25">
      <c r="A1355">
        <v>549</v>
      </c>
      <c r="B1355">
        <v>12</v>
      </c>
      <c r="C1355" t="s">
        <v>26</v>
      </c>
      <c r="D1355" t="s">
        <v>628</v>
      </c>
      <c r="E1355">
        <v>21</v>
      </c>
      <c r="F1355">
        <v>35</v>
      </c>
      <c r="G1355">
        <v>1</v>
      </c>
      <c r="H1355">
        <v>20</v>
      </c>
      <c r="I1355">
        <f>Cocina[[#This Row],[Precio Unitario]]*Cocina[[#This Row],[Cantidad Ordenada]]</f>
        <v>35</v>
      </c>
      <c r="J1355">
        <f>(Cocina[[#This Row],[Precio Unitario]]-Cocina[[#This Row],[Costo Unitario]])*Cocina[[#This Row],[Cantidad Ordenada]]</f>
        <v>14</v>
      </c>
      <c r="K1355" s="4">
        <f>Cocina[[#This Row],[Ganancia neta]]/_xlfn.XLOOKUP(Cocina[[#This Row],[Número de Orden]],Sala[Número de Orden],Sala[Monto total],"fracaso",0,1)</f>
        <v>8.6419753086419748E-2</v>
      </c>
      <c r="L1355" t="s">
        <v>608</v>
      </c>
    </row>
    <row r="1356" spans="1:12" x14ac:dyDescent="0.25">
      <c r="A1356">
        <v>549</v>
      </c>
      <c r="B1356">
        <v>12</v>
      </c>
      <c r="C1356" t="s">
        <v>55</v>
      </c>
      <c r="D1356" t="s">
        <v>631</v>
      </c>
      <c r="E1356">
        <v>20</v>
      </c>
      <c r="F1356">
        <v>34</v>
      </c>
      <c r="G1356">
        <v>3</v>
      </c>
      <c r="H1356">
        <v>59</v>
      </c>
      <c r="I1356">
        <f>Cocina[[#This Row],[Precio Unitario]]*Cocina[[#This Row],[Cantidad Ordenada]]</f>
        <v>102</v>
      </c>
      <c r="J1356">
        <f>(Cocina[[#This Row],[Precio Unitario]]-Cocina[[#This Row],[Costo Unitario]])*Cocina[[#This Row],[Cantidad Ordenada]]</f>
        <v>42</v>
      </c>
      <c r="K1356" s="4">
        <f>Cocina[[#This Row],[Ganancia neta]]/_xlfn.XLOOKUP(Cocina[[#This Row],[Número de Orden]],Sala[Número de Orden],Sala[Monto total],"fracaso",0,1)</f>
        <v>0.25925925925925924</v>
      </c>
      <c r="L1356" t="s">
        <v>607</v>
      </c>
    </row>
    <row r="1357" spans="1:12" x14ac:dyDescent="0.25">
      <c r="A1357">
        <v>550</v>
      </c>
      <c r="B1357">
        <v>1</v>
      </c>
      <c r="C1357" t="s">
        <v>68</v>
      </c>
      <c r="D1357" t="s">
        <v>619</v>
      </c>
      <c r="E1357">
        <v>18</v>
      </c>
      <c r="F1357">
        <v>30</v>
      </c>
      <c r="G1357">
        <v>2</v>
      </c>
      <c r="H1357">
        <v>28</v>
      </c>
      <c r="I1357">
        <f>Cocina[[#This Row],[Precio Unitario]]*Cocina[[#This Row],[Cantidad Ordenada]]</f>
        <v>60</v>
      </c>
      <c r="J1357">
        <f>(Cocina[[#This Row],[Precio Unitario]]-Cocina[[#This Row],[Costo Unitario]])*Cocina[[#This Row],[Cantidad Ordenada]]</f>
        <v>24</v>
      </c>
      <c r="K1357" s="4">
        <f>Cocina[[#This Row],[Ganancia neta]]/_xlfn.XLOOKUP(Cocina[[#This Row],[Número de Orden]],Sala[Número de Orden],Sala[Monto total],"fracaso",0,1)</f>
        <v>0.19354838709677419</v>
      </c>
      <c r="L1357" t="s">
        <v>608</v>
      </c>
    </row>
    <row r="1358" spans="1:12" x14ac:dyDescent="0.25">
      <c r="A1358">
        <v>550</v>
      </c>
      <c r="B1358">
        <v>1</v>
      </c>
      <c r="C1358" t="s">
        <v>158</v>
      </c>
      <c r="D1358" t="s">
        <v>617</v>
      </c>
      <c r="E1358">
        <v>14</v>
      </c>
      <c r="F1358">
        <v>24</v>
      </c>
      <c r="G1358">
        <v>1</v>
      </c>
      <c r="H1358">
        <v>5</v>
      </c>
      <c r="I1358">
        <f>Cocina[[#This Row],[Precio Unitario]]*Cocina[[#This Row],[Cantidad Ordenada]]</f>
        <v>24</v>
      </c>
      <c r="J1358">
        <f>(Cocina[[#This Row],[Precio Unitario]]-Cocina[[#This Row],[Costo Unitario]])*Cocina[[#This Row],[Cantidad Ordenada]]</f>
        <v>10</v>
      </c>
      <c r="K1358" s="4">
        <f>Cocina[[#This Row],[Ganancia neta]]/_xlfn.XLOOKUP(Cocina[[#This Row],[Número de Orden]],Sala[Número de Orden],Sala[Monto total],"fracaso",0,1)</f>
        <v>8.0645161290322578E-2</v>
      </c>
      <c r="L1358" t="s">
        <v>607</v>
      </c>
    </row>
    <row r="1359" spans="1:12" x14ac:dyDescent="0.25">
      <c r="A1359">
        <v>550</v>
      </c>
      <c r="B1359">
        <v>1</v>
      </c>
      <c r="C1359" t="s">
        <v>146</v>
      </c>
      <c r="D1359" t="s">
        <v>632</v>
      </c>
      <c r="E1359">
        <v>12</v>
      </c>
      <c r="F1359">
        <v>20</v>
      </c>
      <c r="G1359">
        <v>2</v>
      </c>
      <c r="H1359">
        <v>24</v>
      </c>
      <c r="I1359">
        <f>Cocina[[#This Row],[Precio Unitario]]*Cocina[[#This Row],[Cantidad Ordenada]]</f>
        <v>40</v>
      </c>
      <c r="J1359">
        <f>(Cocina[[#This Row],[Precio Unitario]]-Cocina[[#This Row],[Costo Unitario]])*Cocina[[#This Row],[Cantidad Ordenada]]</f>
        <v>16</v>
      </c>
      <c r="K1359" s="4">
        <f>Cocina[[#This Row],[Ganancia neta]]/_xlfn.XLOOKUP(Cocina[[#This Row],[Número de Orden]],Sala[Número de Orden],Sala[Monto total],"fracaso",0,1)</f>
        <v>0.12903225806451613</v>
      </c>
      <c r="L1359" t="s">
        <v>607</v>
      </c>
    </row>
    <row r="1360" spans="1:12" x14ac:dyDescent="0.25">
      <c r="A1360">
        <v>551</v>
      </c>
      <c r="B1360">
        <v>4</v>
      </c>
      <c r="C1360" t="s">
        <v>68</v>
      </c>
      <c r="D1360" t="s">
        <v>619</v>
      </c>
      <c r="E1360">
        <v>18</v>
      </c>
      <c r="F1360">
        <v>30</v>
      </c>
      <c r="G1360">
        <v>1</v>
      </c>
      <c r="H1360">
        <v>32</v>
      </c>
      <c r="I1360">
        <f>Cocina[[#This Row],[Precio Unitario]]*Cocina[[#This Row],[Cantidad Ordenada]]</f>
        <v>30</v>
      </c>
      <c r="J1360">
        <f>(Cocina[[#This Row],[Precio Unitario]]-Cocina[[#This Row],[Costo Unitario]])*Cocina[[#This Row],[Cantidad Ordenada]]</f>
        <v>12</v>
      </c>
      <c r="K1360" s="4">
        <f>Cocina[[#This Row],[Ganancia neta]]/_xlfn.XLOOKUP(Cocina[[#This Row],[Número de Orden]],Sala[Número de Orden],Sala[Monto total],"fracaso",0,1)</f>
        <v>7.0175438596491224E-2</v>
      </c>
      <c r="L1360" t="s">
        <v>608</v>
      </c>
    </row>
    <row r="1361" spans="1:12" x14ac:dyDescent="0.25">
      <c r="A1361">
        <v>551</v>
      </c>
      <c r="B1361">
        <v>4</v>
      </c>
      <c r="C1361" t="s">
        <v>146</v>
      </c>
      <c r="D1361" t="s">
        <v>632</v>
      </c>
      <c r="E1361">
        <v>12</v>
      </c>
      <c r="F1361">
        <v>20</v>
      </c>
      <c r="G1361">
        <v>3</v>
      </c>
      <c r="H1361">
        <v>11</v>
      </c>
      <c r="I1361">
        <f>Cocina[[#This Row],[Precio Unitario]]*Cocina[[#This Row],[Cantidad Ordenada]]</f>
        <v>60</v>
      </c>
      <c r="J1361">
        <f>(Cocina[[#This Row],[Precio Unitario]]-Cocina[[#This Row],[Costo Unitario]])*Cocina[[#This Row],[Cantidad Ordenada]]</f>
        <v>24</v>
      </c>
      <c r="K1361" s="4">
        <f>Cocina[[#This Row],[Ganancia neta]]/_xlfn.XLOOKUP(Cocina[[#This Row],[Número de Orden]],Sala[Número de Orden],Sala[Monto total],"fracaso",0,1)</f>
        <v>0.14035087719298245</v>
      </c>
      <c r="L1361" t="s">
        <v>607</v>
      </c>
    </row>
    <row r="1362" spans="1:12" x14ac:dyDescent="0.25">
      <c r="A1362">
        <v>551</v>
      </c>
      <c r="B1362">
        <v>4</v>
      </c>
      <c r="C1362" t="s">
        <v>79</v>
      </c>
      <c r="D1362" t="s">
        <v>635</v>
      </c>
      <c r="E1362">
        <v>10</v>
      </c>
      <c r="F1362">
        <v>18</v>
      </c>
      <c r="G1362">
        <v>1</v>
      </c>
      <c r="H1362">
        <v>29</v>
      </c>
      <c r="I1362">
        <f>Cocina[[#This Row],[Precio Unitario]]*Cocina[[#This Row],[Cantidad Ordenada]]</f>
        <v>18</v>
      </c>
      <c r="J1362">
        <f>(Cocina[[#This Row],[Precio Unitario]]-Cocina[[#This Row],[Costo Unitario]])*Cocina[[#This Row],[Cantidad Ordenada]]</f>
        <v>8</v>
      </c>
      <c r="K1362" s="4">
        <f>Cocina[[#This Row],[Ganancia neta]]/_xlfn.XLOOKUP(Cocina[[#This Row],[Número de Orden]],Sala[Número de Orden],Sala[Monto total],"fracaso",0,1)</f>
        <v>4.6783625730994149E-2</v>
      </c>
      <c r="L1362" t="s">
        <v>607</v>
      </c>
    </row>
    <row r="1363" spans="1:12" x14ac:dyDescent="0.25">
      <c r="A1363">
        <v>551</v>
      </c>
      <c r="B1363">
        <v>4</v>
      </c>
      <c r="C1363" t="s">
        <v>70</v>
      </c>
      <c r="D1363" t="s">
        <v>634</v>
      </c>
      <c r="E1363">
        <v>13</v>
      </c>
      <c r="F1363">
        <v>21</v>
      </c>
      <c r="G1363">
        <v>3</v>
      </c>
      <c r="H1363">
        <v>51</v>
      </c>
      <c r="I1363">
        <f>Cocina[[#This Row],[Precio Unitario]]*Cocina[[#This Row],[Cantidad Ordenada]]</f>
        <v>63</v>
      </c>
      <c r="J1363">
        <f>(Cocina[[#This Row],[Precio Unitario]]-Cocina[[#This Row],[Costo Unitario]])*Cocina[[#This Row],[Cantidad Ordenada]]</f>
        <v>24</v>
      </c>
      <c r="K1363" s="4">
        <f>Cocina[[#This Row],[Ganancia neta]]/_xlfn.XLOOKUP(Cocina[[#This Row],[Número de Orden]],Sala[Número de Orden],Sala[Monto total],"fracaso",0,1)</f>
        <v>0.14035087719298245</v>
      </c>
      <c r="L1363" t="s">
        <v>608</v>
      </c>
    </row>
    <row r="1364" spans="1:12" x14ac:dyDescent="0.25">
      <c r="A1364">
        <v>552</v>
      </c>
      <c r="B1364">
        <v>11</v>
      </c>
      <c r="C1364" t="s">
        <v>48</v>
      </c>
      <c r="D1364" t="s">
        <v>622</v>
      </c>
      <c r="E1364">
        <v>25</v>
      </c>
      <c r="F1364">
        <v>40</v>
      </c>
      <c r="G1364">
        <v>3</v>
      </c>
      <c r="H1364">
        <v>26</v>
      </c>
      <c r="I1364">
        <f>Cocina[[#This Row],[Precio Unitario]]*Cocina[[#This Row],[Cantidad Ordenada]]</f>
        <v>120</v>
      </c>
      <c r="J1364">
        <f>(Cocina[[#This Row],[Precio Unitario]]-Cocina[[#This Row],[Costo Unitario]])*Cocina[[#This Row],[Cantidad Ordenada]]</f>
        <v>45</v>
      </c>
      <c r="K1364" s="4">
        <f>Cocina[[#This Row],[Ganancia neta]]/_xlfn.XLOOKUP(Cocina[[#This Row],[Número de Orden]],Sala[Número de Orden],Sala[Monto total],"fracaso",0,1)</f>
        <v>0.18518518518518517</v>
      </c>
      <c r="L1364" t="s">
        <v>608</v>
      </c>
    </row>
    <row r="1365" spans="1:12" x14ac:dyDescent="0.25">
      <c r="A1365">
        <v>552</v>
      </c>
      <c r="B1365">
        <v>11</v>
      </c>
      <c r="C1365" t="s">
        <v>70</v>
      </c>
      <c r="D1365" t="s">
        <v>634</v>
      </c>
      <c r="E1365">
        <v>13</v>
      </c>
      <c r="F1365">
        <v>21</v>
      </c>
      <c r="G1365">
        <v>3</v>
      </c>
      <c r="H1365">
        <v>57</v>
      </c>
      <c r="I1365">
        <f>Cocina[[#This Row],[Precio Unitario]]*Cocina[[#This Row],[Cantidad Ordenada]]</f>
        <v>63</v>
      </c>
      <c r="J1365">
        <f>(Cocina[[#This Row],[Precio Unitario]]-Cocina[[#This Row],[Costo Unitario]])*Cocina[[#This Row],[Cantidad Ordenada]]</f>
        <v>24</v>
      </c>
      <c r="K1365" s="4">
        <f>Cocina[[#This Row],[Ganancia neta]]/_xlfn.XLOOKUP(Cocina[[#This Row],[Número de Orden]],Sala[Número de Orden],Sala[Monto total],"fracaso",0,1)</f>
        <v>9.8765432098765427E-2</v>
      </c>
      <c r="L1365" t="s">
        <v>608</v>
      </c>
    </row>
    <row r="1366" spans="1:12" x14ac:dyDescent="0.25">
      <c r="A1366">
        <v>552</v>
      </c>
      <c r="B1366">
        <v>11</v>
      </c>
      <c r="C1366" t="s">
        <v>146</v>
      </c>
      <c r="D1366" t="s">
        <v>632</v>
      </c>
      <c r="E1366">
        <v>12</v>
      </c>
      <c r="F1366">
        <v>20</v>
      </c>
      <c r="G1366">
        <v>3</v>
      </c>
      <c r="H1366">
        <v>32</v>
      </c>
      <c r="I1366">
        <f>Cocina[[#This Row],[Precio Unitario]]*Cocina[[#This Row],[Cantidad Ordenada]]</f>
        <v>60</v>
      </c>
      <c r="J1366">
        <f>(Cocina[[#This Row],[Precio Unitario]]-Cocina[[#This Row],[Costo Unitario]])*Cocina[[#This Row],[Cantidad Ordenada]]</f>
        <v>24</v>
      </c>
      <c r="K1366" s="4">
        <f>Cocina[[#This Row],[Ganancia neta]]/_xlfn.XLOOKUP(Cocina[[#This Row],[Número de Orden]],Sala[Número de Orden],Sala[Monto total],"fracaso",0,1)</f>
        <v>9.8765432098765427E-2</v>
      </c>
      <c r="L1366" t="s">
        <v>608</v>
      </c>
    </row>
    <row r="1367" spans="1:12" x14ac:dyDescent="0.25">
      <c r="A1367">
        <v>553</v>
      </c>
      <c r="B1367">
        <v>14</v>
      </c>
      <c r="C1367" t="s">
        <v>68</v>
      </c>
      <c r="D1367" t="s">
        <v>619</v>
      </c>
      <c r="E1367">
        <v>18</v>
      </c>
      <c r="F1367">
        <v>30</v>
      </c>
      <c r="G1367">
        <v>3</v>
      </c>
      <c r="H1367">
        <v>26</v>
      </c>
      <c r="I1367">
        <f>Cocina[[#This Row],[Precio Unitario]]*Cocina[[#This Row],[Cantidad Ordenada]]</f>
        <v>90</v>
      </c>
      <c r="J1367">
        <f>(Cocina[[#This Row],[Precio Unitario]]-Cocina[[#This Row],[Costo Unitario]])*Cocina[[#This Row],[Cantidad Ordenada]]</f>
        <v>36</v>
      </c>
      <c r="K1367" s="4">
        <f>Cocina[[#This Row],[Ganancia neta]]/_xlfn.XLOOKUP(Cocina[[#This Row],[Número de Orden]],Sala[Número de Orden],Sala[Monto total],"fracaso",0,1)</f>
        <v>0.17733990147783252</v>
      </c>
      <c r="L1367" t="s">
        <v>608</v>
      </c>
    </row>
    <row r="1368" spans="1:12" x14ac:dyDescent="0.25">
      <c r="A1368">
        <v>553</v>
      </c>
      <c r="B1368">
        <v>14</v>
      </c>
      <c r="C1368" t="s">
        <v>122</v>
      </c>
      <c r="D1368" t="s">
        <v>637</v>
      </c>
      <c r="E1368">
        <v>15</v>
      </c>
      <c r="F1368">
        <v>25</v>
      </c>
      <c r="G1368">
        <v>2</v>
      </c>
      <c r="H1368">
        <v>56</v>
      </c>
      <c r="I1368">
        <f>Cocina[[#This Row],[Precio Unitario]]*Cocina[[#This Row],[Cantidad Ordenada]]</f>
        <v>50</v>
      </c>
      <c r="J1368">
        <f>(Cocina[[#This Row],[Precio Unitario]]-Cocina[[#This Row],[Costo Unitario]])*Cocina[[#This Row],[Cantidad Ordenada]]</f>
        <v>20</v>
      </c>
      <c r="K1368" s="4">
        <f>Cocina[[#This Row],[Ganancia neta]]/_xlfn.XLOOKUP(Cocina[[#This Row],[Número de Orden]],Sala[Número de Orden],Sala[Monto total],"fracaso",0,1)</f>
        <v>9.8522167487684734E-2</v>
      </c>
      <c r="L1368" t="s">
        <v>607</v>
      </c>
    </row>
    <row r="1369" spans="1:12" x14ac:dyDescent="0.25">
      <c r="A1369">
        <v>553</v>
      </c>
      <c r="B1369">
        <v>14</v>
      </c>
      <c r="C1369" t="s">
        <v>203</v>
      </c>
      <c r="D1369" t="s">
        <v>630</v>
      </c>
      <c r="E1369">
        <v>13</v>
      </c>
      <c r="F1369">
        <v>22</v>
      </c>
      <c r="G1369">
        <v>2</v>
      </c>
      <c r="H1369">
        <v>54</v>
      </c>
      <c r="I1369">
        <f>Cocina[[#This Row],[Precio Unitario]]*Cocina[[#This Row],[Cantidad Ordenada]]</f>
        <v>44</v>
      </c>
      <c r="J1369">
        <f>(Cocina[[#This Row],[Precio Unitario]]-Cocina[[#This Row],[Costo Unitario]])*Cocina[[#This Row],[Cantidad Ordenada]]</f>
        <v>18</v>
      </c>
      <c r="K1369" s="4">
        <f>Cocina[[#This Row],[Ganancia neta]]/_xlfn.XLOOKUP(Cocina[[#This Row],[Número de Orden]],Sala[Número de Orden],Sala[Monto total],"fracaso",0,1)</f>
        <v>8.8669950738916259E-2</v>
      </c>
      <c r="L1369" t="s">
        <v>607</v>
      </c>
    </row>
    <row r="1370" spans="1:12" x14ac:dyDescent="0.25">
      <c r="A1370">
        <v>553</v>
      </c>
      <c r="B1370">
        <v>14</v>
      </c>
      <c r="C1370" t="s">
        <v>112</v>
      </c>
      <c r="D1370" t="s">
        <v>627</v>
      </c>
      <c r="E1370">
        <v>11</v>
      </c>
      <c r="F1370">
        <v>19</v>
      </c>
      <c r="G1370">
        <v>1</v>
      </c>
      <c r="H1370">
        <v>42</v>
      </c>
      <c r="I1370">
        <f>Cocina[[#This Row],[Precio Unitario]]*Cocina[[#This Row],[Cantidad Ordenada]]</f>
        <v>19</v>
      </c>
      <c r="J1370">
        <f>(Cocina[[#This Row],[Precio Unitario]]-Cocina[[#This Row],[Costo Unitario]])*Cocina[[#This Row],[Cantidad Ordenada]]</f>
        <v>8</v>
      </c>
      <c r="K1370" s="4">
        <f>Cocina[[#This Row],[Ganancia neta]]/_xlfn.XLOOKUP(Cocina[[#This Row],[Número de Orden]],Sala[Número de Orden],Sala[Monto total],"fracaso",0,1)</f>
        <v>3.9408866995073892E-2</v>
      </c>
      <c r="L1370" t="s">
        <v>608</v>
      </c>
    </row>
    <row r="1371" spans="1:12" x14ac:dyDescent="0.25">
      <c r="A1371">
        <v>554</v>
      </c>
      <c r="B1371">
        <v>10</v>
      </c>
      <c r="C1371" t="s">
        <v>200</v>
      </c>
      <c r="D1371" t="s">
        <v>633</v>
      </c>
      <c r="E1371">
        <v>14</v>
      </c>
      <c r="F1371">
        <v>23</v>
      </c>
      <c r="G1371">
        <v>2</v>
      </c>
      <c r="H1371">
        <v>55</v>
      </c>
      <c r="I1371">
        <f>Cocina[[#This Row],[Precio Unitario]]*Cocina[[#This Row],[Cantidad Ordenada]]</f>
        <v>46</v>
      </c>
      <c r="J1371">
        <f>(Cocina[[#This Row],[Precio Unitario]]-Cocina[[#This Row],[Costo Unitario]])*Cocina[[#This Row],[Cantidad Ordenada]]</f>
        <v>18</v>
      </c>
      <c r="K1371" s="4">
        <f>Cocina[[#This Row],[Ganancia neta]]/_xlfn.XLOOKUP(Cocina[[#This Row],[Número de Orden]],Sala[Número de Orden],Sala[Monto total],"fracaso",0,1)</f>
        <v>0.10843373493975904</v>
      </c>
      <c r="L1371" t="s">
        <v>608</v>
      </c>
    </row>
    <row r="1372" spans="1:12" x14ac:dyDescent="0.25">
      <c r="A1372">
        <v>554</v>
      </c>
      <c r="B1372">
        <v>10</v>
      </c>
      <c r="C1372" t="s">
        <v>48</v>
      </c>
      <c r="D1372" t="s">
        <v>622</v>
      </c>
      <c r="E1372">
        <v>25</v>
      </c>
      <c r="F1372">
        <v>40</v>
      </c>
      <c r="G1372">
        <v>3</v>
      </c>
      <c r="H1372">
        <v>16</v>
      </c>
      <c r="I1372">
        <f>Cocina[[#This Row],[Precio Unitario]]*Cocina[[#This Row],[Cantidad Ordenada]]</f>
        <v>120</v>
      </c>
      <c r="J1372">
        <f>(Cocina[[#This Row],[Precio Unitario]]-Cocina[[#This Row],[Costo Unitario]])*Cocina[[#This Row],[Cantidad Ordenada]]</f>
        <v>45</v>
      </c>
      <c r="K1372" s="4">
        <f>Cocina[[#This Row],[Ganancia neta]]/_xlfn.XLOOKUP(Cocina[[#This Row],[Número de Orden]],Sala[Número de Orden],Sala[Monto total],"fracaso",0,1)</f>
        <v>0.27108433734939757</v>
      </c>
      <c r="L1372" t="s">
        <v>607</v>
      </c>
    </row>
    <row r="1373" spans="1:12" x14ac:dyDescent="0.25">
      <c r="A1373">
        <v>555</v>
      </c>
      <c r="B1373">
        <v>20</v>
      </c>
      <c r="C1373" t="s">
        <v>68</v>
      </c>
      <c r="D1373" t="s">
        <v>619</v>
      </c>
      <c r="E1373">
        <v>18</v>
      </c>
      <c r="F1373">
        <v>30</v>
      </c>
      <c r="G1373">
        <v>1</v>
      </c>
      <c r="H1373">
        <v>46</v>
      </c>
      <c r="I1373">
        <f>Cocina[[#This Row],[Precio Unitario]]*Cocina[[#This Row],[Cantidad Ordenada]]</f>
        <v>30</v>
      </c>
      <c r="J1373">
        <f>(Cocina[[#This Row],[Precio Unitario]]-Cocina[[#This Row],[Costo Unitario]])*Cocina[[#This Row],[Cantidad Ordenada]]</f>
        <v>12</v>
      </c>
      <c r="K1373" s="4">
        <f>Cocina[[#This Row],[Ganancia neta]]/_xlfn.XLOOKUP(Cocina[[#This Row],[Número de Orden]],Sala[Número de Orden],Sala[Monto total],"fracaso",0,1)</f>
        <v>0.4</v>
      </c>
      <c r="L1373" t="s">
        <v>607</v>
      </c>
    </row>
    <row r="1374" spans="1:12" x14ac:dyDescent="0.25">
      <c r="A1374">
        <v>556</v>
      </c>
      <c r="B1374">
        <v>9</v>
      </c>
      <c r="C1374" t="s">
        <v>203</v>
      </c>
      <c r="D1374" t="s">
        <v>630</v>
      </c>
      <c r="E1374">
        <v>13</v>
      </c>
      <c r="F1374">
        <v>22</v>
      </c>
      <c r="G1374">
        <v>1</v>
      </c>
      <c r="H1374">
        <v>36</v>
      </c>
      <c r="I1374">
        <f>Cocina[[#This Row],[Precio Unitario]]*Cocina[[#This Row],[Cantidad Ordenada]]</f>
        <v>22</v>
      </c>
      <c r="J1374">
        <f>(Cocina[[#This Row],[Precio Unitario]]-Cocina[[#This Row],[Costo Unitario]])*Cocina[[#This Row],[Cantidad Ordenada]]</f>
        <v>9</v>
      </c>
      <c r="K1374" s="4">
        <f>Cocina[[#This Row],[Ganancia neta]]/_xlfn.XLOOKUP(Cocina[[#This Row],[Número de Orden]],Sala[Número de Orden],Sala[Monto total],"fracaso",0,1)</f>
        <v>0.11842105263157894</v>
      </c>
      <c r="L1374" t="s">
        <v>607</v>
      </c>
    </row>
    <row r="1375" spans="1:12" x14ac:dyDescent="0.25">
      <c r="A1375">
        <v>556</v>
      </c>
      <c r="B1375">
        <v>9</v>
      </c>
      <c r="C1375" t="s">
        <v>79</v>
      </c>
      <c r="D1375" t="s">
        <v>635</v>
      </c>
      <c r="E1375">
        <v>10</v>
      </c>
      <c r="F1375">
        <v>18</v>
      </c>
      <c r="G1375">
        <v>3</v>
      </c>
      <c r="H1375">
        <v>30</v>
      </c>
      <c r="I1375">
        <f>Cocina[[#This Row],[Precio Unitario]]*Cocina[[#This Row],[Cantidad Ordenada]]</f>
        <v>54</v>
      </c>
      <c r="J1375">
        <f>(Cocina[[#This Row],[Precio Unitario]]-Cocina[[#This Row],[Costo Unitario]])*Cocina[[#This Row],[Cantidad Ordenada]]</f>
        <v>24</v>
      </c>
      <c r="K1375" s="4">
        <f>Cocina[[#This Row],[Ganancia neta]]/_xlfn.XLOOKUP(Cocina[[#This Row],[Número de Orden]],Sala[Número de Orden],Sala[Monto total],"fracaso",0,1)</f>
        <v>0.31578947368421051</v>
      </c>
      <c r="L1375" t="s">
        <v>608</v>
      </c>
    </row>
    <row r="1376" spans="1:12" x14ac:dyDescent="0.25">
      <c r="A1376">
        <v>557</v>
      </c>
      <c r="B1376">
        <v>7</v>
      </c>
      <c r="C1376" t="s">
        <v>247</v>
      </c>
      <c r="D1376" t="s">
        <v>629</v>
      </c>
      <c r="E1376">
        <v>19</v>
      </c>
      <c r="F1376">
        <v>32</v>
      </c>
      <c r="G1376">
        <v>2</v>
      </c>
      <c r="H1376">
        <v>47</v>
      </c>
      <c r="I1376">
        <f>Cocina[[#This Row],[Precio Unitario]]*Cocina[[#This Row],[Cantidad Ordenada]]</f>
        <v>64</v>
      </c>
      <c r="J1376">
        <f>(Cocina[[#This Row],[Precio Unitario]]-Cocina[[#This Row],[Costo Unitario]])*Cocina[[#This Row],[Cantidad Ordenada]]</f>
        <v>26</v>
      </c>
      <c r="K1376" s="4">
        <f>Cocina[[#This Row],[Ganancia neta]]/_xlfn.XLOOKUP(Cocina[[#This Row],[Número de Orden]],Sala[Número de Orden],Sala[Monto total],"fracaso",0,1)</f>
        <v>0.14689265536723164</v>
      </c>
      <c r="L1376" t="s">
        <v>608</v>
      </c>
    </row>
    <row r="1377" spans="1:12" x14ac:dyDescent="0.25">
      <c r="A1377">
        <v>557</v>
      </c>
      <c r="B1377">
        <v>7</v>
      </c>
      <c r="C1377" t="s">
        <v>70</v>
      </c>
      <c r="D1377" t="s">
        <v>634</v>
      </c>
      <c r="E1377">
        <v>13</v>
      </c>
      <c r="F1377">
        <v>21</v>
      </c>
      <c r="G1377">
        <v>3</v>
      </c>
      <c r="H1377">
        <v>22</v>
      </c>
      <c r="I1377">
        <f>Cocina[[#This Row],[Precio Unitario]]*Cocina[[#This Row],[Cantidad Ordenada]]</f>
        <v>63</v>
      </c>
      <c r="J1377">
        <f>(Cocina[[#This Row],[Precio Unitario]]-Cocina[[#This Row],[Costo Unitario]])*Cocina[[#This Row],[Cantidad Ordenada]]</f>
        <v>24</v>
      </c>
      <c r="K1377" s="4">
        <f>Cocina[[#This Row],[Ganancia neta]]/_xlfn.XLOOKUP(Cocina[[#This Row],[Número de Orden]],Sala[Número de Orden],Sala[Monto total],"fracaso",0,1)</f>
        <v>0.13559322033898305</v>
      </c>
      <c r="L1377" t="s">
        <v>608</v>
      </c>
    </row>
    <row r="1378" spans="1:12" x14ac:dyDescent="0.25">
      <c r="A1378">
        <v>557</v>
      </c>
      <c r="B1378">
        <v>7</v>
      </c>
      <c r="C1378" t="s">
        <v>122</v>
      </c>
      <c r="D1378" t="s">
        <v>637</v>
      </c>
      <c r="E1378">
        <v>15</v>
      </c>
      <c r="F1378">
        <v>25</v>
      </c>
      <c r="G1378">
        <v>2</v>
      </c>
      <c r="H1378">
        <v>38</v>
      </c>
      <c r="I1378">
        <f>Cocina[[#This Row],[Precio Unitario]]*Cocina[[#This Row],[Cantidad Ordenada]]</f>
        <v>50</v>
      </c>
      <c r="J1378">
        <f>(Cocina[[#This Row],[Precio Unitario]]-Cocina[[#This Row],[Costo Unitario]])*Cocina[[#This Row],[Cantidad Ordenada]]</f>
        <v>20</v>
      </c>
      <c r="K1378" s="4">
        <f>Cocina[[#This Row],[Ganancia neta]]/_xlfn.XLOOKUP(Cocina[[#This Row],[Número de Orden]],Sala[Número de Orden],Sala[Monto total],"fracaso",0,1)</f>
        <v>0.11299435028248588</v>
      </c>
      <c r="L1378" t="s">
        <v>607</v>
      </c>
    </row>
    <row r="1379" spans="1:12" x14ac:dyDescent="0.25">
      <c r="A1379">
        <v>558</v>
      </c>
      <c r="B1379">
        <v>6</v>
      </c>
      <c r="C1379" t="s">
        <v>247</v>
      </c>
      <c r="D1379" t="s">
        <v>629</v>
      </c>
      <c r="E1379">
        <v>19</v>
      </c>
      <c r="F1379">
        <v>32</v>
      </c>
      <c r="G1379">
        <v>3</v>
      </c>
      <c r="H1379">
        <v>56</v>
      </c>
      <c r="I1379">
        <f>Cocina[[#This Row],[Precio Unitario]]*Cocina[[#This Row],[Cantidad Ordenada]]</f>
        <v>96</v>
      </c>
      <c r="J1379">
        <f>(Cocina[[#This Row],[Precio Unitario]]-Cocina[[#This Row],[Costo Unitario]])*Cocina[[#This Row],[Cantidad Ordenada]]</f>
        <v>39</v>
      </c>
      <c r="K1379" s="4">
        <f>Cocina[[#This Row],[Ganancia neta]]/_xlfn.XLOOKUP(Cocina[[#This Row],[Número de Orden]],Sala[Número de Orden],Sala[Monto total],"fracaso",0,1)</f>
        <v>0.21787709497206703</v>
      </c>
      <c r="L1379" t="s">
        <v>607</v>
      </c>
    </row>
    <row r="1380" spans="1:12" x14ac:dyDescent="0.25">
      <c r="A1380">
        <v>558</v>
      </c>
      <c r="B1380">
        <v>6</v>
      </c>
      <c r="C1380" t="s">
        <v>122</v>
      </c>
      <c r="D1380" t="s">
        <v>637</v>
      </c>
      <c r="E1380">
        <v>15</v>
      </c>
      <c r="F1380">
        <v>25</v>
      </c>
      <c r="G1380">
        <v>2</v>
      </c>
      <c r="H1380">
        <v>54</v>
      </c>
      <c r="I1380">
        <f>Cocina[[#This Row],[Precio Unitario]]*Cocina[[#This Row],[Cantidad Ordenada]]</f>
        <v>50</v>
      </c>
      <c r="J1380">
        <f>(Cocina[[#This Row],[Precio Unitario]]-Cocina[[#This Row],[Costo Unitario]])*Cocina[[#This Row],[Cantidad Ordenada]]</f>
        <v>20</v>
      </c>
      <c r="K1380" s="4">
        <f>Cocina[[#This Row],[Ganancia neta]]/_xlfn.XLOOKUP(Cocina[[#This Row],[Número de Orden]],Sala[Número de Orden],Sala[Monto total],"fracaso",0,1)</f>
        <v>0.11173184357541899</v>
      </c>
      <c r="L1380" t="s">
        <v>608</v>
      </c>
    </row>
    <row r="1381" spans="1:12" x14ac:dyDescent="0.25">
      <c r="A1381">
        <v>558</v>
      </c>
      <c r="B1381">
        <v>6</v>
      </c>
      <c r="C1381" t="s">
        <v>261</v>
      </c>
      <c r="D1381" t="s">
        <v>625</v>
      </c>
      <c r="E1381">
        <v>20</v>
      </c>
      <c r="F1381">
        <v>33</v>
      </c>
      <c r="G1381">
        <v>1</v>
      </c>
      <c r="H1381">
        <v>57</v>
      </c>
      <c r="I1381">
        <f>Cocina[[#This Row],[Precio Unitario]]*Cocina[[#This Row],[Cantidad Ordenada]]</f>
        <v>33</v>
      </c>
      <c r="J1381">
        <f>(Cocina[[#This Row],[Precio Unitario]]-Cocina[[#This Row],[Costo Unitario]])*Cocina[[#This Row],[Cantidad Ordenada]]</f>
        <v>13</v>
      </c>
      <c r="K1381" s="4">
        <f>Cocina[[#This Row],[Ganancia neta]]/_xlfn.XLOOKUP(Cocina[[#This Row],[Número de Orden]],Sala[Número de Orden],Sala[Monto total],"fracaso",0,1)</f>
        <v>7.2625698324022353E-2</v>
      </c>
      <c r="L1381" t="s">
        <v>607</v>
      </c>
    </row>
    <row r="1382" spans="1:12" x14ac:dyDescent="0.25">
      <c r="A1382">
        <v>559</v>
      </c>
      <c r="B1382">
        <v>11</v>
      </c>
      <c r="C1382" t="s">
        <v>261</v>
      </c>
      <c r="D1382" t="s">
        <v>625</v>
      </c>
      <c r="E1382">
        <v>20</v>
      </c>
      <c r="F1382">
        <v>33</v>
      </c>
      <c r="G1382">
        <v>3</v>
      </c>
      <c r="H1382">
        <v>41</v>
      </c>
      <c r="I1382">
        <f>Cocina[[#This Row],[Precio Unitario]]*Cocina[[#This Row],[Cantidad Ordenada]]</f>
        <v>99</v>
      </c>
      <c r="J1382">
        <f>(Cocina[[#This Row],[Precio Unitario]]-Cocina[[#This Row],[Costo Unitario]])*Cocina[[#This Row],[Cantidad Ordenada]]</f>
        <v>39</v>
      </c>
      <c r="K1382" s="4">
        <f>Cocina[[#This Row],[Ganancia neta]]/_xlfn.XLOOKUP(Cocina[[#This Row],[Número de Orden]],Sala[Número de Orden],Sala[Monto total],"fracaso",0,1)</f>
        <v>0.39393939393939392</v>
      </c>
      <c r="L1382" t="s">
        <v>608</v>
      </c>
    </row>
    <row r="1383" spans="1:12" x14ac:dyDescent="0.25">
      <c r="A1383">
        <v>560</v>
      </c>
      <c r="B1383">
        <v>6</v>
      </c>
      <c r="C1383" t="s">
        <v>79</v>
      </c>
      <c r="D1383" t="s">
        <v>635</v>
      </c>
      <c r="E1383">
        <v>10</v>
      </c>
      <c r="F1383">
        <v>18</v>
      </c>
      <c r="G1383">
        <v>2</v>
      </c>
      <c r="H1383">
        <v>36</v>
      </c>
      <c r="I1383">
        <f>Cocina[[#This Row],[Precio Unitario]]*Cocina[[#This Row],[Cantidad Ordenada]]</f>
        <v>36</v>
      </c>
      <c r="J1383">
        <f>(Cocina[[#This Row],[Precio Unitario]]-Cocina[[#This Row],[Costo Unitario]])*Cocina[[#This Row],[Cantidad Ordenada]]</f>
        <v>16</v>
      </c>
      <c r="K1383" s="4">
        <f>Cocina[[#This Row],[Ganancia neta]]/_xlfn.XLOOKUP(Cocina[[#This Row],[Número de Orden]],Sala[Número de Orden],Sala[Monto total],"fracaso",0,1)</f>
        <v>0.14414414414414414</v>
      </c>
      <c r="L1383" t="s">
        <v>608</v>
      </c>
    </row>
    <row r="1384" spans="1:12" x14ac:dyDescent="0.25">
      <c r="A1384">
        <v>560</v>
      </c>
      <c r="B1384">
        <v>6</v>
      </c>
      <c r="C1384" t="s">
        <v>122</v>
      </c>
      <c r="D1384" t="s">
        <v>637</v>
      </c>
      <c r="E1384">
        <v>15</v>
      </c>
      <c r="F1384">
        <v>25</v>
      </c>
      <c r="G1384">
        <v>3</v>
      </c>
      <c r="H1384">
        <v>12</v>
      </c>
      <c r="I1384">
        <f>Cocina[[#This Row],[Precio Unitario]]*Cocina[[#This Row],[Cantidad Ordenada]]</f>
        <v>75</v>
      </c>
      <c r="J1384">
        <f>(Cocina[[#This Row],[Precio Unitario]]-Cocina[[#This Row],[Costo Unitario]])*Cocina[[#This Row],[Cantidad Ordenada]]</f>
        <v>30</v>
      </c>
      <c r="K1384" s="4">
        <f>Cocina[[#This Row],[Ganancia neta]]/_xlfn.XLOOKUP(Cocina[[#This Row],[Número de Orden]],Sala[Número de Orden],Sala[Monto total],"fracaso",0,1)</f>
        <v>0.27027027027027029</v>
      </c>
      <c r="L1384" t="s">
        <v>608</v>
      </c>
    </row>
    <row r="1385" spans="1:12" x14ac:dyDescent="0.25">
      <c r="A1385">
        <v>561</v>
      </c>
      <c r="B1385">
        <v>4</v>
      </c>
      <c r="C1385" t="s">
        <v>79</v>
      </c>
      <c r="D1385" t="s">
        <v>635</v>
      </c>
      <c r="E1385">
        <v>10</v>
      </c>
      <c r="F1385">
        <v>18</v>
      </c>
      <c r="G1385">
        <v>1</v>
      </c>
      <c r="H1385">
        <v>56</v>
      </c>
      <c r="I1385">
        <f>Cocina[[#This Row],[Precio Unitario]]*Cocina[[#This Row],[Cantidad Ordenada]]</f>
        <v>18</v>
      </c>
      <c r="J1385">
        <f>(Cocina[[#This Row],[Precio Unitario]]-Cocina[[#This Row],[Costo Unitario]])*Cocina[[#This Row],[Cantidad Ordenada]]</f>
        <v>8</v>
      </c>
      <c r="K1385" s="4">
        <f>Cocina[[#This Row],[Ganancia neta]]/_xlfn.XLOOKUP(Cocina[[#This Row],[Número de Orden]],Sala[Número de Orden],Sala[Monto total],"fracaso",0,1)</f>
        <v>0.125</v>
      </c>
      <c r="L1385" t="s">
        <v>608</v>
      </c>
    </row>
    <row r="1386" spans="1:12" x14ac:dyDescent="0.25">
      <c r="A1386">
        <v>561</v>
      </c>
      <c r="B1386">
        <v>4</v>
      </c>
      <c r="C1386" t="s">
        <v>200</v>
      </c>
      <c r="D1386" t="s">
        <v>633</v>
      </c>
      <c r="E1386">
        <v>14</v>
      </c>
      <c r="F1386">
        <v>23</v>
      </c>
      <c r="G1386">
        <v>2</v>
      </c>
      <c r="H1386">
        <v>8</v>
      </c>
      <c r="I1386">
        <f>Cocina[[#This Row],[Precio Unitario]]*Cocina[[#This Row],[Cantidad Ordenada]]</f>
        <v>46</v>
      </c>
      <c r="J1386">
        <f>(Cocina[[#This Row],[Precio Unitario]]-Cocina[[#This Row],[Costo Unitario]])*Cocina[[#This Row],[Cantidad Ordenada]]</f>
        <v>18</v>
      </c>
      <c r="K1386" s="4">
        <f>Cocina[[#This Row],[Ganancia neta]]/_xlfn.XLOOKUP(Cocina[[#This Row],[Número de Orden]],Sala[Número de Orden],Sala[Monto total],"fracaso",0,1)</f>
        <v>0.28125</v>
      </c>
      <c r="L1386" t="s">
        <v>608</v>
      </c>
    </row>
    <row r="1387" spans="1:12" x14ac:dyDescent="0.25">
      <c r="A1387">
        <v>562</v>
      </c>
      <c r="B1387">
        <v>20</v>
      </c>
      <c r="C1387" t="s">
        <v>48</v>
      </c>
      <c r="D1387" t="s">
        <v>622</v>
      </c>
      <c r="E1387">
        <v>25</v>
      </c>
      <c r="F1387">
        <v>40</v>
      </c>
      <c r="G1387">
        <v>3</v>
      </c>
      <c r="H1387">
        <v>41</v>
      </c>
      <c r="I1387">
        <f>Cocina[[#This Row],[Precio Unitario]]*Cocina[[#This Row],[Cantidad Ordenada]]</f>
        <v>120</v>
      </c>
      <c r="J1387">
        <f>(Cocina[[#This Row],[Precio Unitario]]-Cocina[[#This Row],[Costo Unitario]])*Cocina[[#This Row],[Cantidad Ordenada]]</f>
        <v>45</v>
      </c>
      <c r="K1387" s="4">
        <f>Cocina[[#This Row],[Ganancia neta]]/_xlfn.XLOOKUP(Cocina[[#This Row],[Número de Orden]],Sala[Número de Orden],Sala[Monto total],"fracaso",0,1)</f>
        <v>0.15625</v>
      </c>
      <c r="L1387" t="s">
        <v>607</v>
      </c>
    </row>
    <row r="1388" spans="1:12" x14ac:dyDescent="0.25">
      <c r="A1388">
        <v>562</v>
      </c>
      <c r="B1388">
        <v>20</v>
      </c>
      <c r="C1388" t="s">
        <v>38</v>
      </c>
      <c r="D1388" t="s">
        <v>624</v>
      </c>
      <c r="E1388">
        <v>17</v>
      </c>
      <c r="F1388">
        <v>29</v>
      </c>
      <c r="G1388">
        <v>2</v>
      </c>
      <c r="H1388">
        <v>7</v>
      </c>
      <c r="I1388">
        <f>Cocina[[#This Row],[Precio Unitario]]*Cocina[[#This Row],[Cantidad Ordenada]]</f>
        <v>58</v>
      </c>
      <c r="J1388">
        <f>(Cocina[[#This Row],[Precio Unitario]]-Cocina[[#This Row],[Costo Unitario]])*Cocina[[#This Row],[Cantidad Ordenada]]</f>
        <v>24</v>
      </c>
      <c r="K1388" s="4">
        <f>Cocina[[#This Row],[Ganancia neta]]/_xlfn.XLOOKUP(Cocina[[#This Row],[Número de Orden]],Sala[Número de Orden],Sala[Monto total],"fracaso",0,1)</f>
        <v>8.3333333333333329E-2</v>
      </c>
      <c r="L1388" t="s">
        <v>607</v>
      </c>
    </row>
    <row r="1389" spans="1:12" x14ac:dyDescent="0.25">
      <c r="A1389">
        <v>562</v>
      </c>
      <c r="B1389">
        <v>20</v>
      </c>
      <c r="C1389" t="s">
        <v>158</v>
      </c>
      <c r="D1389" t="s">
        <v>617</v>
      </c>
      <c r="E1389">
        <v>14</v>
      </c>
      <c r="F1389">
        <v>24</v>
      </c>
      <c r="G1389">
        <v>2</v>
      </c>
      <c r="H1389">
        <v>22</v>
      </c>
      <c r="I1389">
        <f>Cocina[[#This Row],[Precio Unitario]]*Cocina[[#This Row],[Cantidad Ordenada]]</f>
        <v>48</v>
      </c>
      <c r="J1389">
        <f>(Cocina[[#This Row],[Precio Unitario]]-Cocina[[#This Row],[Costo Unitario]])*Cocina[[#This Row],[Cantidad Ordenada]]</f>
        <v>20</v>
      </c>
      <c r="K1389" s="4">
        <f>Cocina[[#This Row],[Ganancia neta]]/_xlfn.XLOOKUP(Cocina[[#This Row],[Número de Orden]],Sala[Número de Orden],Sala[Monto total],"fracaso",0,1)</f>
        <v>6.9444444444444448E-2</v>
      </c>
      <c r="L1389" t="s">
        <v>607</v>
      </c>
    </row>
    <row r="1390" spans="1:12" x14ac:dyDescent="0.25">
      <c r="A1390">
        <v>562</v>
      </c>
      <c r="B1390">
        <v>20</v>
      </c>
      <c r="C1390" t="s">
        <v>116</v>
      </c>
      <c r="D1390" t="s">
        <v>620</v>
      </c>
      <c r="E1390">
        <v>19</v>
      </c>
      <c r="F1390">
        <v>31</v>
      </c>
      <c r="G1390">
        <v>2</v>
      </c>
      <c r="H1390">
        <v>42</v>
      </c>
      <c r="I1390">
        <f>Cocina[[#This Row],[Precio Unitario]]*Cocina[[#This Row],[Cantidad Ordenada]]</f>
        <v>62</v>
      </c>
      <c r="J1390">
        <f>(Cocina[[#This Row],[Precio Unitario]]-Cocina[[#This Row],[Costo Unitario]])*Cocina[[#This Row],[Cantidad Ordenada]]</f>
        <v>24</v>
      </c>
      <c r="K1390" s="4">
        <f>Cocina[[#This Row],[Ganancia neta]]/_xlfn.XLOOKUP(Cocina[[#This Row],[Número de Orden]],Sala[Número de Orden],Sala[Monto total],"fracaso",0,1)</f>
        <v>8.3333333333333329E-2</v>
      </c>
      <c r="L1390" t="s">
        <v>608</v>
      </c>
    </row>
    <row r="1391" spans="1:12" x14ac:dyDescent="0.25">
      <c r="A1391">
        <v>563</v>
      </c>
      <c r="B1391">
        <v>12</v>
      </c>
      <c r="C1391" t="s">
        <v>106</v>
      </c>
      <c r="D1391" t="s">
        <v>621</v>
      </c>
      <c r="E1391">
        <v>16</v>
      </c>
      <c r="F1391">
        <v>27</v>
      </c>
      <c r="G1391">
        <v>2</v>
      </c>
      <c r="H1391">
        <v>37</v>
      </c>
      <c r="I1391">
        <f>Cocina[[#This Row],[Precio Unitario]]*Cocina[[#This Row],[Cantidad Ordenada]]</f>
        <v>54</v>
      </c>
      <c r="J1391">
        <f>(Cocina[[#This Row],[Precio Unitario]]-Cocina[[#This Row],[Costo Unitario]])*Cocina[[#This Row],[Cantidad Ordenada]]</f>
        <v>22</v>
      </c>
      <c r="K1391" s="4">
        <f>Cocina[[#This Row],[Ganancia neta]]/_xlfn.XLOOKUP(Cocina[[#This Row],[Número de Orden]],Sala[Número de Orden],Sala[Monto total],"fracaso",0,1)</f>
        <v>0.40740740740740738</v>
      </c>
      <c r="L1391" t="s">
        <v>608</v>
      </c>
    </row>
    <row r="1392" spans="1:12" x14ac:dyDescent="0.25">
      <c r="A1392">
        <v>564</v>
      </c>
      <c r="B1392">
        <v>9</v>
      </c>
      <c r="C1392" t="s">
        <v>73</v>
      </c>
      <c r="D1392" t="s">
        <v>623</v>
      </c>
      <c r="E1392">
        <v>22</v>
      </c>
      <c r="F1392">
        <v>36</v>
      </c>
      <c r="G1392">
        <v>1</v>
      </c>
      <c r="H1392">
        <v>7</v>
      </c>
      <c r="I1392">
        <f>Cocina[[#This Row],[Precio Unitario]]*Cocina[[#This Row],[Cantidad Ordenada]]</f>
        <v>36</v>
      </c>
      <c r="J1392">
        <f>(Cocina[[#This Row],[Precio Unitario]]-Cocina[[#This Row],[Costo Unitario]])*Cocina[[#This Row],[Cantidad Ordenada]]</f>
        <v>14</v>
      </c>
      <c r="K1392" s="4">
        <f>Cocina[[#This Row],[Ganancia neta]]/_xlfn.XLOOKUP(Cocina[[#This Row],[Número de Orden]],Sala[Número de Orden],Sala[Monto total],"fracaso",0,1)</f>
        <v>8.9743589743589744E-2</v>
      </c>
      <c r="L1392" t="s">
        <v>608</v>
      </c>
    </row>
    <row r="1393" spans="1:12" x14ac:dyDescent="0.25">
      <c r="A1393">
        <v>564</v>
      </c>
      <c r="B1393">
        <v>9</v>
      </c>
      <c r="C1393" t="s">
        <v>48</v>
      </c>
      <c r="D1393" t="s">
        <v>622</v>
      </c>
      <c r="E1393">
        <v>25</v>
      </c>
      <c r="F1393">
        <v>40</v>
      </c>
      <c r="G1393">
        <v>2</v>
      </c>
      <c r="H1393">
        <v>36</v>
      </c>
      <c r="I1393">
        <f>Cocina[[#This Row],[Precio Unitario]]*Cocina[[#This Row],[Cantidad Ordenada]]</f>
        <v>80</v>
      </c>
      <c r="J1393">
        <f>(Cocina[[#This Row],[Precio Unitario]]-Cocina[[#This Row],[Costo Unitario]])*Cocina[[#This Row],[Cantidad Ordenada]]</f>
        <v>30</v>
      </c>
      <c r="K1393" s="4">
        <f>Cocina[[#This Row],[Ganancia neta]]/_xlfn.XLOOKUP(Cocina[[#This Row],[Número de Orden]],Sala[Número de Orden],Sala[Monto total],"fracaso",0,1)</f>
        <v>0.19230769230769232</v>
      </c>
      <c r="L1393" t="s">
        <v>608</v>
      </c>
    </row>
    <row r="1394" spans="1:12" x14ac:dyDescent="0.25">
      <c r="A1394">
        <v>564</v>
      </c>
      <c r="B1394">
        <v>9</v>
      </c>
      <c r="C1394" t="s">
        <v>146</v>
      </c>
      <c r="D1394" t="s">
        <v>632</v>
      </c>
      <c r="E1394">
        <v>12</v>
      </c>
      <c r="F1394">
        <v>20</v>
      </c>
      <c r="G1394">
        <v>2</v>
      </c>
      <c r="H1394">
        <v>11</v>
      </c>
      <c r="I1394">
        <f>Cocina[[#This Row],[Precio Unitario]]*Cocina[[#This Row],[Cantidad Ordenada]]</f>
        <v>40</v>
      </c>
      <c r="J1394">
        <f>(Cocina[[#This Row],[Precio Unitario]]-Cocina[[#This Row],[Costo Unitario]])*Cocina[[#This Row],[Cantidad Ordenada]]</f>
        <v>16</v>
      </c>
      <c r="K1394" s="4">
        <f>Cocina[[#This Row],[Ganancia neta]]/_xlfn.XLOOKUP(Cocina[[#This Row],[Número de Orden]],Sala[Número de Orden],Sala[Monto total],"fracaso",0,1)</f>
        <v>0.10256410256410256</v>
      </c>
      <c r="L1394" t="s">
        <v>608</v>
      </c>
    </row>
    <row r="1395" spans="1:12" x14ac:dyDescent="0.25">
      <c r="A1395">
        <v>565</v>
      </c>
      <c r="B1395">
        <v>3</v>
      </c>
      <c r="C1395" t="s">
        <v>247</v>
      </c>
      <c r="D1395" t="s">
        <v>629</v>
      </c>
      <c r="E1395">
        <v>19</v>
      </c>
      <c r="F1395">
        <v>32</v>
      </c>
      <c r="G1395">
        <v>3</v>
      </c>
      <c r="H1395">
        <v>19</v>
      </c>
      <c r="I1395">
        <f>Cocina[[#This Row],[Precio Unitario]]*Cocina[[#This Row],[Cantidad Ordenada]]</f>
        <v>96</v>
      </c>
      <c r="J1395">
        <f>(Cocina[[#This Row],[Precio Unitario]]-Cocina[[#This Row],[Costo Unitario]])*Cocina[[#This Row],[Cantidad Ordenada]]</f>
        <v>39</v>
      </c>
      <c r="K1395" s="4">
        <f>Cocina[[#This Row],[Ganancia neta]]/_xlfn.XLOOKUP(Cocina[[#This Row],[Número de Orden]],Sala[Número de Orden],Sala[Monto total],"fracaso",0,1)</f>
        <v>0.15537848605577689</v>
      </c>
      <c r="L1395" t="s">
        <v>607</v>
      </c>
    </row>
    <row r="1396" spans="1:12" x14ac:dyDescent="0.25">
      <c r="A1396">
        <v>565</v>
      </c>
      <c r="B1396">
        <v>3</v>
      </c>
      <c r="C1396" t="s">
        <v>79</v>
      </c>
      <c r="D1396" t="s">
        <v>635</v>
      </c>
      <c r="E1396">
        <v>10</v>
      </c>
      <c r="F1396">
        <v>18</v>
      </c>
      <c r="G1396">
        <v>3</v>
      </c>
      <c r="H1396">
        <v>53</v>
      </c>
      <c r="I1396">
        <f>Cocina[[#This Row],[Precio Unitario]]*Cocina[[#This Row],[Cantidad Ordenada]]</f>
        <v>54</v>
      </c>
      <c r="J1396">
        <f>(Cocina[[#This Row],[Precio Unitario]]-Cocina[[#This Row],[Costo Unitario]])*Cocina[[#This Row],[Cantidad Ordenada]]</f>
        <v>24</v>
      </c>
      <c r="K1396" s="4">
        <f>Cocina[[#This Row],[Ganancia neta]]/_xlfn.XLOOKUP(Cocina[[#This Row],[Número de Orden]],Sala[Número de Orden],Sala[Monto total],"fracaso",0,1)</f>
        <v>9.5617529880478086E-2</v>
      </c>
      <c r="L1396" t="s">
        <v>608</v>
      </c>
    </row>
    <row r="1397" spans="1:12" x14ac:dyDescent="0.25">
      <c r="A1397">
        <v>565</v>
      </c>
      <c r="B1397">
        <v>3</v>
      </c>
      <c r="C1397" t="s">
        <v>261</v>
      </c>
      <c r="D1397" t="s">
        <v>625</v>
      </c>
      <c r="E1397">
        <v>20</v>
      </c>
      <c r="F1397">
        <v>33</v>
      </c>
      <c r="G1397">
        <v>2</v>
      </c>
      <c r="H1397">
        <v>21</v>
      </c>
      <c r="I1397">
        <f>Cocina[[#This Row],[Precio Unitario]]*Cocina[[#This Row],[Cantidad Ordenada]]</f>
        <v>66</v>
      </c>
      <c r="J1397">
        <f>(Cocina[[#This Row],[Precio Unitario]]-Cocina[[#This Row],[Costo Unitario]])*Cocina[[#This Row],[Cantidad Ordenada]]</f>
        <v>26</v>
      </c>
      <c r="K1397" s="4">
        <f>Cocina[[#This Row],[Ganancia neta]]/_xlfn.XLOOKUP(Cocina[[#This Row],[Número de Orden]],Sala[Número de Orden],Sala[Monto total],"fracaso",0,1)</f>
        <v>0.10358565737051793</v>
      </c>
      <c r="L1397" t="s">
        <v>608</v>
      </c>
    </row>
    <row r="1398" spans="1:12" x14ac:dyDescent="0.25">
      <c r="A1398">
        <v>565</v>
      </c>
      <c r="B1398">
        <v>3</v>
      </c>
      <c r="C1398" t="s">
        <v>26</v>
      </c>
      <c r="D1398" t="s">
        <v>628</v>
      </c>
      <c r="E1398">
        <v>21</v>
      </c>
      <c r="F1398">
        <v>35</v>
      </c>
      <c r="G1398">
        <v>1</v>
      </c>
      <c r="H1398">
        <v>5</v>
      </c>
      <c r="I1398">
        <f>Cocina[[#This Row],[Precio Unitario]]*Cocina[[#This Row],[Cantidad Ordenada]]</f>
        <v>35</v>
      </c>
      <c r="J1398">
        <f>(Cocina[[#This Row],[Precio Unitario]]-Cocina[[#This Row],[Costo Unitario]])*Cocina[[#This Row],[Cantidad Ordenada]]</f>
        <v>14</v>
      </c>
      <c r="K1398" s="4">
        <f>Cocina[[#This Row],[Ganancia neta]]/_xlfn.XLOOKUP(Cocina[[#This Row],[Número de Orden]],Sala[Número de Orden],Sala[Monto total],"fracaso",0,1)</f>
        <v>5.5776892430278883E-2</v>
      </c>
      <c r="L1398" t="s">
        <v>608</v>
      </c>
    </row>
    <row r="1399" spans="1:12" x14ac:dyDescent="0.25">
      <c r="A1399">
        <v>566</v>
      </c>
      <c r="B1399">
        <v>4</v>
      </c>
      <c r="C1399" t="s">
        <v>155</v>
      </c>
      <c r="D1399" t="s">
        <v>636</v>
      </c>
      <c r="E1399">
        <v>15</v>
      </c>
      <c r="F1399">
        <v>26</v>
      </c>
      <c r="G1399">
        <v>3</v>
      </c>
      <c r="H1399">
        <v>56</v>
      </c>
      <c r="I1399">
        <f>Cocina[[#This Row],[Precio Unitario]]*Cocina[[#This Row],[Cantidad Ordenada]]</f>
        <v>78</v>
      </c>
      <c r="J1399">
        <f>(Cocina[[#This Row],[Precio Unitario]]-Cocina[[#This Row],[Costo Unitario]])*Cocina[[#This Row],[Cantidad Ordenada]]</f>
        <v>33</v>
      </c>
      <c r="K1399" s="4">
        <f>Cocina[[#This Row],[Ganancia neta]]/_xlfn.XLOOKUP(Cocina[[#This Row],[Número de Orden]],Sala[Número de Orden],Sala[Monto total],"fracaso",0,1)</f>
        <v>0.42307692307692307</v>
      </c>
      <c r="L1399" t="s">
        <v>607</v>
      </c>
    </row>
    <row r="1400" spans="1:12" x14ac:dyDescent="0.25">
      <c r="A1400">
        <v>567</v>
      </c>
      <c r="B1400">
        <v>15</v>
      </c>
      <c r="C1400" t="s">
        <v>42</v>
      </c>
      <c r="D1400" t="s">
        <v>626</v>
      </c>
      <c r="E1400">
        <v>16</v>
      </c>
      <c r="F1400">
        <v>28</v>
      </c>
      <c r="G1400">
        <v>2</v>
      </c>
      <c r="H1400">
        <v>9</v>
      </c>
      <c r="I1400">
        <f>Cocina[[#This Row],[Precio Unitario]]*Cocina[[#This Row],[Cantidad Ordenada]]</f>
        <v>56</v>
      </c>
      <c r="J1400">
        <f>(Cocina[[#This Row],[Precio Unitario]]-Cocina[[#This Row],[Costo Unitario]])*Cocina[[#This Row],[Cantidad Ordenada]]</f>
        <v>24</v>
      </c>
      <c r="K1400" s="4">
        <f>Cocina[[#This Row],[Ganancia neta]]/_xlfn.XLOOKUP(Cocina[[#This Row],[Número de Orden]],Sala[Número de Orden],Sala[Monto total],"fracaso",0,1)</f>
        <v>9.4861660079051377E-2</v>
      </c>
      <c r="L1400" t="s">
        <v>607</v>
      </c>
    </row>
    <row r="1401" spans="1:12" x14ac:dyDescent="0.25">
      <c r="A1401">
        <v>567</v>
      </c>
      <c r="B1401">
        <v>15</v>
      </c>
      <c r="C1401" t="s">
        <v>261</v>
      </c>
      <c r="D1401" t="s">
        <v>625</v>
      </c>
      <c r="E1401">
        <v>20</v>
      </c>
      <c r="F1401">
        <v>33</v>
      </c>
      <c r="G1401">
        <v>2</v>
      </c>
      <c r="H1401">
        <v>34</v>
      </c>
      <c r="I1401">
        <f>Cocina[[#This Row],[Precio Unitario]]*Cocina[[#This Row],[Cantidad Ordenada]]</f>
        <v>66</v>
      </c>
      <c r="J1401">
        <f>(Cocina[[#This Row],[Precio Unitario]]-Cocina[[#This Row],[Costo Unitario]])*Cocina[[#This Row],[Cantidad Ordenada]]</f>
        <v>26</v>
      </c>
      <c r="K1401" s="4">
        <f>Cocina[[#This Row],[Ganancia neta]]/_xlfn.XLOOKUP(Cocina[[#This Row],[Número de Orden]],Sala[Número de Orden],Sala[Monto total],"fracaso",0,1)</f>
        <v>0.10276679841897234</v>
      </c>
      <c r="L1401" t="s">
        <v>608</v>
      </c>
    </row>
    <row r="1402" spans="1:12" x14ac:dyDescent="0.25">
      <c r="A1402">
        <v>567</v>
      </c>
      <c r="B1402">
        <v>15</v>
      </c>
      <c r="C1402" t="s">
        <v>55</v>
      </c>
      <c r="D1402" t="s">
        <v>631</v>
      </c>
      <c r="E1402">
        <v>20</v>
      </c>
      <c r="F1402">
        <v>34</v>
      </c>
      <c r="G1402">
        <v>2</v>
      </c>
      <c r="H1402">
        <v>18</v>
      </c>
      <c r="I1402">
        <f>Cocina[[#This Row],[Precio Unitario]]*Cocina[[#This Row],[Cantidad Ordenada]]</f>
        <v>68</v>
      </c>
      <c r="J1402">
        <f>(Cocina[[#This Row],[Precio Unitario]]-Cocina[[#This Row],[Costo Unitario]])*Cocina[[#This Row],[Cantidad Ordenada]]</f>
        <v>28</v>
      </c>
      <c r="K1402" s="4">
        <f>Cocina[[#This Row],[Ganancia neta]]/_xlfn.XLOOKUP(Cocina[[#This Row],[Número de Orden]],Sala[Número de Orden],Sala[Monto total],"fracaso",0,1)</f>
        <v>0.11067193675889328</v>
      </c>
      <c r="L1402" t="s">
        <v>607</v>
      </c>
    </row>
    <row r="1403" spans="1:12" x14ac:dyDescent="0.25">
      <c r="A1403">
        <v>567</v>
      </c>
      <c r="B1403">
        <v>15</v>
      </c>
      <c r="C1403" t="s">
        <v>70</v>
      </c>
      <c r="D1403" t="s">
        <v>634</v>
      </c>
      <c r="E1403">
        <v>13</v>
      </c>
      <c r="F1403">
        <v>21</v>
      </c>
      <c r="G1403">
        <v>3</v>
      </c>
      <c r="H1403">
        <v>41</v>
      </c>
      <c r="I1403">
        <f>Cocina[[#This Row],[Precio Unitario]]*Cocina[[#This Row],[Cantidad Ordenada]]</f>
        <v>63</v>
      </c>
      <c r="J1403">
        <f>(Cocina[[#This Row],[Precio Unitario]]-Cocina[[#This Row],[Costo Unitario]])*Cocina[[#This Row],[Cantidad Ordenada]]</f>
        <v>24</v>
      </c>
      <c r="K1403" s="4">
        <f>Cocina[[#This Row],[Ganancia neta]]/_xlfn.XLOOKUP(Cocina[[#This Row],[Número de Orden]],Sala[Número de Orden],Sala[Monto total],"fracaso",0,1)</f>
        <v>9.4861660079051377E-2</v>
      </c>
      <c r="L1403" t="s">
        <v>608</v>
      </c>
    </row>
    <row r="1404" spans="1:12" x14ac:dyDescent="0.25">
      <c r="A1404">
        <v>568</v>
      </c>
      <c r="B1404">
        <v>5</v>
      </c>
      <c r="C1404" t="s">
        <v>55</v>
      </c>
      <c r="D1404" t="s">
        <v>631</v>
      </c>
      <c r="E1404">
        <v>20</v>
      </c>
      <c r="F1404">
        <v>34</v>
      </c>
      <c r="G1404">
        <v>3</v>
      </c>
      <c r="H1404">
        <v>40</v>
      </c>
      <c r="I1404">
        <f>Cocina[[#This Row],[Precio Unitario]]*Cocina[[#This Row],[Cantidad Ordenada]]</f>
        <v>102</v>
      </c>
      <c r="J1404">
        <f>(Cocina[[#This Row],[Precio Unitario]]-Cocina[[#This Row],[Costo Unitario]])*Cocina[[#This Row],[Cantidad Ordenada]]</f>
        <v>42</v>
      </c>
      <c r="K1404" s="4">
        <f>Cocina[[#This Row],[Ganancia neta]]/_xlfn.XLOOKUP(Cocina[[#This Row],[Número de Orden]],Sala[Número de Orden],Sala[Monto total],"fracaso",0,1)</f>
        <v>0.23076923076923078</v>
      </c>
      <c r="L1404" t="s">
        <v>607</v>
      </c>
    </row>
    <row r="1405" spans="1:12" x14ac:dyDescent="0.25">
      <c r="A1405">
        <v>568</v>
      </c>
      <c r="B1405">
        <v>5</v>
      </c>
      <c r="C1405" t="s">
        <v>48</v>
      </c>
      <c r="D1405" t="s">
        <v>622</v>
      </c>
      <c r="E1405">
        <v>25</v>
      </c>
      <c r="F1405">
        <v>40</v>
      </c>
      <c r="G1405">
        <v>2</v>
      </c>
      <c r="H1405">
        <v>44</v>
      </c>
      <c r="I1405">
        <f>Cocina[[#This Row],[Precio Unitario]]*Cocina[[#This Row],[Cantidad Ordenada]]</f>
        <v>80</v>
      </c>
      <c r="J1405">
        <f>(Cocina[[#This Row],[Precio Unitario]]-Cocina[[#This Row],[Costo Unitario]])*Cocina[[#This Row],[Cantidad Ordenada]]</f>
        <v>30</v>
      </c>
      <c r="K1405" s="4">
        <f>Cocina[[#This Row],[Ganancia neta]]/_xlfn.XLOOKUP(Cocina[[#This Row],[Número de Orden]],Sala[Número de Orden],Sala[Monto total],"fracaso",0,1)</f>
        <v>0.16483516483516483</v>
      </c>
      <c r="L1405" t="s">
        <v>608</v>
      </c>
    </row>
    <row r="1406" spans="1:12" x14ac:dyDescent="0.25">
      <c r="A1406">
        <v>569</v>
      </c>
      <c r="B1406">
        <v>12</v>
      </c>
      <c r="C1406" t="s">
        <v>55</v>
      </c>
      <c r="D1406" t="s">
        <v>631</v>
      </c>
      <c r="E1406">
        <v>20</v>
      </c>
      <c r="F1406">
        <v>34</v>
      </c>
      <c r="G1406">
        <v>2</v>
      </c>
      <c r="H1406">
        <v>26</v>
      </c>
      <c r="I1406">
        <f>Cocina[[#This Row],[Precio Unitario]]*Cocina[[#This Row],[Cantidad Ordenada]]</f>
        <v>68</v>
      </c>
      <c r="J1406">
        <f>(Cocina[[#This Row],[Precio Unitario]]-Cocina[[#This Row],[Costo Unitario]])*Cocina[[#This Row],[Cantidad Ordenada]]</f>
        <v>28</v>
      </c>
      <c r="K1406" s="4">
        <f>Cocina[[#This Row],[Ganancia neta]]/_xlfn.XLOOKUP(Cocina[[#This Row],[Número de Orden]],Sala[Número de Orden],Sala[Monto total],"fracaso",0,1)</f>
        <v>0.21374045801526717</v>
      </c>
      <c r="L1406" t="s">
        <v>607</v>
      </c>
    </row>
    <row r="1407" spans="1:12" x14ac:dyDescent="0.25">
      <c r="A1407">
        <v>569</v>
      </c>
      <c r="B1407">
        <v>12</v>
      </c>
      <c r="C1407" t="s">
        <v>70</v>
      </c>
      <c r="D1407" t="s">
        <v>634</v>
      </c>
      <c r="E1407">
        <v>13</v>
      </c>
      <c r="F1407">
        <v>21</v>
      </c>
      <c r="G1407">
        <v>3</v>
      </c>
      <c r="H1407">
        <v>32</v>
      </c>
      <c r="I1407">
        <f>Cocina[[#This Row],[Precio Unitario]]*Cocina[[#This Row],[Cantidad Ordenada]]</f>
        <v>63</v>
      </c>
      <c r="J1407">
        <f>(Cocina[[#This Row],[Precio Unitario]]-Cocina[[#This Row],[Costo Unitario]])*Cocina[[#This Row],[Cantidad Ordenada]]</f>
        <v>24</v>
      </c>
      <c r="K1407" s="4">
        <f>Cocina[[#This Row],[Ganancia neta]]/_xlfn.XLOOKUP(Cocina[[#This Row],[Número de Orden]],Sala[Número de Orden],Sala[Monto total],"fracaso",0,1)</f>
        <v>0.18320610687022901</v>
      </c>
      <c r="L1407" t="s">
        <v>608</v>
      </c>
    </row>
    <row r="1408" spans="1:12" x14ac:dyDescent="0.25">
      <c r="A1408">
        <v>570</v>
      </c>
      <c r="B1408">
        <v>1</v>
      </c>
      <c r="C1408" t="s">
        <v>261</v>
      </c>
      <c r="D1408" t="s">
        <v>625</v>
      </c>
      <c r="E1408">
        <v>20</v>
      </c>
      <c r="F1408">
        <v>33</v>
      </c>
      <c r="G1408">
        <v>1</v>
      </c>
      <c r="H1408">
        <v>38</v>
      </c>
      <c r="I1408">
        <f>Cocina[[#This Row],[Precio Unitario]]*Cocina[[#This Row],[Cantidad Ordenada]]</f>
        <v>33</v>
      </c>
      <c r="J1408">
        <f>(Cocina[[#This Row],[Precio Unitario]]-Cocina[[#This Row],[Costo Unitario]])*Cocina[[#This Row],[Cantidad Ordenada]]</f>
        <v>13</v>
      </c>
      <c r="K1408" s="4">
        <f>Cocina[[#This Row],[Ganancia neta]]/_xlfn.XLOOKUP(Cocina[[#This Row],[Número de Orden]],Sala[Número de Orden],Sala[Monto total],"fracaso",0,1)</f>
        <v>0.15294117647058825</v>
      </c>
      <c r="L1408" t="s">
        <v>607</v>
      </c>
    </row>
    <row r="1409" spans="1:12" x14ac:dyDescent="0.25">
      <c r="A1409">
        <v>570</v>
      </c>
      <c r="B1409">
        <v>1</v>
      </c>
      <c r="C1409" t="s">
        <v>155</v>
      </c>
      <c r="D1409" t="s">
        <v>636</v>
      </c>
      <c r="E1409">
        <v>15</v>
      </c>
      <c r="F1409">
        <v>26</v>
      </c>
      <c r="G1409">
        <v>2</v>
      </c>
      <c r="H1409">
        <v>8</v>
      </c>
      <c r="I1409">
        <f>Cocina[[#This Row],[Precio Unitario]]*Cocina[[#This Row],[Cantidad Ordenada]]</f>
        <v>52</v>
      </c>
      <c r="J1409">
        <f>(Cocina[[#This Row],[Precio Unitario]]-Cocina[[#This Row],[Costo Unitario]])*Cocina[[#This Row],[Cantidad Ordenada]]</f>
        <v>22</v>
      </c>
      <c r="K1409" s="4">
        <f>Cocina[[#This Row],[Ganancia neta]]/_xlfn.XLOOKUP(Cocina[[#This Row],[Número de Orden]],Sala[Número de Orden],Sala[Monto total],"fracaso",0,1)</f>
        <v>0.25882352941176473</v>
      </c>
      <c r="L1409" t="s">
        <v>608</v>
      </c>
    </row>
    <row r="1410" spans="1:12" x14ac:dyDescent="0.25">
      <c r="A1410">
        <v>571</v>
      </c>
      <c r="B1410">
        <v>15</v>
      </c>
      <c r="C1410" t="s">
        <v>106</v>
      </c>
      <c r="D1410" t="s">
        <v>621</v>
      </c>
      <c r="E1410">
        <v>16</v>
      </c>
      <c r="F1410">
        <v>27</v>
      </c>
      <c r="G1410">
        <v>2</v>
      </c>
      <c r="H1410">
        <v>26</v>
      </c>
      <c r="I1410">
        <f>Cocina[[#This Row],[Precio Unitario]]*Cocina[[#This Row],[Cantidad Ordenada]]</f>
        <v>54</v>
      </c>
      <c r="J1410">
        <f>(Cocina[[#This Row],[Precio Unitario]]-Cocina[[#This Row],[Costo Unitario]])*Cocina[[#This Row],[Cantidad Ordenada]]</f>
        <v>22</v>
      </c>
      <c r="K1410" s="4">
        <f>Cocina[[#This Row],[Ganancia neta]]/_xlfn.XLOOKUP(Cocina[[#This Row],[Número de Orden]],Sala[Número de Orden],Sala[Monto total],"fracaso",0,1)</f>
        <v>0.40740740740740738</v>
      </c>
      <c r="L1410" t="s">
        <v>607</v>
      </c>
    </row>
    <row r="1411" spans="1:12" x14ac:dyDescent="0.25">
      <c r="A1411">
        <v>572</v>
      </c>
      <c r="B1411">
        <v>19</v>
      </c>
      <c r="C1411" t="s">
        <v>68</v>
      </c>
      <c r="D1411" t="s">
        <v>619</v>
      </c>
      <c r="E1411">
        <v>18</v>
      </c>
      <c r="F1411">
        <v>30</v>
      </c>
      <c r="G1411">
        <v>1</v>
      </c>
      <c r="H1411">
        <v>34</v>
      </c>
      <c r="I1411">
        <f>Cocina[[#This Row],[Precio Unitario]]*Cocina[[#This Row],[Cantidad Ordenada]]</f>
        <v>30</v>
      </c>
      <c r="J1411">
        <f>(Cocina[[#This Row],[Precio Unitario]]-Cocina[[#This Row],[Costo Unitario]])*Cocina[[#This Row],[Cantidad Ordenada]]</f>
        <v>12</v>
      </c>
      <c r="K1411" s="4">
        <f>Cocina[[#This Row],[Ganancia neta]]/_xlfn.XLOOKUP(Cocina[[#This Row],[Número de Orden]],Sala[Número de Orden],Sala[Monto total],"fracaso",0,1)</f>
        <v>0.16216216216216217</v>
      </c>
      <c r="L1411" t="s">
        <v>608</v>
      </c>
    </row>
    <row r="1412" spans="1:12" x14ac:dyDescent="0.25">
      <c r="A1412">
        <v>572</v>
      </c>
      <c r="B1412">
        <v>19</v>
      </c>
      <c r="C1412" t="s">
        <v>203</v>
      </c>
      <c r="D1412" t="s">
        <v>630</v>
      </c>
      <c r="E1412">
        <v>13</v>
      </c>
      <c r="F1412">
        <v>22</v>
      </c>
      <c r="G1412">
        <v>2</v>
      </c>
      <c r="H1412">
        <v>10</v>
      </c>
      <c r="I1412">
        <f>Cocina[[#This Row],[Precio Unitario]]*Cocina[[#This Row],[Cantidad Ordenada]]</f>
        <v>44</v>
      </c>
      <c r="J1412">
        <f>(Cocina[[#This Row],[Precio Unitario]]-Cocina[[#This Row],[Costo Unitario]])*Cocina[[#This Row],[Cantidad Ordenada]]</f>
        <v>18</v>
      </c>
      <c r="K1412" s="4">
        <f>Cocina[[#This Row],[Ganancia neta]]/_xlfn.XLOOKUP(Cocina[[#This Row],[Número de Orden]],Sala[Número de Orden],Sala[Monto total],"fracaso",0,1)</f>
        <v>0.24324324324324326</v>
      </c>
      <c r="L1412" t="s">
        <v>608</v>
      </c>
    </row>
    <row r="1413" spans="1:12" x14ac:dyDescent="0.25">
      <c r="A1413">
        <v>573</v>
      </c>
      <c r="B1413">
        <v>7</v>
      </c>
      <c r="C1413" t="s">
        <v>70</v>
      </c>
      <c r="D1413" t="s">
        <v>634</v>
      </c>
      <c r="E1413">
        <v>13</v>
      </c>
      <c r="F1413">
        <v>21</v>
      </c>
      <c r="G1413">
        <v>3</v>
      </c>
      <c r="H1413">
        <v>41</v>
      </c>
      <c r="I1413">
        <f>Cocina[[#This Row],[Precio Unitario]]*Cocina[[#This Row],[Cantidad Ordenada]]</f>
        <v>63</v>
      </c>
      <c r="J1413">
        <f>(Cocina[[#This Row],[Precio Unitario]]-Cocina[[#This Row],[Costo Unitario]])*Cocina[[#This Row],[Cantidad Ordenada]]</f>
        <v>24</v>
      </c>
      <c r="K1413" s="4">
        <f>Cocina[[#This Row],[Ganancia neta]]/_xlfn.XLOOKUP(Cocina[[#This Row],[Número de Orden]],Sala[Número de Orden],Sala[Monto total],"fracaso",0,1)</f>
        <v>0.14545454545454545</v>
      </c>
      <c r="L1413" t="s">
        <v>607</v>
      </c>
    </row>
    <row r="1414" spans="1:12" x14ac:dyDescent="0.25">
      <c r="A1414">
        <v>573</v>
      </c>
      <c r="B1414">
        <v>7</v>
      </c>
      <c r="C1414" t="s">
        <v>55</v>
      </c>
      <c r="D1414" t="s">
        <v>631</v>
      </c>
      <c r="E1414">
        <v>20</v>
      </c>
      <c r="F1414">
        <v>34</v>
      </c>
      <c r="G1414">
        <v>3</v>
      </c>
      <c r="H1414">
        <v>28</v>
      </c>
      <c r="I1414">
        <f>Cocina[[#This Row],[Precio Unitario]]*Cocina[[#This Row],[Cantidad Ordenada]]</f>
        <v>102</v>
      </c>
      <c r="J1414">
        <f>(Cocina[[#This Row],[Precio Unitario]]-Cocina[[#This Row],[Costo Unitario]])*Cocina[[#This Row],[Cantidad Ordenada]]</f>
        <v>42</v>
      </c>
      <c r="K1414" s="4">
        <f>Cocina[[#This Row],[Ganancia neta]]/_xlfn.XLOOKUP(Cocina[[#This Row],[Número de Orden]],Sala[Número de Orden],Sala[Monto total],"fracaso",0,1)</f>
        <v>0.25454545454545452</v>
      </c>
      <c r="L1414" t="s">
        <v>608</v>
      </c>
    </row>
    <row r="1415" spans="1:12" x14ac:dyDescent="0.25">
      <c r="A1415">
        <v>574</v>
      </c>
      <c r="B1415">
        <v>20</v>
      </c>
      <c r="C1415" t="s">
        <v>155</v>
      </c>
      <c r="D1415" t="s">
        <v>636</v>
      </c>
      <c r="E1415">
        <v>15</v>
      </c>
      <c r="F1415">
        <v>26</v>
      </c>
      <c r="G1415">
        <v>3</v>
      </c>
      <c r="H1415">
        <v>50</v>
      </c>
      <c r="I1415">
        <f>Cocina[[#This Row],[Precio Unitario]]*Cocina[[#This Row],[Cantidad Ordenada]]</f>
        <v>78</v>
      </c>
      <c r="J1415">
        <f>(Cocina[[#This Row],[Precio Unitario]]-Cocina[[#This Row],[Costo Unitario]])*Cocina[[#This Row],[Cantidad Ordenada]]</f>
        <v>33</v>
      </c>
      <c r="K1415" s="4">
        <f>Cocina[[#This Row],[Ganancia neta]]/_xlfn.XLOOKUP(Cocina[[#This Row],[Número de Orden]],Sala[Número de Orden],Sala[Monto total],"fracaso",0,1)</f>
        <v>0.15942028985507245</v>
      </c>
      <c r="L1415" t="s">
        <v>608</v>
      </c>
    </row>
    <row r="1416" spans="1:12" x14ac:dyDescent="0.25">
      <c r="A1416">
        <v>574</v>
      </c>
      <c r="B1416">
        <v>20</v>
      </c>
      <c r="C1416" t="s">
        <v>73</v>
      </c>
      <c r="D1416" t="s">
        <v>623</v>
      </c>
      <c r="E1416">
        <v>22</v>
      </c>
      <c r="F1416">
        <v>36</v>
      </c>
      <c r="G1416">
        <v>2</v>
      </c>
      <c r="H1416">
        <v>40</v>
      </c>
      <c r="I1416">
        <f>Cocina[[#This Row],[Precio Unitario]]*Cocina[[#This Row],[Cantidad Ordenada]]</f>
        <v>72</v>
      </c>
      <c r="J1416">
        <f>(Cocina[[#This Row],[Precio Unitario]]-Cocina[[#This Row],[Costo Unitario]])*Cocina[[#This Row],[Cantidad Ordenada]]</f>
        <v>28</v>
      </c>
      <c r="K1416" s="4">
        <f>Cocina[[#This Row],[Ganancia neta]]/_xlfn.XLOOKUP(Cocina[[#This Row],[Número de Orden]],Sala[Número de Orden],Sala[Monto total],"fracaso",0,1)</f>
        <v>0.13526570048309178</v>
      </c>
      <c r="L1416" t="s">
        <v>607</v>
      </c>
    </row>
    <row r="1417" spans="1:12" x14ac:dyDescent="0.25">
      <c r="A1417">
        <v>574</v>
      </c>
      <c r="B1417">
        <v>20</v>
      </c>
      <c r="C1417" t="s">
        <v>79</v>
      </c>
      <c r="D1417" t="s">
        <v>635</v>
      </c>
      <c r="E1417">
        <v>10</v>
      </c>
      <c r="F1417">
        <v>18</v>
      </c>
      <c r="G1417">
        <v>2</v>
      </c>
      <c r="H1417">
        <v>37</v>
      </c>
      <c r="I1417">
        <f>Cocina[[#This Row],[Precio Unitario]]*Cocina[[#This Row],[Cantidad Ordenada]]</f>
        <v>36</v>
      </c>
      <c r="J1417">
        <f>(Cocina[[#This Row],[Precio Unitario]]-Cocina[[#This Row],[Costo Unitario]])*Cocina[[#This Row],[Cantidad Ordenada]]</f>
        <v>16</v>
      </c>
      <c r="K1417" s="4">
        <f>Cocina[[#This Row],[Ganancia neta]]/_xlfn.XLOOKUP(Cocina[[#This Row],[Número de Orden]],Sala[Número de Orden],Sala[Monto total],"fracaso",0,1)</f>
        <v>7.7294685990338161E-2</v>
      </c>
      <c r="L1417" t="s">
        <v>608</v>
      </c>
    </row>
    <row r="1418" spans="1:12" x14ac:dyDescent="0.25">
      <c r="A1418">
        <v>574</v>
      </c>
      <c r="B1418">
        <v>20</v>
      </c>
      <c r="C1418" t="s">
        <v>70</v>
      </c>
      <c r="D1418" t="s">
        <v>634</v>
      </c>
      <c r="E1418">
        <v>13</v>
      </c>
      <c r="F1418">
        <v>21</v>
      </c>
      <c r="G1418">
        <v>1</v>
      </c>
      <c r="H1418">
        <v>41</v>
      </c>
      <c r="I1418">
        <f>Cocina[[#This Row],[Precio Unitario]]*Cocina[[#This Row],[Cantidad Ordenada]]</f>
        <v>21</v>
      </c>
      <c r="J1418">
        <f>(Cocina[[#This Row],[Precio Unitario]]-Cocina[[#This Row],[Costo Unitario]])*Cocina[[#This Row],[Cantidad Ordenada]]</f>
        <v>8</v>
      </c>
      <c r="K1418" s="4">
        <f>Cocina[[#This Row],[Ganancia neta]]/_xlfn.XLOOKUP(Cocina[[#This Row],[Número de Orden]],Sala[Número de Orden],Sala[Monto total],"fracaso",0,1)</f>
        <v>3.864734299516908E-2</v>
      </c>
      <c r="L1418" t="s">
        <v>608</v>
      </c>
    </row>
    <row r="1419" spans="1:12" x14ac:dyDescent="0.25">
      <c r="A1419">
        <v>575</v>
      </c>
      <c r="B1419">
        <v>15</v>
      </c>
      <c r="C1419" t="s">
        <v>79</v>
      </c>
      <c r="D1419" t="s">
        <v>635</v>
      </c>
      <c r="E1419">
        <v>10</v>
      </c>
      <c r="F1419">
        <v>18</v>
      </c>
      <c r="G1419">
        <v>1</v>
      </c>
      <c r="H1419">
        <v>44</v>
      </c>
      <c r="I1419">
        <f>Cocina[[#This Row],[Precio Unitario]]*Cocina[[#This Row],[Cantidad Ordenada]]</f>
        <v>18</v>
      </c>
      <c r="J1419">
        <f>(Cocina[[#This Row],[Precio Unitario]]-Cocina[[#This Row],[Costo Unitario]])*Cocina[[#This Row],[Cantidad Ordenada]]</f>
        <v>8</v>
      </c>
      <c r="K1419" s="4">
        <f>Cocina[[#This Row],[Ganancia neta]]/_xlfn.XLOOKUP(Cocina[[#This Row],[Número de Orden]],Sala[Número de Orden],Sala[Monto total],"fracaso",0,1)</f>
        <v>0.44444444444444442</v>
      </c>
      <c r="L1419" t="s">
        <v>607</v>
      </c>
    </row>
    <row r="1420" spans="1:12" x14ac:dyDescent="0.25">
      <c r="A1420">
        <v>576</v>
      </c>
      <c r="B1420">
        <v>9</v>
      </c>
      <c r="C1420" t="s">
        <v>261</v>
      </c>
      <c r="D1420" t="s">
        <v>625</v>
      </c>
      <c r="E1420">
        <v>20</v>
      </c>
      <c r="F1420">
        <v>33</v>
      </c>
      <c r="G1420">
        <v>1</v>
      </c>
      <c r="H1420">
        <v>46</v>
      </c>
      <c r="I1420">
        <f>Cocina[[#This Row],[Precio Unitario]]*Cocina[[#This Row],[Cantidad Ordenada]]</f>
        <v>33</v>
      </c>
      <c r="J1420">
        <f>(Cocina[[#This Row],[Precio Unitario]]-Cocina[[#This Row],[Costo Unitario]])*Cocina[[#This Row],[Cantidad Ordenada]]</f>
        <v>13</v>
      </c>
      <c r="K1420" s="4">
        <f>Cocina[[#This Row],[Ganancia neta]]/_xlfn.XLOOKUP(Cocina[[#This Row],[Número de Orden]],Sala[Número de Orden],Sala[Monto total],"fracaso",0,1)</f>
        <v>5.5555555555555552E-2</v>
      </c>
      <c r="L1420" t="s">
        <v>607</v>
      </c>
    </row>
    <row r="1421" spans="1:12" x14ac:dyDescent="0.25">
      <c r="A1421">
        <v>576</v>
      </c>
      <c r="B1421">
        <v>9</v>
      </c>
      <c r="C1421" t="s">
        <v>116</v>
      </c>
      <c r="D1421" t="s">
        <v>620</v>
      </c>
      <c r="E1421">
        <v>19</v>
      </c>
      <c r="F1421">
        <v>31</v>
      </c>
      <c r="G1421">
        <v>3</v>
      </c>
      <c r="H1421">
        <v>32</v>
      </c>
      <c r="I1421">
        <f>Cocina[[#This Row],[Precio Unitario]]*Cocina[[#This Row],[Cantidad Ordenada]]</f>
        <v>93</v>
      </c>
      <c r="J1421">
        <f>(Cocina[[#This Row],[Precio Unitario]]-Cocina[[#This Row],[Costo Unitario]])*Cocina[[#This Row],[Cantidad Ordenada]]</f>
        <v>36</v>
      </c>
      <c r="K1421" s="4">
        <f>Cocina[[#This Row],[Ganancia neta]]/_xlfn.XLOOKUP(Cocina[[#This Row],[Número de Orden]],Sala[Número de Orden],Sala[Monto total],"fracaso",0,1)</f>
        <v>0.15384615384615385</v>
      </c>
      <c r="L1421" t="s">
        <v>607</v>
      </c>
    </row>
    <row r="1422" spans="1:12" x14ac:dyDescent="0.25">
      <c r="A1422">
        <v>576</v>
      </c>
      <c r="B1422">
        <v>9</v>
      </c>
      <c r="C1422" t="s">
        <v>73</v>
      </c>
      <c r="D1422" t="s">
        <v>623</v>
      </c>
      <c r="E1422">
        <v>22</v>
      </c>
      <c r="F1422">
        <v>36</v>
      </c>
      <c r="G1422">
        <v>3</v>
      </c>
      <c r="H1422">
        <v>37</v>
      </c>
      <c r="I1422">
        <f>Cocina[[#This Row],[Precio Unitario]]*Cocina[[#This Row],[Cantidad Ordenada]]</f>
        <v>108</v>
      </c>
      <c r="J1422">
        <f>(Cocina[[#This Row],[Precio Unitario]]-Cocina[[#This Row],[Costo Unitario]])*Cocina[[#This Row],[Cantidad Ordenada]]</f>
        <v>42</v>
      </c>
      <c r="K1422" s="4">
        <f>Cocina[[#This Row],[Ganancia neta]]/_xlfn.XLOOKUP(Cocina[[#This Row],[Número de Orden]],Sala[Número de Orden],Sala[Monto total],"fracaso",0,1)</f>
        <v>0.17948717948717949</v>
      </c>
      <c r="L1422" t="s">
        <v>608</v>
      </c>
    </row>
    <row r="1423" spans="1:12" x14ac:dyDescent="0.25">
      <c r="A1423">
        <v>577</v>
      </c>
      <c r="B1423">
        <v>5</v>
      </c>
      <c r="C1423" t="s">
        <v>79</v>
      </c>
      <c r="D1423" t="s">
        <v>635</v>
      </c>
      <c r="E1423">
        <v>10</v>
      </c>
      <c r="F1423">
        <v>18</v>
      </c>
      <c r="G1423">
        <v>1</v>
      </c>
      <c r="H1423">
        <v>10</v>
      </c>
      <c r="I1423">
        <f>Cocina[[#This Row],[Precio Unitario]]*Cocina[[#This Row],[Cantidad Ordenada]]</f>
        <v>18</v>
      </c>
      <c r="J1423">
        <f>(Cocina[[#This Row],[Precio Unitario]]-Cocina[[#This Row],[Costo Unitario]])*Cocina[[#This Row],[Cantidad Ordenada]]</f>
        <v>8</v>
      </c>
      <c r="K1423" s="4">
        <f>Cocina[[#This Row],[Ganancia neta]]/_xlfn.XLOOKUP(Cocina[[#This Row],[Número de Orden]],Sala[Número de Orden],Sala[Monto total],"fracaso",0,1)</f>
        <v>0.2</v>
      </c>
      <c r="L1423" t="s">
        <v>608</v>
      </c>
    </row>
    <row r="1424" spans="1:12" x14ac:dyDescent="0.25">
      <c r="A1424">
        <v>577</v>
      </c>
      <c r="B1424">
        <v>5</v>
      </c>
      <c r="C1424" t="s">
        <v>203</v>
      </c>
      <c r="D1424" t="s">
        <v>630</v>
      </c>
      <c r="E1424">
        <v>13</v>
      </c>
      <c r="F1424">
        <v>22</v>
      </c>
      <c r="G1424">
        <v>1</v>
      </c>
      <c r="H1424">
        <v>15</v>
      </c>
      <c r="I1424">
        <f>Cocina[[#This Row],[Precio Unitario]]*Cocina[[#This Row],[Cantidad Ordenada]]</f>
        <v>22</v>
      </c>
      <c r="J1424">
        <f>(Cocina[[#This Row],[Precio Unitario]]-Cocina[[#This Row],[Costo Unitario]])*Cocina[[#This Row],[Cantidad Ordenada]]</f>
        <v>9</v>
      </c>
      <c r="K1424" s="4">
        <f>Cocina[[#This Row],[Ganancia neta]]/_xlfn.XLOOKUP(Cocina[[#This Row],[Número de Orden]],Sala[Número de Orden],Sala[Monto total],"fracaso",0,1)</f>
        <v>0.22500000000000001</v>
      </c>
      <c r="L1424" t="s">
        <v>607</v>
      </c>
    </row>
    <row r="1425" spans="1:12" x14ac:dyDescent="0.25">
      <c r="A1425">
        <v>578</v>
      </c>
      <c r="B1425">
        <v>11</v>
      </c>
      <c r="C1425" t="s">
        <v>68</v>
      </c>
      <c r="D1425" t="s">
        <v>619</v>
      </c>
      <c r="E1425">
        <v>18</v>
      </c>
      <c r="F1425">
        <v>30</v>
      </c>
      <c r="G1425">
        <v>3</v>
      </c>
      <c r="H1425">
        <v>44</v>
      </c>
      <c r="I1425">
        <f>Cocina[[#This Row],[Precio Unitario]]*Cocina[[#This Row],[Cantidad Ordenada]]</f>
        <v>90</v>
      </c>
      <c r="J1425">
        <f>(Cocina[[#This Row],[Precio Unitario]]-Cocina[[#This Row],[Costo Unitario]])*Cocina[[#This Row],[Cantidad Ordenada]]</f>
        <v>36</v>
      </c>
      <c r="K1425" s="4">
        <f>Cocina[[#This Row],[Ganancia neta]]/_xlfn.XLOOKUP(Cocina[[#This Row],[Número de Orden]],Sala[Número de Orden],Sala[Monto total],"fracaso",0,1)</f>
        <v>0.4</v>
      </c>
      <c r="L1425" t="s">
        <v>607</v>
      </c>
    </row>
    <row r="1426" spans="1:12" x14ac:dyDescent="0.25">
      <c r="A1426">
        <v>579</v>
      </c>
      <c r="B1426">
        <v>9</v>
      </c>
      <c r="C1426" t="s">
        <v>122</v>
      </c>
      <c r="D1426" t="s">
        <v>637</v>
      </c>
      <c r="E1426">
        <v>15</v>
      </c>
      <c r="F1426">
        <v>25</v>
      </c>
      <c r="G1426">
        <v>2</v>
      </c>
      <c r="H1426">
        <v>48</v>
      </c>
      <c r="I1426">
        <f>Cocina[[#This Row],[Precio Unitario]]*Cocina[[#This Row],[Cantidad Ordenada]]</f>
        <v>50</v>
      </c>
      <c r="J1426">
        <f>(Cocina[[#This Row],[Precio Unitario]]-Cocina[[#This Row],[Costo Unitario]])*Cocina[[#This Row],[Cantidad Ordenada]]</f>
        <v>20</v>
      </c>
      <c r="K1426" s="4">
        <f>Cocina[[#This Row],[Ganancia neta]]/_xlfn.XLOOKUP(Cocina[[#This Row],[Número de Orden]],Sala[Número de Orden],Sala[Monto total],"fracaso",0,1)</f>
        <v>0.4</v>
      </c>
      <c r="L1426" t="s">
        <v>607</v>
      </c>
    </row>
    <row r="1427" spans="1:12" x14ac:dyDescent="0.25">
      <c r="A1427">
        <v>580</v>
      </c>
      <c r="B1427">
        <v>10</v>
      </c>
      <c r="C1427" t="s">
        <v>261</v>
      </c>
      <c r="D1427" t="s">
        <v>625</v>
      </c>
      <c r="E1427">
        <v>20</v>
      </c>
      <c r="F1427">
        <v>33</v>
      </c>
      <c r="G1427">
        <v>1</v>
      </c>
      <c r="H1427">
        <v>30</v>
      </c>
      <c r="I1427">
        <f>Cocina[[#This Row],[Precio Unitario]]*Cocina[[#This Row],[Cantidad Ordenada]]</f>
        <v>33</v>
      </c>
      <c r="J1427">
        <f>(Cocina[[#This Row],[Precio Unitario]]-Cocina[[#This Row],[Costo Unitario]])*Cocina[[#This Row],[Cantidad Ordenada]]</f>
        <v>13</v>
      </c>
      <c r="K1427" s="4">
        <f>Cocina[[#This Row],[Ganancia neta]]/_xlfn.XLOOKUP(Cocina[[#This Row],[Número de Orden]],Sala[Número de Orden],Sala[Monto total],"fracaso",0,1)</f>
        <v>0.39393939393939392</v>
      </c>
      <c r="L1427" t="s">
        <v>607</v>
      </c>
    </row>
    <row r="1428" spans="1:12" x14ac:dyDescent="0.25">
      <c r="A1428">
        <v>581</v>
      </c>
      <c r="B1428">
        <v>18</v>
      </c>
      <c r="C1428" t="s">
        <v>261</v>
      </c>
      <c r="D1428" t="s">
        <v>625</v>
      </c>
      <c r="E1428">
        <v>20</v>
      </c>
      <c r="F1428">
        <v>33</v>
      </c>
      <c r="G1428">
        <v>1</v>
      </c>
      <c r="H1428">
        <v>15</v>
      </c>
      <c r="I1428">
        <f>Cocina[[#This Row],[Precio Unitario]]*Cocina[[#This Row],[Cantidad Ordenada]]</f>
        <v>33</v>
      </c>
      <c r="J1428">
        <f>(Cocina[[#This Row],[Precio Unitario]]-Cocina[[#This Row],[Costo Unitario]])*Cocina[[#This Row],[Cantidad Ordenada]]</f>
        <v>13</v>
      </c>
      <c r="K1428" s="4">
        <f>Cocina[[#This Row],[Ganancia neta]]/_xlfn.XLOOKUP(Cocina[[#This Row],[Número de Orden]],Sala[Número de Orden],Sala[Monto total],"fracaso",0,1)</f>
        <v>0.10569105691056911</v>
      </c>
      <c r="L1428" t="s">
        <v>607</v>
      </c>
    </row>
    <row r="1429" spans="1:12" x14ac:dyDescent="0.25">
      <c r="A1429">
        <v>581</v>
      </c>
      <c r="B1429">
        <v>18</v>
      </c>
      <c r="C1429" t="s">
        <v>68</v>
      </c>
      <c r="D1429" t="s">
        <v>619</v>
      </c>
      <c r="E1429">
        <v>18</v>
      </c>
      <c r="F1429">
        <v>30</v>
      </c>
      <c r="G1429">
        <v>3</v>
      </c>
      <c r="H1429">
        <v>40</v>
      </c>
      <c r="I1429">
        <f>Cocina[[#This Row],[Precio Unitario]]*Cocina[[#This Row],[Cantidad Ordenada]]</f>
        <v>90</v>
      </c>
      <c r="J1429">
        <f>(Cocina[[#This Row],[Precio Unitario]]-Cocina[[#This Row],[Costo Unitario]])*Cocina[[#This Row],[Cantidad Ordenada]]</f>
        <v>36</v>
      </c>
      <c r="K1429" s="4">
        <f>Cocina[[#This Row],[Ganancia neta]]/_xlfn.XLOOKUP(Cocina[[#This Row],[Número de Orden]],Sala[Número de Orden],Sala[Monto total],"fracaso",0,1)</f>
        <v>0.29268292682926828</v>
      </c>
      <c r="L1429" t="s">
        <v>607</v>
      </c>
    </row>
    <row r="1430" spans="1:12" x14ac:dyDescent="0.25">
      <c r="A1430">
        <v>582</v>
      </c>
      <c r="B1430">
        <v>3</v>
      </c>
      <c r="C1430" t="s">
        <v>106</v>
      </c>
      <c r="D1430" t="s">
        <v>621</v>
      </c>
      <c r="E1430">
        <v>16</v>
      </c>
      <c r="F1430">
        <v>27</v>
      </c>
      <c r="G1430">
        <v>2</v>
      </c>
      <c r="H1430">
        <v>42</v>
      </c>
      <c r="I1430">
        <f>Cocina[[#This Row],[Precio Unitario]]*Cocina[[#This Row],[Cantidad Ordenada]]</f>
        <v>54</v>
      </c>
      <c r="J1430">
        <f>(Cocina[[#This Row],[Precio Unitario]]-Cocina[[#This Row],[Costo Unitario]])*Cocina[[#This Row],[Cantidad Ordenada]]</f>
        <v>22</v>
      </c>
      <c r="K1430" s="4">
        <f>Cocina[[#This Row],[Ganancia neta]]/_xlfn.XLOOKUP(Cocina[[#This Row],[Número de Orden]],Sala[Número de Orden],Sala[Monto total],"fracaso",0,1)</f>
        <v>0.40740740740740738</v>
      </c>
      <c r="L1430" t="s">
        <v>608</v>
      </c>
    </row>
    <row r="1431" spans="1:12" x14ac:dyDescent="0.25">
      <c r="A1431">
        <v>583</v>
      </c>
      <c r="B1431">
        <v>9</v>
      </c>
      <c r="C1431" t="s">
        <v>112</v>
      </c>
      <c r="D1431" t="s">
        <v>627</v>
      </c>
      <c r="E1431">
        <v>11</v>
      </c>
      <c r="F1431">
        <v>19</v>
      </c>
      <c r="G1431">
        <v>3</v>
      </c>
      <c r="H1431">
        <v>15</v>
      </c>
      <c r="I1431">
        <f>Cocina[[#This Row],[Precio Unitario]]*Cocina[[#This Row],[Cantidad Ordenada]]</f>
        <v>57</v>
      </c>
      <c r="J1431">
        <f>(Cocina[[#This Row],[Precio Unitario]]-Cocina[[#This Row],[Costo Unitario]])*Cocina[[#This Row],[Cantidad Ordenada]]</f>
        <v>24</v>
      </c>
      <c r="K1431" s="4">
        <f>Cocina[[#This Row],[Ganancia neta]]/_xlfn.XLOOKUP(Cocina[[#This Row],[Número de Orden]],Sala[Número de Orden],Sala[Monto total],"fracaso",0,1)</f>
        <v>9.8765432098765427E-2</v>
      </c>
      <c r="L1431" t="s">
        <v>607</v>
      </c>
    </row>
    <row r="1432" spans="1:12" x14ac:dyDescent="0.25">
      <c r="A1432">
        <v>583</v>
      </c>
      <c r="B1432">
        <v>9</v>
      </c>
      <c r="C1432" t="s">
        <v>79</v>
      </c>
      <c r="D1432" t="s">
        <v>635</v>
      </c>
      <c r="E1432">
        <v>10</v>
      </c>
      <c r="F1432">
        <v>18</v>
      </c>
      <c r="G1432">
        <v>1</v>
      </c>
      <c r="H1432">
        <v>11</v>
      </c>
      <c r="I1432">
        <f>Cocina[[#This Row],[Precio Unitario]]*Cocina[[#This Row],[Cantidad Ordenada]]</f>
        <v>18</v>
      </c>
      <c r="J1432">
        <f>(Cocina[[#This Row],[Precio Unitario]]-Cocina[[#This Row],[Costo Unitario]])*Cocina[[#This Row],[Cantidad Ordenada]]</f>
        <v>8</v>
      </c>
      <c r="K1432" s="4">
        <f>Cocina[[#This Row],[Ganancia neta]]/_xlfn.XLOOKUP(Cocina[[#This Row],[Número de Orden]],Sala[Número de Orden],Sala[Monto total],"fracaso",0,1)</f>
        <v>3.292181069958848E-2</v>
      </c>
      <c r="L1432" t="s">
        <v>607</v>
      </c>
    </row>
    <row r="1433" spans="1:12" x14ac:dyDescent="0.25">
      <c r="A1433">
        <v>583</v>
      </c>
      <c r="B1433">
        <v>9</v>
      </c>
      <c r="C1433" t="s">
        <v>158</v>
      </c>
      <c r="D1433" t="s">
        <v>617</v>
      </c>
      <c r="E1433">
        <v>14</v>
      </c>
      <c r="F1433">
        <v>24</v>
      </c>
      <c r="G1433">
        <v>2</v>
      </c>
      <c r="H1433">
        <v>29</v>
      </c>
      <c r="I1433">
        <f>Cocina[[#This Row],[Precio Unitario]]*Cocina[[#This Row],[Cantidad Ordenada]]</f>
        <v>48</v>
      </c>
      <c r="J1433">
        <f>(Cocina[[#This Row],[Precio Unitario]]-Cocina[[#This Row],[Costo Unitario]])*Cocina[[#This Row],[Cantidad Ordenada]]</f>
        <v>20</v>
      </c>
      <c r="K1433" s="4">
        <f>Cocina[[#This Row],[Ganancia neta]]/_xlfn.XLOOKUP(Cocina[[#This Row],[Número de Orden]],Sala[Número de Orden],Sala[Monto total],"fracaso",0,1)</f>
        <v>8.2304526748971193E-2</v>
      </c>
      <c r="L1433" t="s">
        <v>608</v>
      </c>
    </row>
    <row r="1434" spans="1:12" x14ac:dyDescent="0.25">
      <c r="A1434">
        <v>583</v>
      </c>
      <c r="B1434">
        <v>9</v>
      </c>
      <c r="C1434" t="s">
        <v>48</v>
      </c>
      <c r="D1434" t="s">
        <v>622</v>
      </c>
      <c r="E1434">
        <v>25</v>
      </c>
      <c r="F1434">
        <v>40</v>
      </c>
      <c r="G1434">
        <v>3</v>
      </c>
      <c r="H1434">
        <v>50</v>
      </c>
      <c r="I1434">
        <f>Cocina[[#This Row],[Precio Unitario]]*Cocina[[#This Row],[Cantidad Ordenada]]</f>
        <v>120</v>
      </c>
      <c r="J1434">
        <f>(Cocina[[#This Row],[Precio Unitario]]-Cocina[[#This Row],[Costo Unitario]])*Cocina[[#This Row],[Cantidad Ordenada]]</f>
        <v>45</v>
      </c>
      <c r="K1434" s="4">
        <f>Cocina[[#This Row],[Ganancia neta]]/_xlfn.XLOOKUP(Cocina[[#This Row],[Número de Orden]],Sala[Número de Orden],Sala[Monto total],"fracaso",0,1)</f>
        <v>0.18518518518518517</v>
      </c>
      <c r="L1434" t="s">
        <v>608</v>
      </c>
    </row>
    <row r="1435" spans="1:12" x14ac:dyDescent="0.25">
      <c r="A1435">
        <v>584</v>
      </c>
      <c r="B1435">
        <v>9</v>
      </c>
      <c r="C1435" t="s">
        <v>70</v>
      </c>
      <c r="D1435" t="s">
        <v>634</v>
      </c>
      <c r="E1435">
        <v>13</v>
      </c>
      <c r="F1435">
        <v>21</v>
      </c>
      <c r="G1435">
        <v>1</v>
      </c>
      <c r="H1435">
        <v>57</v>
      </c>
      <c r="I1435">
        <f>Cocina[[#This Row],[Precio Unitario]]*Cocina[[#This Row],[Cantidad Ordenada]]</f>
        <v>21</v>
      </c>
      <c r="J1435">
        <f>(Cocina[[#This Row],[Precio Unitario]]-Cocina[[#This Row],[Costo Unitario]])*Cocina[[#This Row],[Cantidad Ordenada]]</f>
        <v>8</v>
      </c>
      <c r="K1435" s="4">
        <f>Cocina[[#This Row],[Ganancia neta]]/_xlfn.XLOOKUP(Cocina[[#This Row],[Número de Orden]],Sala[Número de Orden],Sala[Monto total],"fracaso",0,1)</f>
        <v>5.7553956834532377E-2</v>
      </c>
      <c r="L1435" t="s">
        <v>608</v>
      </c>
    </row>
    <row r="1436" spans="1:12" x14ac:dyDescent="0.25">
      <c r="A1436">
        <v>584</v>
      </c>
      <c r="B1436">
        <v>9</v>
      </c>
      <c r="C1436" t="s">
        <v>116</v>
      </c>
      <c r="D1436" t="s">
        <v>620</v>
      </c>
      <c r="E1436">
        <v>19</v>
      </c>
      <c r="F1436">
        <v>31</v>
      </c>
      <c r="G1436">
        <v>2</v>
      </c>
      <c r="H1436">
        <v>34</v>
      </c>
      <c r="I1436">
        <f>Cocina[[#This Row],[Precio Unitario]]*Cocina[[#This Row],[Cantidad Ordenada]]</f>
        <v>62</v>
      </c>
      <c r="J1436">
        <f>(Cocina[[#This Row],[Precio Unitario]]-Cocina[[#This Row],[Costo Unitario]])*Cocina[[#This Row],[Cantidad Ordenada]]</f>
        <v>24</v>
      </c>
      <c r="K1436" s="4">
        <f>Cocina[[#This Row],[Ganancia neta]]/_xlfn.XLOOKUP(Cocina[[#This Row],[Número de Orden]],Sala[Número de Orden],Sala[Monto total],"fracaso",0,1)</f>
        <v>0.17266187050359713</v>
      </c>
      <c r="L1436" t="s">
        <v>607</v>
      </c>
    </row>
    <row r="1437" spans="1:12" x14ac:dyDescent="0.25">
      <c r="A1437">
        <v>584</v>
      </c>
      <c r="B1437">
        <v>9</v>
      </c>
      <c r="C1437" t="s">
        <v>42</v>
      </c>
      <c r="D1437" t="s">
        <v>626</v>
      </c>
      <c r="E1437">
        <v>16</v>
      </c>
      <c r="F1437">
        <v>28</v>
      </c>
      <c r="G1437">
        <v>2</v>
      </c>
      <c r="H1437">
        <v>23</v>
      </c>
      <c r="I1437">
        <f>Cocina[[#This Row],[Precio Unitario]]*Cocina[[#This Row],[Cantidad Ordenada]]</f>
        <v>56</v>
      </c>
      <c r="J1437">
        <f>(Cocina[[#This Row],[Precio Unitario]]-Cocina[[#This Row],[Costo Unitario]])*Cocina[[#This Row],[Cantidad Ordenada]]</f>
        <v>24</v>
      </c>
      <c r="K1437" s="4">
        <f>Cocina[[#This Row],[Ganancia neta]]/_xlfn.XLOOKUP(Cocina[[#This Row],[Número de Orden]],Sala[Número de Orden],Sala[Monto total],"fracaso",0,1)</f>
        <v>0.17266187050359713</v>
      </c>
      <c r="L1437" t="s">
        <v>607</v>
      </c>
    </row>
    <row r="1438" spans="1:12" x14ac:dyDescent="0.25">
      <c r="A1438">
        <v>585</v>
      </c>
      <c r="B1438">
        <v>3</v>
      </c>
      <c r="C1438" t="s">
        <v>247</v>
      </c>
      <c r="D1438" t="s">
        <v>629</v>
      </c>
      <c r="E1438">
        <v>19</v>
      </c>
      <c r="F1438">
        <v>32</v>
      </c>
      <c r="G1438">
        <v>1</v>
      </c>
      <c r="H1438">
        <v>35</v>
      </c>
      <c r="I1438">
        <f>Cocina[[#This Row],[Precio Unitario]]*Cocina[[#This Row],[Cantidad Ordenada]]</f>
        <v>32</v>
      </c>
      <c r="J1438">
        <f>(Cocina[[#This Row],[Precio Unitario]]-Cocina[[#This Row],[Costo Unitario]])*Cocina[[#This Row],[Cantidad Ordenada]]</f>
        <v>13</v>
      </c>
      <c r="K1438" s="4">
        <f>Cocina[[#This Row],[Ganancia neta]]/_xlfn.XLOOKUP(Cocina[[#This Row],[Número de Orden]],Sala[Número de Orden],Sala[Monto total],"fracaso",0,1)</f>
        <v>0.1015625</v>
      </c>
      <c r="L1438" t="s">
        <v>608</v>
      </c>
    </row>
    <row r="1439" spans="1:12" x14ac:dyDescent="0.25">
      <c r="A1439">
        <v>585</v>
      </c>
      <c r="B1439">
        <v>3</v>
      </c>
      <c r="C1439" t="s">
        <v>26</v>
      </c>
      <c r="D1439" t="s">
        <v>628</v>
      </c>
      <c r="E1439">
        <v>21</v>
      </c>
      <c r="F1439">
        <v>35</v>
      </c>
      <c r="G1439">
        <v>1</v>
      </c>
      <c r="H1439">
        <v>8</v>
      </c>
      <c r="I1439">
        <f>Cocina[[#This Row],[Precio Unitario]]*Cocina[[#This Row],[Cantidad Ordenada]]</f>
        <v>35</v>
      </c>
      <c r="J1439">
        <f>(Cocina[[#This Row],[Precio Unitario]]-Cocina[[#This Row],[Costo Unitario]])*Cocina[[#This Row],[Cantidad Ordenada]]</f>
        <v>14</v>
      </c>
      <c r="K1439" s="4">
        <f>Cocina[[#This Row],[Ganancia neta]]/_xlfn.XLOOKUP(Cocina[[#This Row],[Número de Orden]],Sala[Número de Orden],Sala[Monto total],"fracaso",0,1)</f>
        <v>0.109375</v>
      </c>
      <c r="L1439" t="s">
        <v>608</v>
      </c>
    </row>
    <row r="1440" spans="1:12" x14ac:dyDescent="0.25">
      <c r="A1440">
        <v>585</v>
      </c>
      <c r="B1440">
        <v>3</v>
      </c>
      <c r="C1440" t="s">
        <v>79</v>
      </c>
      <c r="D1440" t="s">
        <v>635</v>
      </c>
      <c r="E1440">
        <v>10</v>
      </c>
      <c r="F1440">
        <v>18</v>
      </c>
      <c r="G1440">
        <v>2</v>
      </c>
      <c r="H1440">
        <v>22</v>
      </c>
      <c r="I1440">
        <f>Cocina[[#This Row],[Precio Unitario]]*Cocina[[#This Row],[Cantidad Ordenada]]</f>
        <v>36</v>
      </c>
      <c r="J1440">
        <f>(Cocina[[#This Row],[Precio Unitario]]-Cocina[[#This Row],[Costo Unitario]])*Cocina[[#This Row],[Cantidad Ordenada]]</f>
        <v>16</v>
      </c>
      <c r="K1440" s="4">
        <f>Cocina[[#This Row],[Ganancia neta]]/_xlfn.XLOOKUP(Cocina[[#This Row],[Número de Orden]],Sala[Número de Orden],Sala[Monto total],"fracaso",0,1)</f>
        <v>0.125</v>
      </c>
      <c r="L1440" t="s">
        <v>607</v>
      </c>
    </row>
    <row r="1441" spans="1:12" x14ac:dyDescent="0.25">
      <c r="A1441">
        <v>585</v>
      </c>
      <c r="B1441">
        <v>3</v>
      </c>
      <c r="C1441" t="s">
        <v>122</v>
      </c>
      <c r="D1441" t="s">
        <v>637</v>
      </c>
      <c r="E1441">
        <v>15</v>
      </c>
      <c r="F1441">
        <v>25</v>
      </c>
      <c r="G1441">
        <v>1</v>
      </c>
      <c r="H1441">
        <v>30</v>
      </c>
      <c r="I1441">
        <f>Cocina[[#This Row],[Precio Unitario]]*Cocina[[#This Row],[Cantidad Ordenada]]</f>
        <v>25</v>
      </c>
      <c r="J1441">
        <f>(Cocina[[#This Row],[Precio Unitario]]-Cocina[[#This Row],[Costo Unitario]])*Cocina[[#This Row],[Cantidad Ordenada]]</f>
        <v>10</v>
      </c>
      <c r="K1441" s="4">
        <f>Cocina[[#This Row],[Ganancia neta]]/_xlfn.XLOOKUP(Cocina[[#This Row],[Número de Orden]],Sala[Número de Orden],Sala[Monto total],"fracaso",0,1)</f>
        <v>7.8125E-2</v>
      </c>
      <c r="L1441" t="s">
        <v>608</v>
      </c>
    </row>
    <row r="1442" spans="1:12" x14ac:dyDescent="0.25">
      <c r="A1442">
        <v>586</v>
      </c>
      <c r="B1442">
        <v>17</v>
      </c>
      <c r="C1442" t="s">
        <v>261</v>
      </c>
      <c r="D1442" t="s">
        <v>625</v>
      </c>
      <c r="E1442">
        <v>20</v>
      </c>
      <c r="F1442">
        <v>33</v>
      </c>
      <c r="G1442">
        <v>3</v>
      </c>
      <c r="H1442">
        <v>47</v>
      </c>
      <c r="I1442">
        <f>Cocina[[#This Row],[Precio Unitario]]*Cocina[[#This Row],[Cantidad Ordenada]]</f>
        <v>99</v>
      </c>
      <c r="J1442">
        <f>(Cocina[[#This Row],[Precio Unitario]]-Cocina[[#This Row],[Costo Unitario]])*Cocina[[#This Row],[Cantidad Ordenada]]</f>
        <v>39</v>
      </c>
      <c r="K1442" s="4">
        <f>Cocina[[#This Row],[Ganancia neta]]/_xlfn.XLOOKUP(Cocina[[#This Row],[Número de Orden]],Sala[Número de Orden],Sala[Monto total],"fracaso",0,1)</f>
        <v>0.22807017543859648</v>
      </c>
      <c r="L1442" t="s">
        <v>608</v>
      </c>
    </row>
    <row r="1443" spans="1:12" x14ac:dyDescent="0.25">
      <c r="A1443">
        <v>586</v>
      </c>
      <c r="B1443">
        <v>17</v>
      </c>
      <c r="C1443" t="s">
        <v>158</v>
      </c>
      <c r="D1443" t="s">
        <v>617</v>
      </c>
      <c r="E1443">
        <v>14</v>
      </c>
      <c r="F1443">
        <v>24</v>
      </c>
      <c r="G1443">
        <v>3</v>
      </c>
      <c r="H1443">
        <v>45</v>
      </c>
      <c r="I1443">
        <f>Cocina[[#This Row],[Precio Unitario]]*Cocina[[#This Row],[Cantidad Ordenada]]</f>
        <v>72</v>
      </c>
      <c r="J1443">
        <f>(Cocina[[#This Row],[Precio Unitario]]-Cocina[[#This Row],[Costo Unitario]])*Cocina[[#This Row],[Cantidad Ordenada]]</f>
        <v>30</v>
      </c>
      <c r="K1443" s="4">
        <f>Cocina[[#This Row],[Ganancia neta]]/_xlfn.XLOOKUP(Cocina[[#This Row],[Número de Orden]],Sala[Número de Orden],Sala[Monto total],"fracaso",0,1)</f>
        <v>0.17543859649122806</v>
      </c>
      <c r="L1443" t="s">
        <v>607</v>
      </c>
    </row>
    <row r="1444" spans="1:12" x14ac:dyDescent="0.25">
      <c r="A1444">
        <v>587</v>
      </c>
      <c r="B1444">
        <v>7</v>
      </c>
      <c r="C1444" t="s">
        <v>158</v>
      </c>
      <c r="D1444" t="s">
        <v>617</v>
      </c>
      <c r="E1444">
        <v>14</v>
      </c>
      <c r="F1444">
        <v>24</v>
      </c>
      <c r="G1444">
        <v>2</v>
      </c>
      <c r="H1444">
        <v>43</v>
      </c>
      <c r="I1444">
        <f>Cocina[[#This Row],[Precio Unitario]]*Cocina[[#This Row],[Cantidad Ordenada]]</f>
        <v>48</v>
      </c>
      <c r="J1444">
        <f>(Cocina[[#This Row],[Precio Unitario]]-Cocina[[#This Row],[Costo Unitario]])*Cocina[[#This Row],[Cantidad Ordenada]]</f>
        <v>20</v>
      </c>
      <c r="K1444" s="4">
        <f>Cocina[[#This Row],[Ganancia neta]]/_xlfn.XLOOKUP(Cocina[[#This Row],[Número de Orden]],Sala[Número de Orden],Sala[Monto total],"fracaso",0,1)</f>
        <v>0.41666666666666669</v>
      </c>
      <c r="L1444" t="s">
        <v>608</v>
      </c>
    </row>
    <row r="1445" spans="1:12" x14ac:dyDescent="0.25">
      <c r="A1445">
        <v>588</v>
      </c>
      <c r="B1445">
        <v>15</v>
      </c>
      <c r="C1445" t="s">
        <v>155</v>
      </c>
      <c r="D1445" t="s">
        <v>636</v>
      </c>
      <c r="E1445">
        <v>15</v>
      </c>
      <c r="F1445">
        <v>26</v>
      </c>
      <c r="G1445">
        <v>1</v>
      </c>
      <c r="H1445">
        <v>25</v>
      </c>
      <c r="I1445">
        <f>Cocina[[#This Row],[Precio Unitario]]*Cocina[[#This Row],[Cantidad Ordenada]]</f>
        <v>26</v>
      </c>
      <c r="J1445">
        <f>(Cocina[[#This Row],[Precio Unitario]]-Cocina[[#This Row],[Costo Unitario]])*Cocina[[#This Row],[Cantidad Ordenada]]</f>
        <v>11</v>
      </c>
      <c r="K1445" s="4">
        <f>Cocina[[#This Row],[Ganancia neta]]/_xlfn.XLOOKUP(Cocina[[#This Row],[Número de Orden]],Sala[Número de Orden],Sala[Monto total],"fracaso",0,1)</f>
        <v>0.10891089108910891</v>
      </c>
      <c r="L1445" t="s">
        <v>608</v>
      </c>
    </row>
    <row r="1446" spans="1:12" x14ac:dyDescent="0.25">
      <c r="A1446">
        <v>588</v>
      </c>
      <c r="B1446">
        <v>15</v>
      </c>
      <c r="C1446" t="s">
        <v>122</v>
      </c>
      <c r="D1446" t="s">
        <v>637</v>
      </c>
      <c r="E1446">
        <v>15</v>
      </c>
      <c r="F1446">
        <v>25</v>
      </c>
      <c r="G1446">
        <v>3</v>
      </c>
      <c r="H1446">
        <v>12</v>
      </c>
      <c r="I1446">
        <f>Cocina[[#This Row],[Precio Unitario]]*Cocina[[#This Row],[Cantidad Ordenada]]</f>
        <v>75</v>
      </c>
      <c r="J1446">
        <f>(Cocina[[#This Row],[Precio Unitario]]-Cocina[[#This Row],[Costo Unitario]])*Cocina[[#This Row],[Cantidad Ordenada]]</f>
        <v>30</v>
      </c>
      <c r="K1446" s="4">
        <f>Cocina[[#This Row],[Ganancia neta]]/_xlfn.XLOOKUP(Cocina[[#This Row],[Número de Orden]],Sala[Número de Orden],Sala[Monto total],"fracaso",0,1)</f>
        <v>0.29702970297029702</v>
      </c>
      <c r="L1446" t="s">
        <v>608</v>
      </c>
    </row>
    <row r="1447" spans="1:12" x14ac:dyDescent="0.25">
      <c r="A1447">
        <v>589</v>
      </c>
      <c r="B1447">
        <v>10</v>
      </c>
      <c r="C1447" t="s">
        <v>200</v>
      </c>
      <c r="D1447" t="s">
        <v>633</v>
      </c>
      <c r="E1447">
        <v>14</v>
      </c>
      <c r="F1447">
        <v>23</v>
      </c>
      <c r="G1447">
        <v>1</v>
      </c>
      <c r="H1447">
        <v>45</v>
      </c>
      <c r="I1447">
        <f>Cocina[[#This Row],[Precio Unitario]]*Cocina[[#This Row],[Cantidad Ordenada]]</f>
        <v>23</v>
      </c>
      <c r="J1447">
        <f>(Cocina[[#This Row],[Precio Unitario]]-Cocina[[#This Row],[Costo Unitario]])*Cocina[[#This Row],[Cantidad Ordenada]]</f>
        <v>9</v>
      </c>
      <c r="K1447" s="4">
        <f>Cocina[[#This Row],[Ganancia neta]]/_xlfn.XLOOKUP(Cocina[[#This Row],[Número de Orden]],Sala[Número de Orden],Sala[Monto total],"fracaso",0,1)</f>
        <v>3.1690140845070422E-2</v>
      </c>
      <c r="L1447" t="s">
        <v>607</v>
      </c>
    </row>
    <row r="1448" spans="1:12" x14ac:dyDescent="0.25">
      <c r="A1448">
        <v>589</v>
      </c>
      <c r="B1448">
        <v>10</v>
      </c>
      <c r="C1448" t="s">
        <v>55</v>
      </c>
      <c r="D1448" t="s">
        <v>631</v>
      </c>
      <c r="E1448">
        <v>20</v>
      </c>
      <c r="F1448">
        <v>34</v>
      </c>
      <c r="G1448">
        <v>3</v>
      </c>
      <c r="H1448">
        <v>59</v>
      </c>
      <c r="I1448">
        <f>Cocina[[#This Row],[Precio Unitario]]*Cocina[[#This Row],[Cantidad Ordenada]]</f>
        <v>102</v>
      </c>
      <c r="J1448">
        <f>(Cocina[[#This Row],[Precio Unitario]]-Cocina[[#This Row],[Costo Unitario]])*Cocina[[#This Row],[Cantidad Ordenada]]</f>
        <v>42</v>
      </c>
      <c r="K1448" s="4">
        <f>Cocina[[#This Row],[Ganancia neta]]/_xlfn.XLOOKUP(Cocina[[#This Row],[Número de Orden]],Sala[Número de Orden],Sala[Monto total],"fracaso",0,1)</f>
        <v>0.14788732394366197</v>
      </c>
      <c r="L1448" t="s">
        <v>607</v>
      </c>
    </row>
    <row r="1449" spans="1:12" x14ac:dyDescent="0.25">
      <c r="A1449">
        <v>589</v>
      </c>
      <c r="B1449">
        <v>10</v>
      </c>
      <c r="C1449" t="s">
        <v>70</v>
      </c>
      <c r="D1449" t="s">
        <v>634</v>
      </c>
      <c r="E1449">
        <v>13</v>
      </c>
      <c r="F1449">
        <v>21</v>
      </c>
      <c r="G1449">
        <v>3</v>
      </c>
      <c r="H1449">
        <v>7</v>
      </c>
      <c r="I1449">
        <f>Cocina[[#This Row],[Precio Unitario]]*Cocina[[#This Row],[Cantidad Ordenada]]</f>
        <v>63</v>
      </c>
      <c r="J1449">
        <f>(Cocina[[#This Row],[Precio Unitario]]-Cocina[[#This Row],[Costo Unitario]])*Cocina[[#This Row],[Cantidad Ordenada]]</f>
        <v>24</v>
      </c>
      <c r="K1449" s="4">
        <f>Cocina[[#This Row],[Ganancia neta]]/_xlfn.XLOOKUP(Cocina[[#This Row],[Número de Orden]],Sala[Número de Orden],Sala[Monto total],"fracaso",0,1)</f>
        <v>8.4507042253521125E-2</v>
      </c>
      <c r="L1449" t="s">
        <v>607</v>
      </c>
    </row>
    <row r="1450" spans="1:12" x14ac:dyDescent="0.25">
      <c r="A1450">
        <v>589</v>
      </c>
      <c r="B1450">
        <v>10</v>
      </c>
      <c r="C1450" t="s">
        <v>247</v>
      </c>
      <c r="D1450" t="s">
        <v>629</v>
      </c>
      <c r="E1450">
        <v>19</v>
      </c>
      <c r="F1450">
        <v>32</v>
      </c>
      <c r="G1450">
        <v>3</v>
      </c>
      <c r="H1450">
        <v>9</v>
      </c>
      <c r="I1450">
        <f>Cocina[[#This Row],[Precio Unitario]]*Cocina[[#This Row],[Cantidad Ordenada]]</f>
        <v>96</v>
      </c>
      <c r="J1450">
        <f>(Cocina[[#This Row],[Precio Unitario]]-Cocina[[#This Row],[Costo Unitario]])*Cocina[[#This Row],[Cantidad Ordenada]]</f>
        <v>39</v>
      </c>
      <c r="K1450" s="4">
        <f>Cocina[[#This Row],[Ganancia neta]]/_xlfn.XLOOKUP(Cocina[[#This Row],[Número de Orden]],Sala[Número de Orden],Sala[Monto total],"fracaso",0,1)</f>
        <v>0.13732394366197184</v>
      </c>
      <c r="L1450" t="s">
        <v>607</v>
      </c>
    </row>
    <row r="1451" spans="1:12" x14ac:dyDescent="0.25">
      <c r="A1451">
        <v>590</v>
      </c>
      <c r="B1451">
        <v>3</v>
      </c>
      <c r="C1451" t="s">
        <v>55</v>
      </c>
      <c r="D1451" t="s">
        <v>631</v>
      </c>
      <c r="E1451">
        <v>20</v>
      </c>
      <c r="F1451">
        <v>34</v>
      </c>
      <c r="G1451">
        <v>3</v>
      </c>
      <c r="H1451">
        <v>43</v>
      </c>
      <c r="I1451">
        <f>Cocina[[#This Row],[Precio Unitario]]*Cocina[[#This Row],[Cantidad Ordenada]]</f>
        <v>102</v>
      </c>
      <c r="J1451">
        <f>(Cocina[[#This Row],[Precio Unitario]]-Cocina[[#This Row],[Costo Unitario]])*Cocina[[#This Row],[Cantidad Ordenada]]</f>
        <v>42</v>
      </c>
      <c r="K1451" s="4">
        <f>Cocina[[#This Row],[Ganancia neta]]/_xlfn.XLOOKUP(Cocina[[#This Row],[Número de Orden]],Sala[Número de Orden],Sala[Monto total],"fracaso",0,1)</f>
        <v>0.34426229508196721</v>
      </c>
      <c r="L1451" t="s">
        <v>608</v>
      </c>
    </row>
    <row r="1452" spans="1:12" x14ac:dyDescent="0.25">
      <c r="A1452">
        <v>590</v>
      </c>
      <c r="B1452">
        <v>3</v>
      </c>
      <c r="C1452" t="s">
        <v>146</v>
      </c>
      <c r="D1452" t="s">
        <v>632</v>
      </c>
      <c r="E1452">
        <v>12</v>
      </c>
      <c r="F1452">
        <v>20</v>
      </c>
      <c r="G1452">
        <v>1</v>
      </c>
      <c r="H1452">
        <v>21</v>
      </c>
      <c r="I1452">
        <f>Cocina[[#This Row],[Precio Unitario]]*Cocina[[#This Row],[Cantidad Ordenada]]</f>
        <v>20</v>
      </c>
      <c r="J1452">
        <f>(Cocina[[#This Row],[Precio Unitario]]-Cocina[[#This Row],[Costo Unitario]])*Cocina[[#This Row],[Cantidad Ordenada]]</f>
        <v>8</v>
      </c>
      <c r="K1452" s="4">
        <f>Cocina[[#This Row],[Ganancia neta]]/_xlfn.XLOOKUP(Cocina[[#This Row],[Número de Orden]],Sala[Número de Orden],Sala[Monto total],"fracaso",0,1)</f>
        <v>6.5573770491803282E-2</v>
      </c>
      <c r="L1452" t="s">
        <v>608</v>
      </c>
    </row>
    <row r="1453" spans="1:12" x14ac:dyDescent="0.25">
      <c r="A1453">
        <v>591</v>
      </c>
      <c r="B1453">
        <v>11</v>
      </c>
      <c r="C1453" t="s">
        <v>48</v>
      </c>
      <c r="D1453" t="s">
        <v>622</v>
      </c>
      <c r="E1453">
        <v>25</v>
      </c>
      <c r="F1453">
        <v>40</v>
      </c>
      <c r="G1453">
        <v>3</v>
      </c>
      <c r="H1453">
        <v>51</v>
      </c>
      <c r="I1453">
        <f>Cocina[[#This Row],[Precio Unitario]]*Cocina[[#This Row],[Cantidad Ordenada]]</f>
        <v>120</v>
      </c>
      <c r="J1453">
        <f>(Cocina[[#This Row],[Precio Unitario]]-Cocina[[#This Row],[Costo Unitario]])*Cocina[[#This Row],[Cantidad Ordenada]]</f>
        <v>45</v>
      </c>
      <c r="K1453" s="4">
        <f>Cocina[[#This Row],[Ganancia neta]]/_xlfn.XLOOKUP(Cocina[[#This Row],[Número de Orden]],Sala[Número de Orden],Sala[Monto total],"fracaso",0,1)</f>
        <v>0.375</v>
      </c>
      <c r="L1453" t="s">
        <v>607</v>
      </c>
    </row>
    <row r="1454" spans="1:12" x14ac:dyDescent="0.25">
      <c r="A1454">
        <v>592</v>
      </c>
      <c r="B1454">
        <v>5</v>
      </c>
      <c r="C1454" t="s">
        <v>203</v>
      </c>
      <c r="D1454" t="s">
        <v>630</v>
      </c>
      <c r="E1454">
        <v>13</v>
      </c>
      <c r="F1454">
        <v>22</v>
      </c>
      <c r="G1454">
        <v>2</v>
      </c>
      <c r="H1454">
        <v>59</v>
      </c>
      <c r="I1454">
        <f>Cocina[[#This Row],[Precio Unitario]]*Cocina[[#This Row],[Cantidad Ordenada]]</f>
        <v>44</v>
      </c>
      <c r="J1454">
        <f>(Cocina[[#This Row],[Precio Unitario]]-Cocina[[#This Row],[Costo Unitario]])*Cocina[[#This Row],[Cantidad Ordenada]]</f>
        <v>18</v>
      </c>
      <c r="K1454" s="4">
        <f>Cocina[[#This Row],[Ganancia neta]]/_xlfn.XLOOKUP(Cocina[[#This Row],[Número de Orden]],Sala[Número de Orden],Sala[Monto total],"fracaso",0,1)</f>
        <v>0.19148936170212766</v>
      </c>
      <c r="L1454" t="s">
        <v>607</v>
      </c>
    </row>
    <row r="1455" spans="1:12" x14ac:dyDescent="0.25">
      <c r="A1455">
        <v>592</v>
      </c>
      <c r="B1455">
        <v>5</v>
      </c>
      <c r="C1455" t="s">
        <v>122</v>
      </c>
      <c r="D1455" t="s">
        <v>637</v>
      </c>
      <c r="E1455">
        <v>15</v>
      </c>
      <c r="F1455">
        <v>25</v>
      </c>
      <c r="G1455">
        <v>2</v>
      </c>
      <c r="H1455">
        <v>42</v>
      </c>
      <c r="I1455">
        <f>Cocina[[#This Row],[Precio Unitario]]*Cocina[[#This Row],[Cantidad Ordenada]]</f>
        <v>50</v>
      </c>
      <c r="J1455">
        <f>(Cocina[[#This Row],[Precio Unitario]]-Cocina[[#This Row],[Costo Unitario]])*Cocina[[#This Row],[Cantidad Ordenada]]</f>
        <v>20</v>
      </c>
      <c r="K1455" s="4">
        <f>Cocina[[#This Row],[Ganancia neta]]/_xlfn.XLOOKUP(Cocina[[#This Row],[Número de Orden]],Sala[Número de Orden],Sala[Monto total],"fracaso",0,1)</f>
        <v>0.21276595744680851</v>
      </c>
      <c r="L1455" t="s">
        <v>607</v>
      </c>
    </row>
    <row r="1456" spans="1:12" x14ac:dyDescent="0.25">
      <c r="A1456">
        <v>593</v>
      </c>
      <c r="B1456">
        <v>17</v>
      </c>
      <c r="C1456" t="s">
        <v>48</v>
      </c>
      <c r="D1456" t="s">
        <v>622</v>
      </c>
      <c r="E1456">
        <v>25</v>
      </c>
      <c r="F1456">
        <v>40</v>
      </c>
      <c r="G1456">
        <v>1</v>
      </c>
      <c r="H1456">
        <v>30</v>
      </c>
      <c r="I1456">
        <f>Cocina[[#This Row],[Precio Unitario]]*Cocina[[#This Row],[Cantidad Ordenada]]</f>
        <v>40</v>
      </c>
      <c r="J1456">
        <f>(Cocina[[#This Row],[Precio Unitario]]-Cocina[[#This Row],[Costo Unitario]])*Cocina[[#This Row],[Cantidad Ordenada]]</f>
        <v>15</v>
      </c>
      <c r="K1456" s="4">
        <f>Cocina[[#This Row],[Ganancia neta]]/_xlfn.XLOOKUP(Cocina[[#This Row],[Número de Orden]],Sala[Número de Orden],Sala[Monto total],"fracaso",0,1)</f>
        <v>7.1770334928229665E-2</v>
      </c>
      <c r="L1456" t="s">
        <v>607</v>
      </c>
    </row>
    <row r="1457" spans="1:12" x14ac:dyDescent="0.25">
      <c r="A1457">
        <v>593</v>
      </c>
      <c r="B1457">
        <v>17</v>
      </c>
      <c r="C1457" t="s">
        <v>116</v>
      </c>
      <c r="D1457" t="s">
        <v>620</v>
      </c>
      <c r="E1457">
        <v>19</v>
      </c>
      <c r="F1457">
        <v>31</v>
      </c>
      <c r="G1457">
        <v>1</v>
      </c>
      <c r="H1457">
        <v>8</v>
      </c>
      <c r="I1457">
        <f>Cocina[[#This Row],[Precio Unitario]]*Cocina[[#This Row],[Cantidad Ordenada]]</f>
        <v>31</v>
      </c>
      <c r="J1457">
        <f>(Cocina[[#This Row],[Precio Unitario]]-Cocina[[#This Row],[Costo Unitario]])*Cocina[[#This Row],[Cantidad Ordenada]]</f>
        <v>12</v>
      </c>
      <c r="K1457" s="4">
        <f>Cocina[[#This Row],[Ganancia neta]]/_xlfn.XLOOKUP(Cocina[[#This Row],[Número de Orden]],Sala[Número de Orden],Sala[Monto total],"fracaso",0,1)</f>
        <v>5.7416267942583733E-2</v>
      </c>
      <c r="L1457" t="s">
        <v>607</v>
      </c>
    </row>
    <row r="1458" spans="1:12" x14ac:dyDescent="0.25">
      <c r="A1458">
        <v>593</v>
      </c>
      <c r="B1458">
        <v>17</v>
      </c>
      <c r="C1458" t="s">
        <v>261</v>
      </c>
      <c r="D1458" t="s">
        <v>625</v>
      </c>
      <c r="E1458">
        <v>20</v>
      </c>
      <c r="F1458">
        <v>33</v>
      </c>
      <c r="G1458">
        <v>2</v>
      </c>
      <c r="H1458">
        <v>5</v>
      </c>
      <c r="I1458">
        <f>Cocina[[#This Row],[Precio Unitario]]*Cocina[[#This Row],[Cantidad Ordenada]]</f>
        <v>66</v>
      </c>
      <c r="J1458">
        <f>(Cocina[[#This Row],[Precio Unitario]]-Cocina[[#This Row],[Costo Unitario]])*Cocina[[#This Row],[Cantidad Ordenada]]</f>
        <v>26</v>
      </c>
      <c r="K1458" s="4">
        <f>Cocina[[#This Row],[Ganancia neta]]/_xlfn.XLOOKUP(Cocina[[#This Row],[Número de Orden]],Sala[Número de Orden],Sala[Monto total],"fracaso",0,1)</f>
        <v>0.12440191387559808</v>
      </c>
      <c r="L1458" t="s">
        <v>608</v>
      </c>
    </row>
    <row r="1459" spans="1:12" x14ac:dyDescent="0.25">
      <c r="A1459">
        <v>593</v>
      </c>
      <c r="B1459">
        <v>17</v>
      </c>
      <c r="C1459" t="s">
        <v>73</v>
      </c>
      <c r="D1459" t="s">
        <v>623</v>
      </c>
      <c r="E1459">
        <v>22</v>
      </c>
      <c r="F1459">
        <v>36</v>
      </c>
      <c r="G1459">
        <v>2</v>
      </c>
      <c r="H1459">
        <v>5</v>
      </c>
      <c r="I1459">
        <f>Cocina[[#This Row],[Precio Unitario]]*Cocina[[#This Row],[Cantidad Ordenada]]</f>
        <v>72</v>
      </c>
      <c r="J1459">
        <f>(Cocina[[#This Row],[Precio Unitario]]-Cocina[[#This Row],[Costo Unitario]])*Cocina[[#This Row],[Cantidad Ordenada]]</f>
        <v>28</v>
      </c>
      <c r="K1459" s="4">
        <f>Cocina[[#This Row],[Ganancia neta]]/_xlfn.XLOOKUP(Cocina[[#This Row],[Número de Orden]],Sala[Número de Orden],Sala[Monto total],"fracaso",0,1)</f>
        <v>0.13397129186602871</v>
      </c>
      <c r="L1459" t="s">
        <v>607</v>
      </c>
    </row>
    <row r="1460" spans="1:12" x14ac:dyDescent="0.25">
      <c r="A1460">
        <v>594</v>
      </c>
      <c r="B1460">
        <v>17</v>
      </c>
      <c r="C1460" t="s">
        <v>261</v>
      </c>
      <c r="D1460" t="s">
        <v>625</v>
      </c>
      <c r="E1460">
        <v>20</v>
      </c>
      <c r="F1460">
        <v>33</v>
      </c>
      <c r="G1460">
        <v>1</v>
      </c>
      <c r="H1460">
        <v>5</v>
      </c>
      <c r="I1460">
        <f>Cocina[[#This Row],[Precio Unitario]]*Cocina[[#This Row],[Cantidad Ordenada]]</f>
        <v>33</v>
      </c>
      <c r="J1460">
        <f>(Cocina[[#This Row],[Precio Unitario]]-Cocina[[#This Row],[Costo Unitario]])*Cocina[[#This Row],[Cantidad Ordenada]]</f>
        <v>13</v>
      </c>
      <c r="K1460" s="4">
        <f>Cocina[[#This Row],[Ganancia neta]]/_xlfn.XLOOKUP(Cocina[[#This Row],[Número de Orden]],Sala[Número de Orden],Sala[Monto total],"fracaso",0,1)</f>
        <v>9.3525179856115109E-2</v>
      </c>
      <c r="L1460" t="s">
        <v>607</v>
      </c>
    </row>
    <row r="1461" spans="1:12" x14ac:dyDescent="0.25">
      <c r="A1461">
        <v>594</v>
      </c>
      <c r="B1461">
        <v>17</v>
      </c>
      <c r="C1461" t="s">
        <v>203</v>
      </c>
      <c r="D1461" t="s">
        <v>630</v>
      </c>
      <c r="E1461">
        <v>13</v>
      </c>
      <c r="F1461">
        <v>22</v>
      </c>
      <c r="G1461">
        <v>3</v>
      </c>
      <c r="H1461">
        <v>44</v>
      </c>
      <c r="I1461">
        <f>Cocina[[#This Row],[Precio Unitario]]*Cocina[[#This Row],[Cantidad Ordenada]]</f>
        <v>66</v>
      </c>
      <c r="J1461">
        <f>(Cocina[[#This Row],[Precio Unitario]]-Cocina[[#This Row],[Costo Unitario]])*Cocina[[#This Row],[Cantidad Ordenada]]</f>
        <v>27</v>
      </c>
      <c r="K1461" s="4">
        <f>Cocina[[#This Row],[Ganancia neta]]/_xlfn.XLOOKUP(Cocina[[#This Row],[Número de Orden]],Sala[Número de Orden],Sala[Monto total],"fracaso",0,1)</f>
        <v>0.19424460431654678</v>
      </c>
      <c r="L1461" t="s">
        <v>607</v>
      </c>
    </row>
    <row r="1462" spans="1:12" x14ac:dyDescent="0.25">
      <c r="A1462">
        <v>594</v>
      </c>
      <c r="B1462">
        <v>17</v>
      </c>
      <c r="C1462" t="s">
        <v>146</v>
      </c>
      <c r="D1462" t="s">
        <v>632</v>
      </c>
      <c r="E1462">
        <v>12</v>
      </c>
      <c r="F1462">
        <v>20</v>
      </c>
      <c r="G1462">
        <v>2</v>
      </c>
      <c r="H1462">
        <v>49</v>
      </c>
      <c r="I1462">
        <f>Cocina[[#This Row],[Precio Unitario]]*Cocina[[#This Row],[Cantidad Ordenada]]</f>
        <v>40</v>
      </c>
      <c r="J1462">
        <f>(Cocina[[#This Row],[Precio Unitario]]-Cocina[[#This Row],[Costo Unitario]])*Cocina[[#This Row],[Cantidad Ordenada]]</f>
        <v>16</v>
      </c>
      <c r="K1462" s="4">
        <f>Cocina[[#This Row],[Ganancia neta]]/_xlfn.XLOOKUP(Cocina[[#This Row],[Número de Orden]],Sala[Número de Orden],Sala[Monto total],"fracaso",0,1)</f>
        <v>0.11510791366906475</v>
      </c>
      <c r="L1462" t="s">
        <v>607</v>
      </c>
    </row>
    <row r="1463" spans="1:12" x14ac:dyDescent="0.25">
      <c r="A1463">
        <v>595</v>
      </c>
      <c r="B1463">
        <v>9</v>
      </c>
      <c r="C1463" t="s">
        <v>70</v>
      </c>
      <c r="D1463" t="s">
        <v>634</v>
      </c>
      <c r="E1463">
        <v>13</v>
      </c>
      <c r="F1463">
        <v>21</v>
      </c>
      <c r="G1463">
        <v>2</v>
      </c>
      <c r="H1463">
        <v>5</v>
      </c>
      <c r="I1463">
        <f>Cocina[[#This Row],[Precio Unitario]]*Cocina[[#This Row],[Cantidad Ordenada]]</f>
        <v>42</v>
      </c>
      <c r="J1463">
        <f>(Cocina[[#This Row],[Precio Unitario]]-Cocina[[#This Row],[Costo Unitario]])*Cocina[[#This Row],[Cantidad Ordenada]]</f>
        <v>16</v>
      </c>
      <c r="K1463" s="4">
        <f>Cocina[[#This Row],[Ganancia neta]]/_xlfn.XLOOKUP(Cocina[[#This Row],[Número de Orden]],Sala[Número de Orden],Sala[Monto total],"fracaso",0,1)</f>
        <v>0.22222222222222221</v>
      </c>
      <c r="L1463" t="s">
        <v>607</v>
      </c>
    </row>
    <row r="1464" spans="1:12" x14ac:dyDescent="0.25">
      <c r="A1464">
        <v>595</v>
      </c>
      <c r="B1464">
        <v>9</v>
      </c>
      <c r="C1464" t="s">
        <v>68</v>
      </c>
      <c r="D1464" t="s">
        <v>619</v>
      </c>
      <c r="E1464">
        <v>18</v>
      </c>
      <c r="F1464">
        <v>30</v>
      </c>
      <c r="G1464">
        <v>1</v>
      </c>
      <c r="H1464">
        <v>44</v>
      </c>
      <c r="I1464">
        <f>Cocina[[#This Row],[Precio Unitario]]*Cocina[[#This Row],[Cantidad Ordenada]]</f>
        <v>30</v>
      </c>
      <c r="J1464">
        <f>(Cocina[[#This Row],[Precio Unitario]]-Cocina[[#This Row],[Costo Unitario]])*Cocina[[#This Row],[Cantidad Ordenada]]</f>
        <v>12</v>
      </c>
      <c r="K1464" s="4">
        <f>Cocina[[#This Row],[Ganancia neta]]/_xlfn.XLOOKUP(Cocina[[#This Row],[Número de Orden]],Sala[Número de Orden],Sala[Monto total],"fracaso",0,1)</f>
        <v>0.16666666666666666</v>
      </c>
      <c r="L1464" t="s">
        <v>608</v>
      </c>
    </row>
    <row r="1465" spans="1:12" x14ac:dyDescent="0.25">
      <c r="A1465">
        <v>596</v>
      </c>
      <c r="B1465">
        <v>18</v>
      </c>
      <c r="C1465" t="s">
        <v>200</v>
      </c>
      <c r="D1465" t="s">
        <v>633</v>
      </c>
      <c r="E1465">
        <v>14</v>
      </c>
      <c r="F1465">
        <v>23</v>
      </c>
      <c r="G1465">
        <v>2</v>
      </c>
      <c r="H1465">
        <v>47</v>
      </c>
      <c r="I1465">
        <f>Cocina[[#This Row],[Precio Unitario]]*Cocina[[#This Row],[Cantidad Ordenada]]</f>
        <v>46</v>
      </c>
      <c r="J1465">
        <f>(Cocina[[#This Row],[Precio Unitario]]-Cocina[[#This Row],[Costo Unitario]])*Cocina[[#This Row],[Cantidad Ordenada]]</f>
        <v>18</v>
      </c>
      <c r="K1465" s="4">
        <f>Cocina[[#This Row],[Ganancia neta]]/_xlfn.XLOOKUP(Cocina[[#This Row],[Número de Orden]],Sala[Número de Orden],Sala[Monto total],"fracaso",0,1)</f>
        <v>7.4999999999999997E-2</v>
      </c>
      <c r="L1465" t="s">
        <v>608</v>
      </c>
    </row>
    <row r="1466" spans="1:12" x14ac:dyDescent="0.25">
      <c r="A1466">
        <v>596</v>
      </c>
      <c r="B1466">
        <v>18</v>
      </c>
      <c r="C1466" t="s">
        <v>158</v>
      </c>
      <c r="D1466" t="s">
        <v>617</v>
      </c>
      <c r="E1466">
        <v>14</v>
      </c>
      <c r="F1466">
        <v>24</v>
      </c>
      <c r="G1466">
        <v>2</v>
      </c>
      <c r="H1466">
        <v>50</v>
      </c>
      <c r="I1466">
        <f>Cocina[[#This Row],[Precio Unitario]]*Cocina[[#This Row],[Cantidad Ordenada]]</f>
        <v>48</v>
      </c>
      <c r="J1466">
        <f>(Cocina[[#This Row],[Precio Unitario]]-Cocina[[#This Row],[Costo Unitario]])*Cocina[[#This Row],[Cantidad Ordenada]]</f>
        <v>20</v>
      </c>
      <c r="K1466" s="4">
        <f>Cocina[[#This Row],[Ganancia neta]]/_xlfn.XLOOKUP(Cocina[[#This Row],[Número de Orden]],Sala[Número de Orden],Sala[Monto total],"fracaso",0,1)</f>
        <v>8.3333333333333329E-2</v>
      </c>
      <c r="L1466" t="s">
        <v>608</v>
      </c>
    </row>
    <row r="1467" spans="1:12" x14ac:dyDescent="0.25">
      <c r="A1467">
        <v>596</v>
      </c>
      <c r="B1467">
        <v>18</v>
      </c>
      <c r="C1467" t="s">
        <v>247</v>
      </c>
      <c r="D1467" t="s">
        <v>629</v>
      </c>
      <c r="E1467">
        <v>19</v>
      </c>
      <c r="F1467">
        <v>32</v>
      </c>
      <c r="G1467">
        <v>3</v>
      </c>
      <c r="H1467">
        <v>42</v>
      </c>
      <c r="I1467">
        <f>Cocina[[#This Row],[Precio Unitario]]*Cocina[[#This Row],[Cantidad Ordenada]]</f>
        <v>96</v>
      </c>
      <c r="J1467">
        <f>(Cocina[[#This Row],[Precio Unitario]]-Cocina[[#This Row],[Costo Unitario]])*Cocina[[#This Row],[Cantidad Ordenada]]</f>
        <v>39</v>
      </c>
      <c r="K1467" s="4">
        <f>Cocina[[#This Row],[Ganancia neta]]/_xlfn.XLOOKUP(Cocina[[#This Row],[Número de Orden]],Sala[Número de Orden],Sala[Monto total],"fracaso",0,1)</f>
        <v>0.16250000000000001</v>
      </c>
      <c r="L1467" t="s">
        <v>608</v>
      </c>
    </row>
    <row r="1468" spans="1:12" x14ac:dyDescent="0.25">
      <c r="A1468">
        <v>596</v>
      </c>
      <c r="B1468">
        <v>18</v>
      </c>
      <c r="C1468" t="s">
        <v>122</v>
      </c>
      <c r="D1468" t="s">
        <v>637</v>
      </c>
      <c r="E1468">
        <v>15</v>
      </c>
      <c r="F1468">
        <v>25</v>
      </c>
      <c r="G1468">
        <v>2</v>
      </c>
      <c r="H1468">
        <v>19</v>
      </c>
      <c r="I1468">
        <f>Cocina[[#This Row],[Precio Unitario]]*Cocina[[#This Row],[Cantidad Ordenada]]</f>
        <v>50</v>
      </c>
      <c r="J1468">
        <f>(Cocina[[#This Row],[Precio Unitario]]-Cocina[[#This Row],[Costo Unitario]])*Cocina[[#This Row],[Cantidad Ordenada]]</f>
        <v>20</v>
      </c>
      <c r="K1468" s="4">
        <f>Cocina[[#This Row],[Ganancia neta]]/_xlfn.XLOOKUP(Cocina[[#This Row],[Número de Orden]],Sala[Número de Orden],Sala[Monto total],"fracaso",0,1)</f>
        <v>8.3333333333333329E-2</v>
      </c>
      <c r="L1468" t="s">
        <v>607</v>
      </c>
    </row>
    <row r="1469" spans="1:12" x14ac:dyDescent="0.25">
      <c r="A1469">
        <v>597</v>
      </c>
      <c r="B1469">
        <v>16</v>
      </c>
      <c r="C1469" t="s">
        <v>42</v>
      </c>
      <c r="D1469" t="s">
        <v>626</v>
      </c>
      <c r="E1469">
        <v>16</v>
      </c>
      <c r="F1469">
        <v>28</v>
      </c>
      <c r="G1469">
        <v>1</v>
      </c>
      <c r="H1469">
        <v>39</v>
      </c>
      <c r="I1469">
        <f>Cocina[[#This Row],[Precio Unitario]]*Cocina[[#This Row],[Cantidad Ordenada]]</f>
        <v>28</v>
      </c>
      <c r="J1469">
        <f>(Cocina[[#This Row],[Precio Unitario]]-Cocina[[#This Row],[Costo Unitario]])*Cocina[[#This Row],[Cantidad Ordenada]]</f>
        <v>12</v>
      </c>
      <c r="K1469" s="4">
        <f>Cocina[[#This Row],[Ganancia neta]]/_xlfn.XLOOKUP(Cocina[[#This Row],[Número de Orden]],Sala[Número de Orden],Sala[Monto total],"fracaso",0,1)</f>
        <v>0.08</v>
      </c>
      <c r="L1469" t="s">
        <v>608</v>
      </c>
    </row>
    <row r="1470" spans="1:12" x14ac:dyDescent="0.25">
      <c r="A1470">
        <v>597</v>
      </c>
      <c r="B1470">
        <v>16</v>
      </c>
      <c r="C1470" t="s">
        <v>79</v>
      </c>
      <c r="D1470" t="s">
        <v>635</v>
      </c>
      <c r="E1470">
        <v>10</v>
      </c>
      <c r="F1470">
        <v>18</v>
      </c>
      <c r="G1470">
        <v>1</v>
      </c>
      <c r="H1470">
        <v>55</v>
      </c>
      <c r="I1470">
        <f>Cocina[[#This Row],[Precio Unitario]]*Cocina[[#This Row],[Cantidad Ordenada]]</f>
        <v>18</v>
      </c>
      <c r="J1470">
        <f>(Cocina[[#This Row],[Precio Unitario]]-Cocina[[#This Row],[Costo Unitario]])*Cocina[[#This Row],[Cantidad Ordenada]]</f>
        <v>8</v>
      </c>
      <c r="K1470" s="4">
        <f>Cocina[[#This Row],[Ganancia neta]]/_xlfn.XLOOKUP(Cocina[[#This Row],[Número de Orden]],Sala[Número de Orden],Sala[Monto total],"fracaso",0,1)</f>
        <v>5.3333333333333337E-2</v>
      </c>
      <c r="L1470" t="s">
        <v>608</v>
      </c>
    </row>
    <row r="1471" spans="1:12" x14ac:dyDescent="0.25">
      <c r="A1471">
        <v>597</v>
      </c>
      <c r="B1471">
        <v>16</v>
      </c>
      <c r="C1471" t="s">
        <v>48</v>
      </c>
      <c r="D1471" t="s">
        <v>622</v>
      </c>
      <c r="E1471">
        <v>25</v>
      </c>
      <c r="F1471">
        <v>40</v>
      </c>
      <c r="G1471">
        <v>2</v>
      </c>
      <c r="H1471">
        <v>39</v>
      </c>
      <c r="I1471">
        <f>Cocina[[#This Row],[Precio Unitario]]*Cocina[[#This Row],[Cantidad Ordenada]]</f>
        <v>80</v>
      </c>
      <c r="J1471">
        <f>(Cocina[[#This Row],[Precio Unitario]]-Cocina[[#This Row],[Costo Unitario]])*Cocina[[#This Row],[Cantidad Ordenada]]</f>
        <v>30</v>
      </c>
      <c r="K1471" s="4">
        <f>Cocina[[#This Row],[Ganancia neta]]/_xlfn.XLOOKUP(Cocina[[#This Row],[Número de Orden]],Sala[Número de Orden],Sala[Monto total],"fracaso",0,1)</f>
        <v>0.2</v>
      </c>
      <c r="L1471" t="s">
        <v>608</v>
      </c>
    </row>
    <row r="1472" spans="1:12" x14ac:dyDescent="0.25">
      <c r="A1472">
        <v>597</v>
      </c>
      <c r="B1472">
        <v>16</v>
      </c>
      <c r="C1472" t="s">
        <v>158</v>
      </c>
      <c r="D1472" t="s">
        <v>617</v>
      </c>
      <c r="E1472">
        <v>14</v>
      </c>
      <c r="F1472">
        <v>24</v>
      </c>
      <c r="G1472">
        <v>1</v>
      </c>
      <c r="H1472">
        <v>8</v>
      </c>
      <c r="I1472">
        <f>Cocina[[#This Row],[Precio Unitario]]*Cocina[[#This Row],[Cantidad Ordenada]]</f>
        <v>24</v>
      </c>
      <c r="J1472">
        <f>(Cocina[[#This Row],[Precio Unitario]]-Cocina[[#This Row],[Costo Unitario]])*Cocina[[#This Row],[Cantidad Ordenada]]</f>
        <v>10</v>
      </c>
      <c r="K1472" s="4">
        <f>Cocina[[#This Row],[Ganancia neta]]/_xlfn.XLOOKUP(Cocina[[#This Row],[Número de Orden]],Sala[Número de Orden],Sala[Monto total],"fracaso",0,1)</f>
        <v>6.6666666666666666E-2</v>
      </c>
      <c r="L1472" t="s">
        <v>608</v>
      </c>
    </row>
    <row r="1473" spans="1:12" x14ac:dyDescent="0.25">
      <c r="A1473">
        <v>598</v>
      </c>
      <c r="B1473">
        <v>9</v>
      </c>
      <c r="C1473" t="s">
        <v>155</v>
      </c>
      <c r="D1473" t="s">
        <v>636</v>
      </c>
      <c r="E1473">
        <v>15</v>
      </c>
      <c r="F1473">
        <v>26</v>
      </c>
      <c r="G1473">
        <v>2</v>
      </c>
      <c r="H1473">
        <v>44</v>
      </c>
      <c r="I1473">
        <f>Cocina[[#This Row],[Precio Unitario]]*Cocina[[#This Row],[Cantidad Ordenada]]</f>
        <v>52</v>
      </c>
      <c r="J1473">
        <f>(Cocina[[#This Row],[Precio Unitario]]-Cocina[[#This Row],[Costo Unitario]])*Cocina[[#This Row],[Cantidad Ordenada]]</f>
        <v>22</v>
      </c>
      <c r="K1473" s="4">
        <f>Cocina[[#This Row],[Ganancia neta]]/_xlfn.XLOOKUP(Cocina[[#This Row],[Número de Orden]],Sala[Número de Orden],Sala[Monto total],"fracaso",0,1)</f>
        <v>0.10526315789473684</v>
      </c>
      <c r="L1473" t="s">
        <v>607</v>
      </c>
    </row>
    <row r="1474" spans="1:12" x14ac:dyDescent="0.25">
      <c r="A1474">
        <v>598</v>
      </c>
      <c r="B1474">
        <v>9</v>
      </c>
      <c r="C1474" t="s">
        <v>247</v>
      </c>
      <c r="D1474" t="s">
        <v>629</v>
      </c>
      <c r="E1474">
        <v>19</v>
      </c>
      <c r="F1474">
        <v>32</v>
      </c>
      <c r="G1474">
        <v>2</v>
      </c>
      <c r="H1474">
        <v>22</v>
      </c>
      <c r="I1474">
        <f>Cocina[[#This Row],[Precio Unitario]]*Cocina[[#This Row],[Cantidad Ordenada]]</f>
        <v>64</v>
      </c>
      <c r="J1474">
        <f>(Cocina[[#This Row],[Precio Unitario]]-Cocina[[#This Row],[Costo Unitario]])*Cocina[[#This Row],[Cantidad Ordenada]]</f>
        <v>26</v>
      </c>
      <c r="K1474" s="4">
        <f>Cocina[[#This Row],[Ganancia neta]]/_xlfn.XLOOKUP(Cocina[[#This Row],[Número de Orden]],Sala[Número de Orden],Sala[Monto total],"fracaso",0,1)</f>
        <v>0.12440191387559808</v>
      </c>
      <c r="L1474" t="s">
        <v>607</v>
      </c>
    </row>
    <row r="1475" spans="1:12" x14ac:dyDescent="0.25">
      <c r="A1475">
        <v>598</v>
      </c>
      <c r="B1475">
        <v>9</v>
      </c>
      <c r="C1475" t="s">
        <v>116</v>
      </c>
      <c r="D1475" t="s">
        <v>620</v>
      </c>
      <c r="E1475">
        <v>19</v>
      </c>
      <c r="F1475">
        <v>31</v>
      </c>
      <c r="G1475">
        <v>3</v>
      </c>
      <c r="H1475">
        <v>15</v>
      </c>
      <c r="I1475">
        <f>Cocina[[#This Row],[Precio Unitario]]*Cocina[[#This Row],[Cantidad Ordenada]]</f>
        <v>93</v>
      </c>
      <c r="J1475">
        <f>(Cocina[[#This Row],[Precio Unitario]]-Cocina[[#This Row],[Costo Unitario]])*Cocina[[#This Row],[Cantidad Ordenada]]</f>
        <v>36</v>
      </c>
      <c r="K1475" s="4">
        <f>Cocina[[#This Row],[Ganancia neta]]/_xlfn.XLOOKUP(Cocina[[#This Row],[Número de Orden]],Sala[Número de Orden],Sala[Monto total],"fracaso",0,1)</f>
        <v>0.17224880382775121</v>
      </c>
      <c r="L1475" t="s">
        <v>607</v>
      </c>
    </row>
    <row r="1476" spans="1:12" x14ac:dyDescent="0.25">
      <c r="A1476">
        <v>599</v>
      </c>
      <c r="B1476">
        <v>11</v>
      </c>
      <c r="C1476" t="s">
        <v>55</v>
      </c>
      <c r="D1476" t="s">
        <v>631</v>
      </c>
      <c r="E1476">
        <v>20</v>
      </c>
      <c r="F1476">
        <v>34</v>
      </c>
      <c r="G1476">
        <v>2</v>
      </c>
      <c r="H1476">
        <v>5</v>
      </c>
      <c r="I1476">
        <f>Cocina[[#This Row],[Precio Unitario]]*Cocina[[#This Row],[Cantidad Ordenada]]</f>
        <v>68</v>
      </c>
      <c r="J1476">
        <f>(Cocina[[#This Row],[Precio Unitario]]-Cocina[[#This Row],[Costo Unitario]])*Cocina[[#This Row],[Cantidad Ordenada]]</f>
        <v>28</v>
      </c>
      <c r="K1476" s="4">
        <f>Cocina[[#This Row],[Ganancia neta]]/_xlfn.XLOOKUP(Cocina[[#This Row],[Número de Orden]],Sala[Número de Orden],Sala[Monto total],"fracaso",0,1)</f>
        <v>0.16568047337278108</v>
      </c>
      <c r="L1476" t="s">
        <v>607</v>
      </c>
    </row>
    <row r="1477" spans="1:12" x14ac:dyDescent="0.25">
      <c r="A1477">
        <v>599</v>
      </c>
      <c r="B1477">
        <v>11</v>
      </c>
      <c r="C1477" t="s">
        <v>116</v>
      </c>
      <c r="D1477" t="s">
        <v>620</v>
      </c>
      <c r="E1477">
        <v>19</v>
      </c>
      <c r="F1477">
        <v>31</v>
      </c>
      <c r="G1477">
        <v>1</v>
      </c>
      <c r="H1477">
        <v>49</v>
      </c>
      <c r="I1477">
        <f>Cocina[[#This Row],[Precio Unitario]]*Cocina[[#This Row],[Cantidad Ordenada]]</f>
        <v>31</v>
      </c>
      <c r="J1477">
        <f>(Cocina[[#This Row],[Precio Unitario]]-Cocina[[#This Row],[Costo Unitario]])*Cocina[[#This Row],[Cantidad Ordenada]]</f>
        <v>12</v>
      </c>
      <c r="K1477" s="4">
        <f>Cocina[[#This Row],[Ganancia neta]]/_xlfn.XLOOKUP(Cocina[[#This Row],[Número de Orden]],Sala[Número de Orden],Sala[Monto total],"fracaso",0,1)</f>
        <v>7.1005917159763315E-2</v>
      </c>
      <c r="L1477" t="s">
        <v>607</v>
      </c>
    </row>
    <row r="1478" spans="1:12" x14ac:dyDescent="0.25">
      <c r="A1478">
        <v>599</v>
      </c>
      <c r="B1478">
        <v>11</v>
      </c>
      <c r="C1478" t="s">
        <v>26</v>
      </c>
      <c r="D1478" t="s">
        <v>628</v>
      </c>
      <c r="E1478">
        <v>21</v>
      </c>
      <c r="F1478">
        <v>35</v>
      </c>
      <c r="G1478">
        <v>2</v>
      </c>
      <c r="H1478">
        <v>54</v>
      </c>
      <c r="I1478">
        <f>Cocina[[#This Row],[Precio Unitario]]*Cocina[[#This Row],[Cantidad Ordenada]]</f>
        <v>70</v>
      </c>
      <c r="J1478">
        <f>(Cocina[[#This Row],[Precio Unitario]]-Cocina[[#This Row],[Costo Unitario]])*Cocina[[#This Row],[Cantidad Ordenada]]</f>
        <v>28</v>
      </c>
      <c r="K1478" s="4">
        <f>Cocina[[#This Row],[Ganancia neta]]/_xlfn.XLOOKUP(Cocina[[#This Row],[Número de Orden]],Sala[Número de Orden],Sala[Monto total],"fracaso",0,1)</f>
        <v>0.16568047337278108</v>
      </c>
      <c r="L1478" t="s">
        <v>607</v>
      </c>
    </row>
    <row r="1479" spans="1:12" x14ac:dyDescent="0.25">
      <c r="A1479">
        <v>600</v>
      </c>
      <c r="B1479">
        <v>14</v>
      </c>
      <c r="C1479" t="s">
        <v>42</v>
      </c>
      <c r="D1479" t="s">
        <v>626</v>
      </c>
      <c r="E1479">
        <v>16</v>
      </c>
      <c r="F1479">
        <v>28</v>
      </c>
      <c r="G1479">
        <v>3</v>
      </c>
      <c r="H1479">
        <v>22</v>
      </c>
      <c r="I1479">
        <f>Cocina[[#This Row],[Precio Unitario]]*Cocina[[#This Row],[Cantidad Ordenada]]</f>
        <v>84</v>
      </c>
      <c r="J1479">
        <f>(Cocina[[#This Row],[Precio Unitario]]-Cocina[[#This Row],[Costo Unitario]])*Cocina[[#This Row],[Cantidad Ordenada]]</f>
        <v>36</v>
      </c>
      <c r="K1479" s="4">
        <f>Cocina[[#This Row],[Ganancia neta]]/_xlfn.XLOOKUP(Cocina[[#This Row],[Número de Orden]],Sala[Número de Orden],Sala[Monto total],"fracaso",0,1)</f>
        <v>0.25</v>
      </c>
      <c r="L1479" t="s">
        <v>608</v>
      </c>
    </row>
    <row r="1480" spans="1:12" x14ac:dyDescent="0.25">
      <c r="A1480">
        <v>600</v>
      </c>
      <c r="B1480">
        <v>14</v>
      </c>
      <c r="C1480" t="s">
        <v>68</v>
      </c>
      <c r="D1480" t="s">
        <v>619</v>
      </c>
      <c r="E1480">
        <v>18</v>
      </c>
      <c r="F1480">
        <v>30</v>
      </c>
      <c r="G1480">
        <v>2</v>
      </c>
      <c r="H1480">
        <v>43</v>
      </c>
      <c r="I1480">
        <f>Cocina[[#This Row],[Precio Unitario]]*Cocina[[#This Row],[Cantidad Ordenada]]</f>
        <v>60</v>
      </c>
      <c r="J1480">
        <f>(Cocina[[#This Row],[Precio Unitario]]-Cocina[[#This Row],[Costo Unitario]])*Cocina[[#This Row],[Cantidad Ordenada]]</f>
        <v>24</v>
      </c>
      <c r="K1480" s="4">
        <f>Cocina[[#This Row],[Ganancia neta]]/_xlfn.XLOOKUP(Cocina[[#This Row],[Número de Orden]],Sala[Número de Orden],Sala[Monto total],"fracaso",0,1)</f>
        <v>0.16666666666666666</v>
      </c>
      <c r="L1480" t="s">
        <v>607</v>
      </c>
    </row>
    <row r="1481" spans="1:12" x14ac:dyDescent="0.25">
      <c r="A1481">
        <v>601</v>
      </c>
      <c r="B1481">
        <v>13</v>
      </c>
      <c r="C1481" t="s">
        <v>48</v>
      </c>
      <c r="D1481" t="s">
        <v>622</v>
      </c>
      <c r="E1481">
        <v>25</v>
      </c>
      <c r="F1481">
        <v>40</v>
      </c>
      <c r="G1481">
        <v>2</v>
      </c>
      <c r="H1481">
        <v>11</v>
      </c>
      <c r="I1481">
        <f>Cocina[[#This Row],[Precio Unitario]]*Cocina[[#This Row],[Cantidad Ordenada]]</f>
        <v>80</v>
      </c>
      <c r="J1481">
        <f>(Cocina[[#This Row],[Precio Unitario]]-Cocina[[#This Row],[Costo Unitario]])*Cocina[[#This Row],[Cantidad Ordenada]]</f>
        <v>30</v>
      </c>
      <c r="K1481" s="4">
        <f>Cocina[[#This Row],[Ganancia neta]]/_xlfn.XLOOKUP(Cocina[[#This Row],[Número de Orden]],Sala[Número de Orden],Sala[Monto total],"fracaso",0,1)</f>
        <v>0.10273972602739725</v>
      </c>
      <c r="L1481" t="s">
        <v>608</v>
      </c>
    </row>
    <row r="1482" spans="1:12" x14ac:dyDescent="0.25">
      <c r="A1482">
        <v>601</v>
      </c>
      <c r="B1482">
        <v>13</v>
      </c>
      <c r="C1482" t="s">
        <v>42</v>
      </c>
      <c r="D1482" t="s">
        <v>626</v>
      </c>
      <c r="E1482">
        <v>16</v>
      </c>
      <c r="F1482">
        <v>28</v>
      </c>
      <c r="G1482">
        <v>3</v>
      </c>
      <c r="H1482">
        <v>28</v>
      </c>
      <c r="I1482">
        <f>Cocina[[#This Row],[Precio Unitario]]*Cocina[[#This Row],[Cantidad Ordenada]]</f>
        <v>84</v>
      </c>
      <c r="J1482">
        <f>(Cocina[[#This Row],[Precio Unitario]]-Cocina[[#This Row],[Costo Unitario]])*Cocina[[#This Row],[Cantidad Ordenada]]</f>
        <v>36</v>
      </c>
      <c r="K1482" s="4">
        <f>Cocina[[#This Row],[Ganancia neta]]/_xlfn.XLOOKUP(Cocina[[#This Row],[Número de Orden]],Sala[Número de Orden],Sala[Monto total],"fracaso",0,1)</f>
        <v>0.12328767123287671</v>
      </c>
      <c r="L1482" t="s">
        <v>607</v>
      </c>
    </row>
    <row r="1483" spans="1:12" x14ac:dyDescent="0.25">
      <c r="A1483">
        <v>601</v>
      </c>
      <c r="B1483">
        <v>13</v>
      </c>
      <c r="C1483" t="s">
        <v>200</v>
      </c>
      <c r="D1483" t="s">
        <v>633</v>
      </c>
      <c r="E1483">
        <v>14</v>
      </c>
      <c r="F1483">
        <v>23</v>
      </c>
      <c r="G1483">
        <v>1</v>
      </c>
      <c r="H1483">
        <v>44</v>
      </c>
      <c r="I1483">
        <f>Cocina[[#This Row],[Precio Unitario]]*Cocina[[#This Row],[Cantidad Ordenada]]</f>
        <v>23</v>
      </c>
      <c r="J1483">
        <f>(Cocina[[#This Row],[Precio Unitario]]-Cocina[[#This Row],[Costo Unitario]])*Cocina[[#This Row],[Cantidad Ordenada]]</f>
        <v>9</v>
      </c>
      <c r="K1483" s="4">
        <f>Cocina[[#This Row],[Ganancia neta]]/_xlfn.XLOOKUP(Cocina[[#This Row],[Número de Orden]],Sala[Número de Orden],Sala[Monto total],"fracaso",0,1)</f>
        <v>3.0821917808219176E-2</v>
      </c>
      <c r="L1483" t="s">
        <v>608</v>
      </c>
    </row>
    <row r="1484" spans="1:12" x14ac:dyDescent="0.25">
      <c r="A1484">
        <v>601</v>
      </c>
      <c r="B1484">
        <v>13</v>
      </c>
      <c r="C1484" t="s">
        <v>26</v>
      </c>
      <c r="D1484" t="s">
        <v>628</v>
      </c>
      <c r="E1484">
        <v>21</v>
      </c>
      <c r="F1484">
        <v>35</v>
      </c>
      <c r="G1484">
        <v>3</v>
      </c>
      <c r="H1484">
        <v>32</v>
      </c>
      <c r="I1484">
        <f>Cocina[[#This Row],[Precio Unitario]]*Cocina[[#This Row],[Cantidad Ordenada]]</f>
        <v>105</v>
      </c>
      <c r="J1484">
        <f>(Cocina[[#This Row],[Precio Unitario]]-Cocina[[#This Row],[Costo Unitario]])*Cocina[[#This Row],[Cantidad Ordenada]]</f>
        <v>42</v>
      </c>
      <c r="K1484" s="4">
        <f>Cocina[[#This Row],[Ganancia neta]]/_xlfn.XLOOKUP(Cocina[[#This Row],[Número de Orden]],Sala[Número de Orden],Sala[Monto total],"fracaso",0,1)</f>
        <v>0.14383561643835616</v>
      </c>
      <c r="L1484" t="s">
        <v>607</v>
      </c>
    </row>
    <row r="1485" spans="1:12" x14ac:dyDescent="0.25">
      <c r="A1485">
        <v>602</v>
      </c>
      <c r="B1485">
        <v>12</v>
      </c>
      <c r="C1485" t="s">
        <v>26</v>
      </c>
      <c r="D1485" t="s">
        <v>628</v>
      </c>
      <c r="E1485">
        <v>21</v>
      </c>
      <c r="F1485">
        <v>35</v>
      </c>
      <c r="G1485">
        <v>2</v>
      </c>
      <c r="H1485">
        <v>56</v>
      </c>
      <c r="I1485">
        <f>Cocina[[#This Row],[Precio Unitario]]*Cocina[[#This Row],[Cantidad Ordenada]]</f>
        <v>70</v>
      </c>
      <c r="J1485">
        <f>(Cocina[[#This Row],[Precio Unitario]]-Cocina[[#This Row],[Costo Unitario]])*Cocina[[#This Row],[Cantidad Ordenada]]</f>
        <v>28</v>
      </c>
      <c r="K1485" s="4">
        <f>Cocina[[#This Row],[Ganancia neta]]/_xlfn.XLOOKUP(Cocina[[#This Row],[Número de Orden]],Sala[Número de Orden],Sala[Monto total],"fracaso",0,1)</f>
        <v>0.10526315789473684</v>
      </c>
      <c r="L1485" t="s">
        <v>607</v>
      </c>
    </row>
    <row r="1486" spans="1:12" x14ac:dyDescent="0.25">
      <c r="A1486">
        <v>602</v>
      </c>
      <c r="B1486">
        <v>12</v>
      </c>
      <c r="C1486" t="s">
        <v>203</v>
      </c>
      <c r="D1486" t="s">
        <v>630</v>
      </c>
      <c r="E1486">
        <v>13</v>
      </c>
      <c r="F1486">
        <v>22</v>
      </c>
      <c r="G1486">
        <v>3</v>
      </c>
      <c r="H1486">
        <v>58</v>
      </c>
      <c r="I1486">
        <f>Cocina[[#This Row],[Precio Unitario]]*Cocina[[#This Row],[Cantidad Ordenada]]</f>
        <v>66</v>
      </c>
      <c r="J1486">
        <f>(Cocina[[#This Row],[Precio Unitario]]-Cocina[[#This Row],[Costo Unitario]])*Cocina[[#This Row],[Cantidad Ordenada]]</f>
        <v>27</v>
      </c>
      <c r="K1486" s="4">
        <f>Cocina[[#This Row],[Ganancia neta]]/_xlfn.XLOOKUP(Cocina[[#This Row],[Número de Orden]],Sala[Número de Orden],Sala[Monto total],"fracaso",0,1)</f>
        <v>0.10150375939849623</v>
      </c>
      <c r="L1486" t="s">
        <v>607</v>
      </c>
    </row>
    <row r="1487" spans="1:12" x14ac:dyDescent="0.25">
      <c r="A1487">
        <v>602</v>
      </c>
      <c r="B1487">
        <v>12</v>
      </c>
      <c r="C1487" t="s">
        <v>68</v>
      </c>
      <c r="D1487" t="s">
        <v>619</v>
      </c>
      <c r="E1487">
        <v>18</v>
      </c>
      <c r="F1487">
        <v>30</v>
      </c>
      <c r="G1487">
        <v>3</v>
      </c>
      <c r="H1487">
        <v>12</v>
      </c>
      <c r="I1487">
        <f>Cocina[[#This Row],[Precio Unitario]]*Cocina[[#This Row],[Cantidad Ordenada]]</f>
        <v>90</v>
      </c>
      <c r="J1487">
        <f>(Cocina[[#This Row],[Precio Unitario]]-Cocina[[#This Row],[Costo Unitario]])*Cocina[[#This Row],[Cantidad Ordenada]]</f>
        <v>36</v>
      </c>
      <c r="K1487" s="4">
        <f>Cocina[[#This Row],[Ganancia neta]]/_xlfn.XLOOKUP(Cocina[[#This Row],[Número de Orden]],Sala[Número de Orden],Sala[Monto total],"fracaso",0,1)</f>
        <v>0.13533834586466165</v>
      </c>
      <c r="L1487" t="s">
        <v>607</v>
      </c>
    </row>
    <row r="1488" spans="1:12" x14ac:dyDescent="0.25">
      <c r="A1488">
        <v>602</v>
      </c>
      <c r="B1488">
        <v>12</v>
      </c>
      <c r="C1488" t="s">
        <v>48</v>
      </c>
      <c r="D1488" t="s">
        <v>622</v>
      </c>
      <c r="E1488">
        <v>25</v>
      </c>
      <c r="F1488">
        <v>40</v>
      </c>
      <c r="G1488">
        <v>1</v>
      </c>
      <c r="H1488">
        <v>36</v>
      </c>
      <c r="I1488">
        <f>Cocina[[#This Row],[Precio Unitario]]*Cocina[[#This Row],[Cantidad Ordenada]]</f>
        <v>40</v>
      </c>
      <c r="J1488">
        <f>(Cocina[[#This Row],[Precio Unitario]]-Cocina[[#This Row],[Costo Unitario]])*Cocina[[#This Row],[Cantidad Ordenada]]</f>
        <v>15</v>
      </c>
      <c r="K1488" s="4">
        <f>Cocina[[#This Row],[Ganancia neta]]/_xlfn.XLOOKUP(Cocina[[#This Row],[Número de Orden]],Sala[Número de Orden],Sala[Monto total],"fracaso",0,1)</f>
        <v>5.6390977443609019E-2</v>
      </c>
      <c r="L1488" t="s">
        <v>608</v>
      </c>
    </row>
    <row r="1489" spans="1:12" x14ac:dyDescent="0.25">
      <c r="A1489">
        <v>603</v>
      </c>
      <c r="B1489">
        <v>19</v>
      </c>
      <c r="C1489" t="s">
        <v>116</v>
      </c>
      <c r="D1489" t="s">
        <v>620</v>
      </c>
      <c r="E1489">
        <v>19</v>
      </c>
      <c r="F1489">
        <v>31</v>
      </c>
      <c r="G1489">
        <v>2</v>
      </c>
      <c r="H1489">
        <v>17</v>
      </c>
      <c r="I1489">
        <f>Cocina[[#This Row],[Precio Unitario]]*Cocina[[#This Row],[Cantidad Ordenada]]</f>
        <v>62</v>
      </c>
      <c r="J1489">
        <f>(Cocina[[#This Row],[Precio Unitario]]-Cocina[[#This Row],[Costo Unitario]])*Cocina[[#This Row],[Cantidad Ordenada]]</f>
        <v>24</v>
      </c>
      <c r="K1489" s="4">
        <f>Cocina[[#This Row],[Ganancia neta]]/_xlfn.XLOOKUP(Cocina[[#This Row],[Número de Orden]],Sala[Número de Orden],Sala[Monto total],"fracaso",0,1)</f>
        <v>0.38709677419354838</v>
      </c>
      <c r="L1489" t="s">
        <v>607</v>
      </c>
    </row>
    <row r="1490" spans="1:12" x14ac:dyDescent="0.25">
      <c r="A1490">
        <v>604</v>
      </c>
      <c r="B1490">
        <v>14</v>
      </c>
      <c r="C1490" t="s">
        <v>26</v>
      </c>
      <c r="D1490" t="s">
        <v>628</v>
      </c>
      <c r="E1490">
        <v>21</v>
      </c>
      <c r="F1490">
        <v>35</v>
      </c>
      <c r="G1490">
        <v>3</v>
      </c>
      <c r="H1490">
        <v>42</v>
      </c>
      <c r="I1490">
        <f>Cocina[[#This Row],[Precio Unitario]]*Cocina[[#This Row],[Cantidad Ordenada]]</f>
        <v>105</v>
      </c>
      <c r="J1490">
        <f>(Cocina[[#This Row],[Precio Unitario]]-Cocina[[#This Row],[Costo Unitario]])*Cocina[[#This Row],[Cantidad Ordenada]]</f>
        <v>42</v>
      </c>
      <c r="K1490" s="4">
        <f>Cocina[[#This Row],[Ganancia neta]]/_xlfn.XLOOKUP(Cocina[[#This Row],[Número de Orden]],Sala[Número de Orden],Sala[Monto total],"fracaso",0,1)</f>
        <v>0.4</v>
      </c>
      <c r="L1490" t="s">
        <v>607</v>
      </c>
    </row>
    <row r="1491" spans="1:12" x14ac:dyDescent="0.25">
      <c r="A1491">
        <v>605</v>
      </c>
      <c r="B1491">
        <v>19</v>
      </c>
      <c r="C1491" t="s">
        <v>146</v>
      </c>
      <c r="D1491" t="s">
        <v>632</v>
      </c>
      <c r="E1491">
        <v>12</v>
      </c>
      <c r="F1491">
        <v>20</v>
      </c>
      <c r="G1491">
        <v>1</v>
      </c>
      <c r="H1491">
        <v>47</v>
      </c>
      <c r="I1491">
        <f>Cocina[[#This Row],[Precio Unitario]]*Cocina[[#This Row],[Cantidad Ordenada]]</f>
        <v>20</v>
      </c>
      <c r="J1491">
        <f>(Cocina[[#This Row],[Precio Unitario]]-Cocina[[#This Row],[Costo Unitario]])*Cocina[[#This Row],[Cantidad Ordenada]]</f>
        <v>8</v>
      </c>
      <c r="K1491" s="4">
        <f>Cocina[[#This Row],[Ganancia neta]]/_xlfn.XLOOKUP(Cocina[[#This Row],[Número de Orden]],Sala[Número de Orden],Sala[Monto total],"fracaso",0,1)</f>
        <v>3.6363636363636362E-2</v>
      </c>
      <c r="L1491" t="s">
        <v>607</v>
      </c>
    </row>
    <row r="1492" spans="1:12" x14ac:dyDescent="0.25">
      <c r="A1492">
        <v>605</v>
      </c>
      <c r="B1492">
        <v>19</v>
      </c>
      <c r="C1492" t="s">
        <v>48</v>
      </c>
      <c r="D1492" t="s">
        <v>622</v>
      </c>
      <c r="E1492">
        <v>25</v>
      </c>
      <c r="F1492">
        <v>40</v>
      </c>
      <c r="G1492">
        <v>1</v>
      </c>
      <c r="H1492">
        <v>24</v>
      </c>
      <c r="I1492">
        <f>Cocina[[#This Row],[Precio Unitario]]*Cocina[[#This Row],[Cantidad Ordenada]]</f>
        <v>40</v>
      </c>
      <c r="J1492">
        <f>(Cocina[[#This Row],[Precio Unitario]]-Cocina[[#This Row],[Costo Unitario]])*Cocina[[#This Row],[Cantidad Ordenada]]</f>
        <v>15</v>
      </c>
      <c r="K1492" s="4">
        <f>Cocina[[#This Row],[Ganancia neta]]/_xlfn.XLOOKUP(Cocina[[#This Row],[Número de Orden]],Sala[Número de Orden],Sala[Monto total],"fracaso",0,1)</f>
        <v>6.8181818181818177E-2</v>
      </c>
      <c r="L1492" t="s">
        <v>608</v>
      </c>
    </row>
    <row r="1493" spans="1:12" x14ac:dyDescent="0.25">
      <c r="A1493">
        <v>605</v>
      </c>
      <c r="B1493">
        <v>19</v>
      </c>
      <c r="C1493" t="s">
        <v>26</v>
      </c>
      <c r="D1493" t="s">
        <v>628</v>
      </c>
      <c r="E1493">
        <v>21</v>
      </c>
      <c r="F1493">
        <v>35</v>
      </c>
      <c r="G1493">
        <v>2</v>
      </c>
      <c r="H1493">
        <v>55</v>
      </c>
      <c r="I1493">
        <f>Cocina[[#This Row],[Precio Unitario]]*Cocina[[#This Row],[Cantidad Ordenada]]</f>
        <v>70</v>
      </c>
      <c r="J1493">
        <f>(Cocina[[#This Row],[Precio Unitario]]-Cocina[[#This Row],[Costo Unitario]])*Cocina[[#This Row],[Cantidad Ordenada]]</f>
        <v>28</v>
      </c>
      <c r="K1493" s="4">
        <f>Cocina[[#This Row],[Ganancia neta]]/_xlfn.XLOOKUP(Cocina[[#This Row],[Número de Orden]],Sala[Número de Orden],Sala[Monto total],"fracaso",0,1)</f>
        <v>0.12727272727272726</v>
      </c>
      <c r="L1493" t="s">
        <v>608</v>
      </c>
    </row>
    <row r="1494" spans="1:12" x14ac:dyDescent="0.25">
      <c r="A1494">
        <v>605</v>
      </c>
      <c r="B1494">
        <v>19</v>
      </c>
      <c r="C1494" t="s">
        <v>68</v>
      </c>
      <c r="D1494" t="s">
        <v>619</v>
      </c>
      <c r="E1494">
        <v>18</v>
      </c>
      <c r="F1494">
        <v>30</v>
      </c>
      <c r="G1494">
        <v>3</v>
      </c>
      <c r="H1494">
        <v>50</v>
      </c>
      <c r="I1494">
        <f>Cocina[[#This Row],[Precio Unitario]]*Cocina[[#This Row],[Cantidad Ordenada]]</f>
        <v>90</v>
      </c>
      <c r="J1494">
        <f>(Cocina[[#This Row],[Precio Unitario]]-Cocina[[#This Row],[Costo Unitario]])*Cocina[[#This Row],[Cantidad Ordenada]]</f>
        <v>36</v>
      </c>
      <c r="K1494" s="4">
        <f>Cocina[[#This Row],[Ganancia neta]]/_xlfn.XLOOKUP(Cocina[[#This Row],[Número de Orden]],Sala[Número de Orden],Sala[Monto total],"fracaso",0,1)</f>
        <v>0.16363636363636364</v>
      </c>
      <c r="L1494" t="s">
        <v>608</v>
      </c>
    </row>
    <row r="1495" spans="1:12" x14ac:dyDescent="0.25">
      <c r="A1495">
        <v>606</v>
      </c>
      <c r="B1495">
        <v>1</v>
      </c>
      <c r="C1495" t="s">
        <v>122</v>
      </c>
      <c r="D1495" t="s">
        <v>637</v>
      </c>
      <c r="E1495">
        <v>15</v>
      </c>
      <c r="F1495">
        <v>25</v>
      </c>
      <c r="G1495">
        <v>2</v>
      </c>
      <c r="H1495">
        <v>47</v>
      </c>
      <c r="I1495">
        <f>Cocina[[#This Row],[Precio Unitario]]*Cocina[[#This Row],[Cantidad Ordenada]]</f>
        <v>50</v>
      </c>
      <c r="J1495">
        <f>(Cocina[[#This Row],[Precio Unitario]]-Cocina[[#This Row],[Costo Unitario]])*Cocina[[#This Row],[Cantidad Ordenada]]</f>
        <v>20</v>
      </c>
      <c r="K1495" s="4">
        <f>Cocina[[#This Row],[Ganancia neta]]/_xlfn.XLOOKUP(Cocina[[#This Row],[Número de Orden]],Sala[Número de Orden],Sala[Monto total],"fracaso",0,1)</f>
        <v>0.10928961748633879</v>
      </c>
      <c r="L1495" t="s">
        <v>607</v>
      </c>
    </row>
    <row r="1496" spans="1:12" x14ac:dyDescent="0.25">
      <c r="A1496">
        <v>606</v>
      </c>
      <c r="B1496">
        <v>1</v>
      </c>
      <c r="C1496" t="s">
        <v>106</v>
      </c>
      <c r="D1496" t="s">
        <v>621</v>
      </c>
      <c r="E1496">
        <v>16</v>
      </c>
      <c r="F1496">
        <v>27</v>
      </c>
      <c r="G1496">
        <v>3</v>
      </c>
      <c r="H1496">
        <v>48</v>
      </c>
      <c r="I1496">
        <f>Cocina[[#This Row],[Precio Unitario]]*Cocina[[#This Row],[Cantidad Ordenada]]</f>
        <v>81</v>
      </c>
      <c r="J1496">
        <f>(Cocina[[#This Row],[Precio Unitario]]-Cocina[[#This Row],[Costo Unitario]])*Cocina[[#This Row],[Cantidad Ordenada]]</f>
        <v>33</v>
      </c>
      <c r="K1496" s="4">
        <f>Cocina[[#This Row],[Ganancia neta]]/_xlfn.XLOOKUP(Cocina[[#This Row],[Número de Orden]],Sala[Número de Orden],Sala[Monto total],"fracaso",0,1)</f>
        <v>0.18032786885245902</v>
      </c>
      <c r="L1496" t="s">
        <v>608</v>
      </c>
    </row>
    <row r="1497" spans="1:12" x14ac:dyDescent="0.25">
      <c r="A1497">
        <v>606</v>
      </c>
      <c r="B1497">
        <v>1</v>
      </c>
      <c r="C1497" t="s">
        <v>155</v>
      </c>
      <c r="D1497" t="s">
        <v>636</v>
      </c>
      <c r="E1497">
        <v>15</v>
      </c>
      <c r="F1497">
        <v>26</v>
      </c>
      <c r="G1497">
        <v>2</v>
      </c>
      <c r="H1497">
        <v>50</v>
      </c>
      <c r="I1497">
        <f>Cocina[[#This Row],[Precio Unitario]]*Cocina[[#This Row],[Cantidad Ordenada]]</f>
        <v>52</v>
      </c>
      <c r="J1497">
        <f>(Cocina[[#This Row],[Precio Unitario]]-Cocina[[#This Row],[Costo Unitario]])*Cocina[[#This Row],[Cantidad Ordenada]]</f>
        <v>22</v>
      </c>
      <c r="K1497" s="4">
        <f>Cocina[[#This Row],[Ganancia neta]]/_xlfn.XLOOKUP(Cocina[[#This Row],[Número de Orden]],Sala[Número de Orden],Sala[Monto total],"fracaso",0,1)</f>
        <v>0.12021857923497267</v>
      </c>
      <c r="L1497" t="s">
        <v>608</v>
      </c>
    </row>
    <row r="1498" spans="1:12" x14ac:dyDescent="0.25">
      <c r="A1498">
        <v>607</v>
      </c>
      <c r="B1498">
        <v>10</v>
      </c>
      <c r="C1498" t="s">
        <v>48</v>
      </c>
      <c r="D1498" t="s">
        <v>622</v>
      </c>
      <c r="E1498">
        <v>25</v>
      </c>
      <c r="F1498">
        <v>40</v>
      </c>
      <c r="G1498">
        <v>1</v>
      </c>
      <c r="H1498">
        <v>25</v>
      </c>
      <c r="I1498">
        <f>Cocina[[#This Row],[Precio Unitario]]*Cocina[[#This Row],[Cantidad Ordenada]]</f>
        <v>40</v>
      </c>
      <c r="J1498">
        <f>(Cocina[[#This Row],[Precio Unitario]]-Cocina[[#This Row],[Costo Unitario]])*Cocina[[#This Row],[Cantidad Ordenada]]</f>
        <v>15</v>
      </c>
      <c r="K1498" s="4">
        <f>Cocina[[#This Row],[Ganancia neta]]/_xlfn.XLOOKUP(Cocina[[#This Row],[Número de Orden]],Sala[Número de Orden],Sala[Monto total],"fracaso",0,1)</f>
        <v>0.22058823529411764</v>
      </c>
      <c r="L1498" t="s">
        <v>607</v>
      </c>
    </row>
    <row r="1499" spans="1:12" x14ac:dyDescent="0.25">
      <c r="A1499">
        <v>607</v>
      </c>
      <c r="B1499">
        <v>10</v>
      </c>
      <c r="C1499" t="s">
        <v>42</v>
      </c>
      <c r="D1499" t="s">
        <v>626</v>
      </c>
      <c r="E1499">
        <v>16</v>
      </c>
      <c r="F1499">
        <v>28</v>
      </c>
      <c r="G1499">
        <v>1</v>
      </c>
      <c r="H1499">
        <v>44</v>
      </c>
      <c r="I1499">
        <f>Cocina[[#This Row],[Precio Unitario]]*Cocina[[#This Row],[Cantidad Ordenada]]</f>
        <v>28</v>
      </c>
      <c r="J1499">
        <f>(Cocina[[#This Row],[Precio Unitario]]-Cocina[[#This Row],[Costo Unitario]])*Cocina[[#This Row],[Cantidad Ordenada]]</f>
        <v>12</v>
      </c>
      <c r="K1499" s="4">
        <f>Cocina[[#This Row],[Ganancia neta]]/_xlfn.XLOOKUP(Cocina[[#This Row],[Número de Orden]],Sala[Número de Orden],Sala[Monto total],"fracaso",0,1)</f>
        <v>0.17647058823529413</v>
      </c>
      <c r="L1499" t="s">
        <v>607</v>
      </c>
    </row>
    <row r="1500" spans="1:12" x14ac:dyDescent="0.25">
      <c r="A1500">
        <v>608</v>
      </c>
      <c r="B1500">
        <v>7</v>
      </c>
      <c r="C1500" t="s">
        <v>38</v>
      </c>
      <c r="D1500" t="s">
        <v>624</v>
      </c>
      <c r="E1500">
        <v>17</v>
      </c>
      <c r="F1500">
        <v>29</v>
      </c>
      <c r="G1500">
        <v>1</v>
      </c>
      <c r="H1500">
        <v>45</v>
      </c>
      <c r="I1500">
        <f>Cocina[[#This Row],[Precio Unitario]]*Cocina[[#This Row],[Cantidad Ordenada]]</f>
        <v>29</v>
      </c>
      <c r="J1500">
        <f>(Cocina[[#This Row],[Precio Unitario]]-Cocina[[#This Row],[Costo Unitario]])*Cocina[[#This Row],[Cantidad Ordenada]]</f>
        <v>12</v>
      </c>
      <c r="K1500" s="4">
        <f>Cocina[[#This Row],[Ganancia neta]]/_xlfn.XLOOKUP(Cocina[[#This Row],[Número de Orden]],Sala[Número de Orden],Sala[Monto total],"fracaso",0,1)</f>
        <v>0.41379310344827586</v>
      </c>
      <c r="L1500" t="s">
        <v>607</v>
      </c>
    </row>
    <row r="1501" spans="1:12" x14ac:dyDescent="0.25">
      <c r="A1501">
        <v>609</v>
      </c>
      <c r="B1501">
        <v>1</v>
      </c>
      <c r="C1501" t="s">
        <v>247</v>
      </c>
      <c r="D1501" t="s">
        <v>629</v>
      </c>
      <c r="E1501">
        <v>19</v>
      </c>
      <c r="F1501">
        <v>32</v>
      </c>
      <c r="G1501">
        <v>1</v>
      </c>
      <c r="H1501">
        <v>27</v>
      </c>
      <c r="I1501">
        <f>Cocina[[#This Row],[Precio Unitario]]*Cocina[[#This Row],[Cantidad Ordenada]]</f>
        <v>32</v>
      </c>
      <c r="J1501">
        <f>(Cocina[[#This Row],[Precio Unitario]]-Cocina[[#This Row],[Costo Unitario]])*Cocina[[#This Row],[Cantidad Ordenada]]</f>
        <v>13</v>
      </c>
      <c r="K1501" s="4">
        <f>Cocina[[#This Row],[Ganancia neta]]/_xlfn.XLOOKUP(Cocina[[#This Row],[Número de Orden]],Sala[Número de Orden],Sala[Monto total],"fracaso",0,1)</f>
        <v>0.40625</v>
      </c>
      <c r="L1501" t="s">
        <v>608</v>
      </c>
    </row>
    <row r="1502" spans="1:12" x14ac:dyDescent="0.25">
      <c r="A1502">
        <v>610</v>
      </c>
      <c r="B1502">
        <v>19</v>
      </c>
      <c r="C1502" t="s">
        <v>155</v>
      </c>
      <c r="D1502" t="s">
        <v>636</v>
      </c>
      <c r="E1502">
        <v>15</v>
      </c>
      <c r="F1502">
        <v>26</v>
      </c>
      <c r="G1502">
        <v>1</v>
      </c>
      <c r="H1502">
        <v>39</v>
      </c>
      <c r="I1502">
        <f>Cocina[[#This Row],[Precio Unitario]]*Cocina[[#This Row],[Cantidad Ordenada]]</f>
        <v>26</v>
      </c>
      <c r="J1502">
        <f>(Cocina[[#This Row],[Precio Unitario]]-Cocina[[#This Row],[Costo Unitario]])*Cocina[[#This Row],[Cantidad Ordenada]]</f>
        <v>11</v>
      </c>
      <c r="K1502" s="4">
        <f>Cocina[[#This Row],[Ganancia neta]]/_xlfn.XLOOKUP(Cocina[[#This Row],[Número de Orden]],Sala[Número de Orden],Sala[Monto total],"fracaso",0,1)</f>
        <v>0.25</v>
      </c>
      <c r="L1502" t="s">
        <v>608</v>
      </c>
    </row>
    <row r="1503" spans="1:12" x14ac:dyDescent="0.25">
      <c r="A1503">
        <v>610</v>
      </c>
      <c r="B1503">
        <v>19</v>
      </c>
      <c r="C1503" t="s">
        <v>79</v>
      </c>
      <c r="D1503" t="s">
        <v>635</v>
      </c>
      <c r="E1503">
        <v>10</v>
      </c>
      <c r="F1503">
        <v>18</v>
      </c>
      <c r="G1503">
        <v>1</v>
      </c>
      <c r="H1503">
        <v>8</v>
      </c>
      <c r="I1503">
        <f>Cocina[[#This Row],[Precio Unitario]]*Cocina[[#This Row],[Cantidad Ordenada]]</f>
        <v>18</v>
      </c>
      <c r="J1503">
        <f>(Cocina[[#This Row],[Precio Unitario]]-Cocina[[#This Row],[Costo Unitario]])*Cocina[[#This Row],[Cantidad Ordenada]]</f>
        <v>8</v>
      </c>
      <c r="K1503" s="4">
        <f>Cocina[[#This Row],[Ganancia neta]]/_xlfn.XLOOKUP(Cocina[[#This Row],[Número de Orden]],Sala[Número de Orden],Sala[Monto total],"fracaso",0,1)</f>
        <v>0.18181818181818182</v>
      </c>
      <c r="L1503" t="s">
        <v>607</v>
      </c>
    </row>
    <row r="1504" spans="1:12" x14ac:dyDescent="0.25">
      <c r="A1504">
        <v>611</v>
      </c>
      <c r="B1504">
        <v>13</v>
      </c>
      <c r="C1504" t="s">
        <v>70</v>
      </c>
      <c r="D1504" t="s">
        <v>634</v>
      </c>
      <c r="E1504">
        <v>13</v>
      </c>
      <c r="F1504">
        <v>21</v>
      </c>
      <c r="G1504">
        <v>2</v>
      </c>
      <c r="H1504">
        <v>53</v>
      </c>
      <c r="I1504">
        <f>Cocina[[#This Row],[Precio Unitario]]*Cocina[[#This Row],[Cantidad Ordenada]]</f>
        <v>42</v>
      </c>
      <c r="J1504">
        <f>(Cocina[[#This Row],[Precio Unitario]]-Cocina[[#This Row],[Costo Unitario]])*Cocina[[#This Row],[Cantidad Ordenada]]</f>
        <v>16</v>
      </c>
      <c r="K1504" s="4">
        <f>Cocina[[#This Row],[Ganancia neta]]/_xlfn.XLOOKUP(Cocina[[#This Row],[Número de Orden]],Sala[Número de Orden],Sala[Monto total],"fracaso",0,1)</f>
        <v>0.20512820512820512</v>
      </c>
      <c r="L1504" t="s">
        <v>608</v>
      </c>
    </row>
    <row r="1505" spans="1:12" x14ac:dyDescent="0.25">
      <c r="A1505">
        <v>611</v>
      </c>
      <c r="B1505">
        <v>13</v>
      </c>
      <c r="C1505" t="s">
        <v>73</v>
      </c>
      <c r="D1505" t="s">
        <v>623</v>
      </c>
      <c r="E1505">
        <v>22</v>
      </c>
      <c r="F1505">
        <v>36</v>
      </c>
      <c r="G1505">
        <v>1</v>
      </c>
      <c r="H1505">
        <v>30</v>
      </c>
      <c r="I1505">
        <f>Cocina[[#This Row],[Precio Unitario]]*Cocina[[#This Row],[Cantidad Ordenada]]</f>
        <v>36</v>
      </c>
      <c r="J1505">
        <f>(Cocina[[#This Row],[Precio Unitario]]-Cocina[[#This Row],[Costo Unitario]])*Cocina[[#This Row],[Cantidad Ordenada]]</f>
        <v>14</v>
      </c>
      <c r="K1505" s="4">
        <f>Cocina[[#This Row],[Ganancia neta]]/_xlfn.XLOOKUP(Cocina[[#This Row],[Número de Orden]],Sala[Número de Orden],Sala[Monto total],"fracaso",0,1)</f>
        <v>0.17948717948717949</v>
      </c>
      <c r="L1505" t="s">
        <v>608</v>
      </c>
    </row>
    <row r="1506" spans="1:12" x14ac:dyDescent="0.25">
      <c r="A1506">
        <v>612</v>
      </c>
      <c r="B1506">
        <v>11</v>
      </c>
      <c r="C1506" t="s">
        <v>106</v>
      </c>
      <c r="D1506" t="s">
        <v>621</v>
      </c>
      <c r="E1506">
        <v>16</v>
      </c>
      <c r="F1506">
        <v>27</v>
      </c>
      <c r="G1506">
        <v>1</v>
      </c>
      <c r="H1506">
        <v>26</v>
      </c>
      <c r="I1506">
        <f>Cocina[[#This Row],[Precio Unitario]]*Cocina[[#This Row],[Cantidad Ordenada]]</f>
        <v>27</v>
      </c>
      <c r="J1506">
        <f>(Cocina[[#This Row],[Precio Unitario]]-Cocina[[#This Row],[Costo Unitario]])*Cocina[[#This Row],[Cantidad Ordenada]]</f>
        <v>11</v>
      </c>
      <c r="K1506" s="4">
        <f>Cocina[[#This Row],[Ganancia neta]]/_xlfn.XLOOKUP(Cocina[[#This Row],[Número de Orden]],Sala[Número de Orden],Sala[Monto total],"fracaso",0,1)</f>
        <v>4.7619047619047616E-2</v>
      </c>
      <c r="L1506" t="s">
        <v>607</v>
      </c>
    </row>
    <row r="1507" spans="1:12" x14ac:dyDescent="0.25">
      <c r="A1507">
        <v>612</v>
      </c>
      <c r="B1507">
        <v>11</v>
      </c>
      <c r="C1507" t="s">
        <v>73</v>
      </c>
      <c r="D1507" t="s">
        <v>623</v>
      </c>
      <c r="E1507">
        <v>22</v>
      </c>
      <c r="F1507">
        <v>36</v>
      </c>
      <c r="G1507">
        <v>3</v>
      </c>
      <c r="H1507">
        <v>37</v>
      </c>
      <c r="I1507">
        <f>Cocina[[#This Row],[Precio Unitario]]*Cocina[[#This Row],[Cantidad Ordenada]]</f>
        <v>108</v>
      </c>
      <c r="J1507">
        <f>(Cocina[[#This Row],[Precio Unitario]]-Cocina[[#This Row],[Costo Unitario]])*Cocina[[#This Row],[Cantidad Ordenada]]</f>
        <v>42</v>
      </c>
      <c r="K1507" s="4">
        <f>Cocina[[#This Row],[Ganancia neta]]/_xlfn.XLOOKUP(Cocina[[#This Row],[Número de Orden]],Sala[Número de Orden],Sala[Monto total],"fracaso",0,1)</f>
        <v>0.18181818181818182</v>
      </c>
      <c r="L1507" t="s">
        <v>607</v>
      </c>
    </row>
    <row r="1508" spans="1:12" x14ac:dyDescent="0.25">
      <c r="A1508">
        <v>612</v>
      </c>
      <c r="B1508">
        <v>11</v>
      </c>
      <c r="C1508" t="s">
        <v>42</v>
      </c>
      <c r="D1508" t="s">
        <v>626</v>
      </c>
      <c r="E1508">
        <v>16</v>
      </c>
      <c r="F1508">
        <v>28</v>
      </c>
      <c r="G1508">
        <v>2</v>
      </c>
      <c r="H1508">
        <v>15</v>
      </c>
      <c r="I1508">
        <f>Cocina[[#This Row],[Precio Unitario]]*Cocina[[#This Row],[Cantidad Ordenada]]</f>
        <v>56</v>
      </c>
      <c r="J1508">
        <f>(Cocina[[#This Row],[Precio Unitario]]-Cocina[[#This Row],[Costo Unitario]])*Cocina[[#This Row],[Cantidad Ordenada]]</f>
        <v>24</v>
      </c>
      <c r="K1508" s="4">
        <f>Cocina[[#This Row],[Ganancia neta]]/_xlfn.XLOOKUP(Cocina[[#This Row],[Número de Orden]],Sala[Número de Orden],Sala[Monto total],"fracaso",0,1)</f>
        <v>0.1038961038961039</v>
      </c>
      <c r="L1508" t="s">
        <v>607</v>
      </c>
    </row>
    <row r="1509" spans="1:12" x14ac:dyDescent="0.25">
      <c r="A1509">
        <v>612</v>
      </c>
      <c r="B1509">
        <v>11</v>
      </c>
      <c r="C1509" t="s">
        <v>146</v>
      </c>
      <c r="D1509" t="s">
        <v>632</v>
      </c>
      <c r="E1509">
        <v>12</v>
      </c>
      <c r="F1509">
        <v>20</v>
      </c>
      <c r="G1509">
        <v>2</v>
      </c>
      <c r="H1509">
        <v>51</v>
      </c>
      <c r="I1509">
        <f>Cocina[[#This Row],[Precio Unitario]]*Cocina[[#This Row],[Cantidad Ordenada]]</f>
        <v>40</v>
      </c>
      <c r="J1509">
        <f>(Cocina[[#This Row],[Precio Unitario]]-Cocina[[#This Row],[Costo Unitario]])*Cocina[[#This Row],[Cantidad Ordenada]]</f>
        <v>16</v>
      </c>
      <c r="K1509" s="4">
        <f>Cocina[[#This Row],[Ganancia neta]]/_xlfn.XLOOKUP(Cocina[[#This Row],[Número de Orden]],Sala[Número de Orden],Sala[Monto total],"fracaso",0,1)</f>
        <v>6.9264069264069264E-2</v>
      </c>
      <c r="L1509" t="s">
        <v>607</v>
      </c>
    </row>
    <row r="1510" spans="1:12" x14ac:dyDescent="0.25">
      <c r="A1510">
        <v>613</v>
      </c>
      <c r="B1510">
        <v>1</v>
      </c>
      <c r="C1510" t="s">
        <v>112</v>
      </c>
      <c r="D1510" t="s">
        <v>627</v>
      </c>
      <c r="E1510">
        <v>11</v>
      </c>
      <c r="F1510">
        <v>19</v>
      </c>
      <c r="G1510">
        <v>3</v>
      </c>
      <c r="H1510">
        <v>41</v>
      </c>
      <c r="I1510">
        <f>Cocina[[#This Row],[Precio Unitario]]*Cocina[[#This Row],[Cantidad Ordenada]]</f>
        <v>57</v>
      </c>
      <c r="J1510">
        <f>(Cocina[[#This Row],[Precio Unitario]]-Cocina[[#This Row],[Costo Unitario]])*Cocina[[#This Row],[Cantidad Ordenada]]</f>
        <v>24</v>
      </c>
      <c r="K1510" s="4">
        <f>Cocina[[#This Row],[Ganancia neta]]/_xlfn.XLOOKUP(Cocina[[#This Row],[Número de Orden]],Sala[Número de Orden],Sala[Monto total],"fracaso",0,1)</f>
        <v>8.4210526315789472E-2</v>
      </c>
      <c r="L1510" t="s">
        <v>608</v>
      </c>
    </row>
    <row r="1511" spans="1:12" x14ac:dyDescent="0.25">
      <c r="A1511">
        <v>613</v>
      </c>
      <c r="B1511">
        <v>1</v>
      </c>
      <c r="C1511" t="s">
        <v>200</v>
      </c>
      <c r="D1511" t="s">
        <v>633</v>
      </c>
      <c r="E1511">
        <v>14</v>
      </c>
      <c r="F1511">
        <v>23</v>
      </c>
      <c r="G1511">
        <v>3</v>
      </c>
      <c r="H1511">
        <v>23</v>
      </c>
      <c r="I1511">
        <f>Cocina[[#This Row],[Precio Unitario]]*Cocina[[#This Row],[Cantidad Ordenada]]</f>
        <v>69</v>
      </c>
      <c r="J1511">
        <f>(Cocina[[#This Row],[Precio Unitario]]-Cocina[[#This Row],[Costo Unitario]])*Cocina[[#This Row],[Cantidad Ordenada]]</f>
        <v>27</v>
      </c>
      <c r="K1511" s="4">
        <f>Cocina[[#This Row],[Ganancia neta]]/_xlfn.XLOOKUP(Cocina[[#This Row],[Número de Orden]],Sala[Número de Orden],Sala[Monto total],"fracaso",0,1)</f>
        <v>9.4736842105263161E-2</v>
      </c>
      <c r="L1511" t="s">
        <v>608</v>
      </c>
    </row>
    <row r="1512" spans="1:12" x14ac:dyDescent="0.25">
      <c r="A1512">
        <v>613</v>
      </c>
      <c r="B1512">
        <v>1</v>
      </c>
      <c r="C1512" t="s">
        <v>79</v>
      </c>
      <c r="D1512" t="s">
        <v>635</v>
      </c>
      <c r="E1512">
        <v>10</v>
      </c>
      <c r="F1512">
        <v>18</v>
      </c>
      <c r="G1512">
        <v>3</v>
      </c>
      <c r="H1512">
        <v>31</v>
      </c>
      <c r="I1512">
        <f>Cocina[[#This Row],[Precio Unitario]]*Cocina[[#This Row],[Cantidad Ordenada]]</f>
        <v>54</v>
      </c>
      <c r="J1512">
        <f>(Cocina[[#This Row],[Precio Unitario]]-Cocina[[#This Row],[Costo Unitario]])*Cocina[[#This Row],[Cantidad Ordenada]]</f>
        <v>24</v>
      </c>
      <c r="K1512" s="4">
        <f>Cocina[[#This Row],[Ganancia neta]]/_xlfn.XLOOKUP(Cocina[[#This Row],[Número de Orden]],Sala[Número de Orden],Sala[Monto total],"fracaso",0,1)</f>
        <v>8.4210526315789472E-2</v>
      </c>
      <c r="L1512" t="s">
        <v>608</v>
      </c>
    </row>
    <row r="1513" spans="1:12" x14ac:dyDescent="0.25">
      <c r="A1513">
        <v>613</v>
      </c>
      <c r="B1513">
        <v>1</v>
      </c>
      <c r="C1513" t="s">
        <v>26</v>
      </c>
      <c r="D1513" t="s">
        <v>628</v>
      </c>
      <c r="E1513">
        <v>21</v>
      </c>
      <c r="F1513">
        <v>35</v>
      </c>
      <c r="G1513">
        <v>3</v>
      </c>
      <c r="H1513">
        <v>57</v>
      </c>
      <c r="I1513">
        <f>Cocina[[#This Row],[Precio Unitario]]*Cocina[[#This Row],[Cantidad Ordenada]]</f>
        <v>105</v>
      </c>
      <c r="J1513">
        <f>(Cocina[[#This Row],[Precio Unitario]]-Cocina[[#This Row],[Costo Unitario]])*Cocina[[#This Row],[Cantidad Ordenada]]</f>
        <v>42</v>
      </c>
      <c r="K1513" s="4">
        <f>Cocina[[#This Row],[Ganancia neta]]/_xlfn.XLOOKUP(Cocina[[#This Row],[Número de Orden]],Sala[Número de Orden],Sala[Monto total],"fracaso",0,1)</f>
        <v>0.14736842105263157</v>
      </c>
      <c r="L1513" t="s">
        <v>608</v>
      </c>
    </row>
    <row r="1514" spans="1:12" x14ac:dyDescent="0.25">
      <c r="A1514">
        <v>614</v>
      </c>
      <c r="B1514">
        <v>19</v>
      </c>
      <c r="C1514" t="s">
        <v>158</v>
      </c>
      <c r="D1514" t="s">
        <v>617</v>
      </c>
      <c r="E1514">
        <v>14</v>
      </c>
      <c r="F1514">
        <v>24</v>
      </c>
      <c r="G1514">
        <v>3</v>
      </c>
      <c r="H1514">
        <v>50</v>
      </c>
      <c r="I1514">
        <f>Cocina[[#This Row],[Precio Unitario]]*Cocina[[#This Row],[Cantidad Ordenada]]</f>
        <v>72</v>
      </c>
      <c r="J1514">
        <f>(Cocina[[#This Row],[Precio Unitario]]-Cocina[[#This Row],[Costo Unitario]])*Cocina[[#This Row],[Cantidad Ordenada]]</f>
        <v>30</v>
      </c>
      <c r="K1514" s="4">
        <f>Cocina[[#This Row],[Ganancia neta]]/_xlfn.XLOOKUP(Cocina[[#This Row],[Número de Orden]],Sala[Número de Orden],Sala[Monto total],"fracaso",0,1)</f>
        <v>0.41666666666666669</v>
      </c>
      <c r="L1514" t="s">
        <v>607</v>
      </c>
    </row>
    <row r="1515" spans="1:12" x14ac:dyDescent="0.25">
      <c r="A1515">
        <v>615</v>
      </c>
      <c r="B1515">
        <v>7</v>
      </c>
      <c r="C1515" t="s">
        <v>116</v>
      </c>
      <c r="D1515" t="s">
        <v>620</v>
      </c>
      <c r="E1515">
        <v>19</v>
      </c>
      <c r="F1515">
        <v>31</v>
      </c>
      <c r="G1515">
        <v>3</v>
      </c>
      <c r="H1515">
        <v>50</v>
      </c>
      <c r="I1515">
        <f>Cocina[[#This Row],[Precio Unitario]]*Cocina[[#This Row],[Cantidad Ordenada]]</f>
        <v>93</v>
      </c>
      <c r="J1515">
        <f>(Cocina[[#This Row],[Precio Unitario]]-Cocina[[#This Row],[Costo Unitario]])*Cocina[[#This Row],[Cantidad Ordenada]]</f>
        <v>36</v>
      </c>
      <c r="K1515" s="4">
        <f>Cocina[[#This Row],[Ganancia neta]]/_xlfn.XLOOKUP(Cocina[[#This Row],[Número de Orden]],Sala[Número de Orden],Sala[Monto total],"fracaso",0,1)</f>
        <v>0.10810810810810811</v>
      </c>
      <c r="L1515" t="s">
        <v>607</v>
      </c>
    </row>
    <row r="1516" spans="1:12" x14ac:dyDescent="0.25">
      <c r="A1516">
        <v>615</v>
      </c>
      <c r="B1516">
        <v>7</v>
      </c>
      <c r="C1516" t="s">
        <v>200</v>
      </c>
      <c r="D1516" t="s">
        <v>633</v>
      </c>
      <c r="E1516">
        <v>14</v>
      </c>
      <c r="F1516">
        <v>23</v>
      </c>
      <c r="G1516">
        <v>3</v>
      </c>
      <c r="H1516">
        <v>43</v>
      </c>
      <c r="I1516">
        <f>Cocina[[#This Row],[Precio Unitario]]*Cocina[[#This Row],[Cantidad Ordenada]]</f>
        <v>69</v>
      </c>
      <c r="J1516">
        <f>(Cocina[[#This Row],[Precio Unitario]]-Cocina[[#This Row],[Costo Unitario]])*Cocina[[#This Row],[Cantidad Ordenada]]</f>
        <v>27</v>
      </c>
      <c r="K1516" s="4">
        <f>Cocina[[#This Row],[Ganancia neta]]/_xlfn.XLOOKUP(Cocina[[#This Row],[Número de Orden]],Sala[Número de Orden],Sala[Monto total],"fracaso",0,1)</f>
        <v>8.1081081081081086E-2</v>
      </c>
      <c r="L1516" t="s">
        <v>607</v>
      </c>
    </row>
    <row r="1517" spans="1:12" x14ac:dyDescent="0.25">
      <c r="A1517">
        <v>615</v>
      </c>
      <c r="B1517">
        <v>7</v>
      </c>
      <c r="C1517" t="s">
        <v>122</v>
      </c>
      <c r="D1517" t="s">
        <v>637</v>
      </c>
      <c r="E1517">
        <v>15</v>
      </c>
      <c r="F1517">
        <v>25</v>
      </c>
      <c r="G1517">
        <v>3</v>
      </c>
      <c r="H1517">
        <v>41</v>
      </c>
      <c r="I1517">
        <f>Cocina[[#This Row],[Precio Unitario]]*Cocina[[#This Row],[Cantidad Ordenada]]</f>
        <v>75</v>
      </c>
      <c r="J1517">
        <f>(Cocina[[#This Row],[Precio Unitario]]-Cocina[[#This Row],[Costo Unitario]])*Cocina[[#This Row],[Cantidad Ordenada]]</f>
        <v>30</v>
      </c>
      <c r="K1517" s="4">
        <f>Cocina[[#This Row],[Ganancia neta]]/_xlfn.XLOOKUP(Cocina[[#This Row],[Número de Orden]],Sala[Número de Orden],Sala[Monto total],"fracaso",0,1)</f>
        <v>9.0090090090090086E-2</v>
      </c>
      <c r="L1517" t="s">
        <v>607</v>
      </c>
    </row>
    <row r="1518" spans="1:12" x14ac:dyDescent="0.25">
      <c r="A1518">
        <v>615</v>
      </c>
      <c r="B1518">
        <v>7</v>
      </c>
      <c r="C1518" t="s">
        <v>247</v>
      </c>
      <c r="D1518" t="s">
        <v>629</v>
      </c>
      <c r="E1518">
        <v>19</v>
      </c>
      <c r="F1518">
        <v>32</v>
      </c>
      <c r="G1518">
        <v>3</v>
      </c>
      <c r="H1518">
        <v>22</v>
      </c>
      <c r="I1518">
        <f>Cocina[[#This Row],[Precio Unitario]]*Cocina[[#This Row],[Cantidad Ordenada]]</f>
        <v>96</v>
      </c>
      <c r="J1518">
        <f>(Cocina[[#This Row],[Precio Unitario]]-Cocina[[#This Row],[Costo Unitario]])*Cocina[[#This Row],[Cantidad Ordenada]]</f>
        <v>39</v>
      </c>
      <c r="K1518" s="4">
        <f>Cocina[[#This Row],[Ganancia neta]]/_xlfn.XLOOKUP(Cocina[[#This Row],[Número de Orden]],Sala[Número de Orden],Sala[Monto total],"fracaso",0,1)</f>
        <v>0.11711711711711711</v>
      </c>
      <c r="L1518" t="s">
        <v>608</v>
      </c>
    </row>
    <row r="1519" spans="1:12" x14ac:dyDescent="0.25">
      <c r="A1519">
        <v>616</v>
      </c>
      <c r="B1519">
        <v>4</v>
      </c>
      <c r="C1519" t="s">
        <v>158</v>
      </c>
      <c r="D1519" t="s">
        <v>617</v>
      </c>
      <c r="E1519">
        <v>14</v>
      </c>
      <c r="F1519">
        <v>24</v>
      </c>
      <c r="G1519">
        <v>3</v>
      </c>
      <c r="H1519">
        <v>33</v>
      </c>
      <c r="I1519">
        <f>Cocina[[#This Row],[Precio Unitario]]*Cocina[[#This Row],[Cantidad Ordenada]]</f>
        <v>72</v>
      </c>
      <c r="J1519">
        <f>(Cocina[[#This Row],[Precio Unitario]]-Cocina[[#This Row],[Costo Unitario]])*Cocina[[#This Row],[Cantidad Ordenada]]</f>
        <v>30</v>
      </c>
      <c r="K1519" s="4">
        <f>Cocina[[#This Row],[Ganancia neta]]/_xlfn.XLOOKUP(Cocina[[#This Row],[Número de Orden]],Sala[Número de Orden],Sala[Monto total],"fracaso",0,1)</f>
        <v>0.22727272727272727</v>
      </c>
      <c r="L1519" t="s">
        <v>607</v>
      </c>
    </row>
    <row r="1520" spans="1:12" x14ac:dyDescent="0.25">
      <c r="A1520">
        <v>616</v>
      </c>
      <c r="B1520">
        <v>4</v>
      </c>
      <c r="C1520" t="s">
        <v>68</v>
      </c>
      <c r="D1520" t="s">
        <v>619</v>
      </c>
      <c r="E1520">
        <v>18</v>
      </c>
      <c r="F1520">
        <v>30</v>
      </c>
      <c r="G1520">
        <v>2</v>
      </c>
      <c r="H1520">
        <v>14</v>
      </c>
      <c r="I1520">
        <f>Cocina[[#This Row],[Precio Unitario]]*Cocina[[#This Row],[Cantidad Ordenada]]</f>
        <v>60</v>
      </c>
      <c r="J1520">
        <f>(Cocina[[#This Row],[Precio Unitario]]-Cocina[[#This Row],[Costo Unitario]])*Cocina[[#This Row],[Cantidad Ordenada]]</f>
        <v>24</v>
      </c>
      <c r="K1520" s="4">
        <f>Cocina[[#This Row],[Ganancia neta]]/_xlfn.XLOOKUP(Cocina[[#This Row],[Número de Orden]],Sala[Número de Orden],Sala[Monto total],"fracaso",0,1)</f>
        <v>0.18181818181818182</v>
      </c>
      <c r="L1520" t="s">
        <v>608</v>
      </c>
    </row>
    <row r="1521" spans="1:12" x14ac:dyDescent="0.25">
      <c r="A1521">
        <v>617</v>
      </c>
      <c r="B1521">
        <v>13</v>
      </c>
      <c r="C1521" t="s">
        <v>155</v>
      </c>
      <c r="D1521" t="s">
        <v>636</v>
      </c>
      <c r="E1521">
        <v>15</v>
      </c>
      <c r="F1521">
        <v>26</v>
      </c>
      <c r="G1521">
        <v>2</v>
      </c>
      <c r="H1521">
        <v>18</v>
      </c>
      <c r="I1521">
        <f>Cocina[[#This Row],[Precio Unitario]]*Cocina[[#This Row],[Cantidad Ordenada]]</f>
        <v>52</v>
      </c>
      <c r="J1521">
        <f>(Cocina[[#This Row],[Precio Unitario]]-Cocina[[#This Row],[Costo Unitario]])*Cocina[[#This Row],[Cantidad Ordenada]]</f>
        <v>22</v>
      </c>
      <c r="K1521" s="4">
        <f>Cocina[[#This Row],[Ganancia neta]]/_xlfn.XLOOKUP(Cocina[[#This Row],[Número de Orden]],Sala[Número de Orden],Sala[Monto total],"fracaso",0,1)</f>
        <v>0.15492957746478872</v>
      </c>
      <c r="L1521" t="s">
        <v>608</v>
      </c>
    </row>
    <row r="1522" spans="1:12" x14ac:dyDescent="0.25">
      <c r="A1522">
        <v>617</v>
      </c>
      <c r="B1522">
        <v>13</v>
      </c>
      <c r="C1522" t="s">
        <v>68</v>
      </c>
      <c r="D1522" t="s">
        <v>619</v>
      </c>
      <c r="E1522">
        <v>18</v>
      </c>
      <c r="F1522">
        <v>30</v>
      </c>
      <c r="G1522">
        <v>3</v>
      </c>
      <c r="H1522">
        <v>33</v>
      </c>
      <c r="I1522">
        <f>Cocina[[#This Row],[Precio Unitario]]*Cocina[[#This Row],[Cantidad Ordenada]]</f>
        <v>90</v>
      </c>
      <c r="J1522">
        <f>(Cocina[[#This Row],[Precio Unitario]]-Cocina[[#This Row],[Costo Unitario]])*Cocina[[#This Row],[Cantidad Ordenada]]</f>
        <v>36</v>
      </c>
      <c r="K1522" s="4">
        <f>Cocina[[#This Row],[Ganancia neta]]/_xlfn.XLOOKUP(Cocina[[#This Row],[Número de Orden]],Sala[Número de Orden],Sala[Monto total],"fracaso",0,1)</f>
        <v>0.25352112676056338</v>
      </c>
      <c r="L1522" t="s">
        <v>608</v>
      </c>
    </row>
    <row r="1523" spans="1:12" x14ac:dyDescent="0.25">
      <c r="A1523">
        <v>618</v>
      </c>
      <c r="B1523">
        <v>3</v>
      </c>
      <c r="C1523" t="s">
        <v>247</v>
      </c>
      <c r="D1523" t="s">
        <v>629</v>
      </c>
      <c r="E1523">
        <v>19</v>
      </c>
      <c r="F1523">
        <v>32</v>
      </c>
      <c r="G1523">
        <v>2</v>
      </c>
      <c r="H1523">
        <v>6</v>
      </c>
      <c r="I1523">
        <f>Cocina[[#This Row],[Precio Unitario]]*Cocina[[#This Row],[Cantidad Ordenada]]</f>
        <v>64</v>
      </c>
      <c r="J1523">
        <f>(Cocina[[#This Row],[Precio Unitario]]-Cocina[[#This Row],[Costo Unitario]])*Cocina[[#This Row],[Cantidad Ordenada]]</f>
        <v>26</v>
      </c>
      <c r="K1523" s="4">
        <f>Cocina[[#This Row],[Ganancia neta]]/_xlfn.XLOOKUP(Cocina[[#This Row],[Número de Orden]],Sala[Número de Orden],Sala[Monto total],"fracaso",0,1)</f>
        <v>8.1504702194357362E-2</v>
      </c>
      <c r="L1523" t="s">
        <v>608</v>
      </c>
    </row>
    <row r="1524" spans="1:12" x14ac:dyDescent="0.25">
      <c r="A1524">
        <v>618</v>
      </c>
      <c r="B1524">
        <v>3</v>
      </c>
      <c r="C1524" t="s">
        <v>116</v>
      </c>
      <c r="D1524" t="s">
        <v>620</v>
      </c>
      <c r="E1524">
        <v>19</v>
      </c>
      <c r="F1524">
        <v>31</v>
      </c>
      <c r="G1524">
        <v>3</v>
      </c>
      <c r="H1524">
        <v>35</v>
      </c>
      <c r="I1524">
        <f>Cocina[[#This Row],[Precio Unitario]]*Cocina[[#This Row],[Cantidad Ordenada]]</f>
        <v>93</v>
      </c>
      <c r="J1524">
        <f>(Cocina[[#This Row],[Precio Unitario]]-Cocina[[#This Row],[Costo Unitario]])*Cocina[[#This Row],[Cantidad Ordenada]]</f>
        <v>36</v>
      </c>
      <c r="K1524" s="4">
        <f>Cocina[[#This Row],[Ganancia neta]]/_xlfn.XLOOKUP(Cocina[[#This Row],[Número de Orden]],Sala[Número de Orden],Sala[Monto total],"fracaso",0,1)</f>
        <v>0.11285266457680251</v>
      </c>
      <c r="L1524" t="s">
        <v>607</v>
      </c>
    </row>
    <row r="1525" spans="1:12" x14ac:dyDescent="0.25">
      <c r="A1525">
        <v>618</v>
      </c>
      <c r="B1525">
        <v>3</v>
      </c>
      <c r="C1525" t="s">
        <v>79</v>
      </c>
      <c r="D1525" t="s">
        <v>635</v>
      </c>
      <c r="E1525">
        <v>10</v>
      </c>
      <c r="F1525">
        <v>18</v>
      </c>
      <c r="G1525">
        <v>3</v>
      </c>
      <c r="H1525">
        <v>24</v>
      </c>
      <c r="I1525">
        <f>Cocina[[#This Row],[Precio Unitario]]*Cocina[[#This Row],[Cantidad Ordenada]]</f>
        <v>54</v>
      </c>
      <c r="J1525">
        <f>(Cocina[[#This Row],[Precio Unitario]]-Cocina[[#This Row],[Costo Unitario]])*Cocina[[#This Row],[Cantidad Ordenada]]</f>
        <v>24</v>
      </c>
      <c r="K1525" s="4">
        <f>Cocina[[#This Row],[Ganancia neta]]/_xlfn.XLOOKUP(Cocina[[#This Row],[Número de Orden]],Sala[Número de Orden],Sala[Monto total],"fracaso",0,1)</f>
        <v>7.5235109717868343E-2</v>
      </c>
      <c r="L1525" t="s">
        <v>607</v>
      </c>
    </row>
    <row r="1526" spans="1:12" x14ac:dyDescent="0.25">
      <c r="A1526">
        <v>618</v>
      </c>
      <c r="B1526">
        <v>3</v>
      </c>
      <c r="C1526" t="s">
        <v>73</v>
      </c>
      <c r="D1526" t="s">
        <v>623</v>
      </c>
      <c r="E1526">
        <v>22</v>
      </c>
      <c r="F1526">
        <v>36</v>
      </c>
      <c r="G1526">
        <v>3</v>
      </c>
      <c r="H1526">
        <v>53</v>
      </c>
      <c r="I1526">
        <f>Cocina[[#This Row],[Precio Unitario]]*Cocina[[#This Row],[Cantidad Ordenada]]</f>
        <v>108</v>
      </c>
      <c r="J1526">
        <f>(Cocina[[#This Row],[Precio Unitario]]-Cocina[[#This Row],[Costo Unitario]])*Cocina[[#This Row],[Cantidad Ordenada]]</f>
        <v>42</v>
      </c>
      <c r="K1526" s="4">
        <f>Cocina[[#This Row],[Ganancia neta]]/_xlfn.XLOOKUP(Cocina[[#This Row],[Número de Orden]],Sala[Número de Orden],Sala[Monto total],"fracaso",0,1)</f>
        <v>0.13166144200626959</v>
      </c>
      <c r="L1526" t="s">
        <v>607</v>
      </c>
    </row>
    <row r="1527" spans="1:12" x14ac:dyDescent="0.25">
      <c r="A1527">
        <v>619</v>
      </c>
      <c r="B1527">
        <v>6</v>
      </c>
      <c r="C1527" t="s">
        <v>106</v>
      </c>
      <c r="D1527" t="s">
        <v>621</v>
      </c>
      <c r="E1527">
        <v>16</v>
      </c>
      <c r="F1527">
        <v>27</v>
      </c>
      <c r="G1527">
        <v>2</v>
      </c>
      <c r="H1527">
        <v>40</v>
      </c>
      <c r="I1527">
        <f>Cocina[[#This Row],[Precio Unitario]]*Cocina[[#This Row],[Cantidad Ordenada]]</f>
        <v>54</v>
      </c>
      <c r="J1527">
        <f>(Cocina[[#This Row],[Precio Unitario]]-Cocina[[#This Row],[Costo Unitario]])*Cocina[[#This Row],[Cantidad Ordenada]]</f>
        <v>22</v>
      </c>
      <c r="K1527" s="4">
        <f>Cocina[[#This Row],[Ganancia neta]]/_xlfn.XLOOKUP(Cocina[[#This Row],[Número de Orden]],Sala[Número de Orden],Sala[Monto total],"fracaso",0,1)</f>
        <v>0.16666666666666666</v>
      </c>
      <c r="L1527" t="s">
        <v>607</v>
      </c>
    </row>
    <row r="1528" spans="1:12" x14ac:dyDescent="0.25">
      <c r="A1528">
        <v>619</v>
      </c>
      <c r="B1528">
        <v>6</v>
      </c>
      <c r="C1528" t="s">
        <v>155</v>
      </c>
      <c r="D1528" t="s">
        <v>636</v>
      </c>
      <c r="E1528">
        <v>15</v>
      </c>
      <c r="F1528">
        <v>26</v>
      </c>
      <c r="G1528">
        <v>3</v>
      </c>
      <c r="H1528">
        <v>56</v>
      </c>
      <c r="I1528">
        <f>Cocina[[#This Row],[Precio Unitario]]*Cocina[[#This Row],[Cantidad Ordenada]]</f>
        <v>78</v>
      </c>
      <c r="J1528">
        <f>(Cocina[[#This Row],[Precio Unitario]]-Cocina[[#This Row],[Costo Unitario]])*Cocina[[#This Row],[Cantidad Ordenada]]</f>
        <v>33</v>
      </c>
      <c r="K1528" s="4">
        <f>Cocina[[#This Row],[Ganancia neta]]/_xlfn.XLOOKUP(Cocina[[#This Row],[Número de Orden]],Sala[Número de Orden],Sala[Monto total],"fracaso",0,1)</f>
        <v>0.25</v>
      </c>
      <c r="L1528" t="s">
        <v>608</v>
      </c>
    </row>
    <row r="1529" spans="1:12" x14ac:dyDescent="0.25">
      <c r="A1529">
        <v>620</v>
      </c>
      <c r="B1529">
        <v>16</v>
      </c>
      <c r="C1529" t="s">
        <v>112</v>
      </c>
      <c r="D1529" t="s">
        <v>627</v>
      </c>
      <c r="E1529">
        <v>11</v>
      </c>
      <c r="F1529">
        <v>19</v>
      </c>
      <c r="G1529">
        <v>3</v>
      </c>
      <c r="H1529">
        <v>40</v>
      </c>
      <c r="I1529">
        <f>Cocina[[#This Row],[Precio Unitario]]*Cocina[[#This Row],[Cantidad Ordenada]]</f>
        <v>57</v>
      </c>
      <c r="J1529">
        <f>(Cocina[[#This Row],[Precio Unitario]]-Cocina[[#This Row],[Costo Unitario]])*Cocina[[#This Row],[Cantidad Ordenada]]</f>
        <v>24</v>
      </c>
      <c r="K1529" s="4">
        <f>Cocina[[#This Row],[Ganancia neta]]/_xlfn.XLOOKUP(Cocina[[#This Row],[Número de Orden]],Sala[Número de Orden],Sala[Monto total],"fracaso",0,1)</f>
        <v>0.42105263157894735</v>
      </c>
      <c r="L1529" t="s">
        <v>608</v>
      </c>
    </row>
    <row r="1530" spans="1:12" x14ac:dyDescent="0.25">
      <c r="A1530">
        <v>621</v>
      </c>
      <c r="B1530">
        <v>5</v>
      </c>
      <c r="C1530" t="s">
        <v>26</v>
      </c>
      <c r="D1530" t="s">
        <v>628</v>
      </c>
      <c r="E1530">
        <v>21</v>
      </c>
      <c r="F1530">
        <v>35</v>
      </c>
      <c r="G1530">
        <v>3</v>
      </c>
      <c r="H1530">
        <v>8</v>
      </c>
      <c r="I1530">
        <f>Cocina[[#This Row],[Precio Unitario]]*Cocina[[#This Row],[Cantidad Ordenada]]</f>
        <v>105</v>
      </c>
      <c r="J1530">
        <f>(Cocina[[#This Row],[Precio Unitario]]-Cocina[[#This Row],[Costo Unitario]])*Cocina[[#This Row],[Cantidad Ordenada]]</f>
        <v>42</v>
      </c>
      <c r="K1530" s="4">
        <f>Cocina[[#This Row],[Ganancia neta]]/_xlfn.XLOOKUP(Cocina[[#This Row],[Número de Orden]],Sala[Número de Orden],Sala[Monto total],"fracaso",0,1)</f>
        <v>0.4</v>
      </c>
      <c r="L1530" t="s">
        <v>608</v>
      </c>
    </row>
    <row r="1531" spans="1:12" x14ac:dyDescent="0.25">
      <c r="A1531">
        <v>622</v>
      </c>
      <c r="B1531">
        <v>7</v>
      </c>
      <c r="C1531" t="s">
        <v>116</v>
      </c>
      <c r="D1531" t="s">
        <v>620</v>
      </c>
      <c r="E1531">
        <v>19</v>
      </c>
      <c r="F1531">
        <v>31</v>
      </c>
      <c r="G1531">
        <v>3</v>
      </c>
      <c r="H1531">
        <v>53</v>
      </c>
      <c r="I1531">
        <f>Cocina[[#This Row],[Precio Unitario]]*Cocina[[#This Row],[Cantidad Ordenada]]</f>
        <v>93</v>
      </c>
      <c r="J1531">
        <f>(Cocina[[#This Row],[Precio Unitario]]-Cocina[[#This Row],[Costo Unitario]])*Cocina[[#This Row],[Cantidad Ordenada]]</f>
        <v>36</v>
      </c>
      <c r="K1531" s="4">
        <f>Cocina[[#This Row],[Ganancia neta]]/_xlfn.XLOOKUP(Cocina[[#This Row],[Número de Orden]],Sala[Número de Orden],Sala[Monto total],"fracaso",0,1)</f>
        <v>0.2975206611570248</v>
      </c>
      <c r="L1531" t="s">
        <v>607</v>
      </c>
    </row>
    <row r="1532" spans="1:12" x14ac:dyDescent="0.25">
      <c r="A1532">
        <v>622</v>
      </c>
      <c r="B1532">
        <v>7</v>
      </c>
      <c r="C1532" t="s">
        <v>42</v>
      </c>
      <c r="D1532" t="s">
        <v>626</v>
      </c>
      <c r="E1532">
        <v>16</v>
      </c>
      <c r="F1532">
        <v>28</v>
      </c>
      <c r="G1532">
        <v>1</v>
      </c>
      <c r="H1532">
        <v>25</v>
      </c>
      <c r="I1532">
        <f>Cocina[[#This Row],[Precio Unitario]]*Cocina[[#This Row],[Cantidad Ordenada]]</f>
        <v>28</v>
      </c>
      <c r="J1532">
        <f>(Cocina[[#This Row],[Precio Unitario]]-Cocina[[#This Row],[Costo Unitario]])*Cocina[[#This Row],[Cantidad Ordenada]]</f>
        <v>12</v>
      </c>
      <c r="K1532" s="4">
        <f>Cocina[[#This Row],[Ganancia neta]]/_xlfn.XLOOKUP(Cocina[[#This Row],[Número de Orden]],Sala[Número de Orden],Sala[Monto total],"fracaso",0,1)</f>
        <v>9.9173553719008267E-2</v>
      </c>
      <c r="L1532" t="s">
        <v>607</v>
      </c>
    </row>
    <row r="1533" spans="1:12" x14ac:dyDescent="0.25">
      <c r="A1533">
        <v>623</v>
      </c>
      <c r="B1533">
        <v>13</v>
      </c>
      <c r="C1533" t="s">
        <v>203</v>
      </c>
      <c r="D1533" t="s">
        <v>630</v>
      </c>
      <c r="E1533">
        <v>13</v>
      </c>
      <c r="F1533">
        <v>22</v>
      </c>
      <c r="G1533">
        <v>2</v>
      </c>
      <c r="H1533">
        <v>23</v>
      </c>
      <c r="I1533">
        <f>Cocina[[#This Row],[Precio Unitario]]*Cocina[[#This Row],[Cantidad Ordenada]]</f>
        <v>44</v>
      </c>
      <c r="J1533">
        <f>(Cocina[[#This Row],[Precio Unitario]]-Cocina[[#This Row],[Costo Unitario]])*Cocina[[#This Row],[Cantidad Ordenada]]</f>
        <v>18</v>
      </c>
      <c r="K1533" s="4">
        <f>Cocina[[#This Row],[Ganancia neta]]/_xlfn.XLOOKUP(Cocina[[#This Row],[Número de Orden]],Sala[Número de Orden],Sala[Monto total],"fracaso",0,1)</f>
        <v>7.6595744680851063E-2</v>
      </c>
      <c r="L1533" t="s">
        <v>607</v>
      </c>
    </row>
    <row r="1534" spans="1:12" x14ac:dyDescent="0.25">
      <c r="A1534">
        <v>623</v>
      </c>
      <c r="B1534">
        <v>13</v>
      </c>
      <c r="C1534" t="s">
        <v>26</v>
      </c>
      <c r="D1534" t="s">
        <v>628</v>
      </c>
      <c r="E1534">
        <v>21</v>
      </c>
      <c r="F1534">
        <v>35</v>
      </c>
      <c r="G1534">
        <v>2</v>
      </c>
      <c r="H1534">
        <v>59</v>
      </c>
      <c r="I1534">
        <f>Cocina[[#This Row],[Precio Unitario]]*Cocina[[#This Row],[Cantidad Ordenada]]</f>
        <v>70</v>
      </c>
      <c r="J1534">
        <f>(Cocina[[#This Row],[Precio Unitario]]-Cocina[[#This Row],[Costo Unitario]])*Cocina[[#This Row],[Cantidad Ordenada]]</f>
        <v>28</v>
      </c>
      <c r="K1534" s="4">
        <f>Cocina[[#This Row],[Ganancia neta]]/_xlfn.XLOOKUP(Cocina[[#This Row],[Número de Orden]],Sala[Número de Orden],Sala[Monto total],"fracaso",0,1)</f>
        <v>0.11914893617021277</v>
      </c>
      <c r="L1534" t="s">
        <v>607</v>
      </c>
    </row>
    <row r="1535" spans="1:12" x14ac:dyDescent="0.25">
      <c r="A1535">
        <v>623</v>
      </c>
      <c r="B1535">
        <v>13</v>
      </c>
      <c r="C1535" t="s">
        <v>122</v>
      </c>
      <c r="D1535" t="s">
        <v>637</v>
      </c>
      <c r="E1535">
        <v>15</v>
      </c>
      <c r="F1535">
        <v>25</v>
      </c>
      <c r="G1535">
        <v>1</v>
      </c>
      <c r="H1535">
        <v>20</v>
      </c>
      <c r="I1535">
        <f>Cocina[[#This Row],[Precio Unitario]]*Cocina[[#This Row],[Cantidad Ordenada]]</f>
        <v>25</v>
      </c>
      <c r="J1535">
        <f>(Cocina[[#This Row],[Precio Unitario]]-Cocina[[#This Row],[Costo Unitario]])*Cocina[[#This Row],[Cantidad Ordenada]]</f>
        <v>10</v>
      </c>
      <c r="K1535" s="4">
        <f>Cocina[[#This Row],[Ganancia neta]]/_xlfn.XLOOKUP(Cocina[[#This Row],[Número de Orden]],Sala[Número de Orden],Sala[Monto total],"fracaso",0,1)</f>
        <v>4.2553191489361701E-2</v>
      </c>
      <c r="L1535" t="s">
        <v>607</v>
      </c>
    </row>
    <row r="1536" spans="1:12" x14ac:dyDescent="0.25">
      <c r="A1536">
        <v>623</v>
      </c>
      <c r="B1536">
        <v>13</v>
      </c>
      <c r="C1536" t="s">
        <v>247</v>
      </c>
      <c r="D1536" t="s">
        <v>629</v>
      </c>
      <c r="E1536">
        <v>19</v>
      </c>
      <c r="F1536">
        <v>32</v>
      </c>
      <c r="G1536">
        <v>3</v>
      </c>
      <c r="H1536">
        <v>43</v>
      </c>
      <c r="I1536">
        <f>Cocina[[#This Row],[Precio Unitario]]*Cocina[[#This Row],[Cantidad Ordenada]]</f>
        <v>96</v>
      </c>
      <c r="J1536">
        <f>(Cocina[[#This Row],[Precio Unitario]]-Cocina[[#This Row],[Costo Unitario]])*Cocina[[#This Row],[Cantidad Ordenada]]</f>
        <v>39</v>
      </c>
      <c r="K1536" s="4">
        <f>Cocina[[#This Row],[Ganancia neta]]/_xlfn.XLOOKUP(Cocina[[#This Row],[Número de Orden]],Sala[Número de Orden],Sala[Monto total],"fracaso",0,1)</f>
        <v>0.16595744680851063</v>
      </c>
      <c r="L1536" t="s">
        <v>608</v>
      </c>
    </row>
    <row r="1537" spans="1:12" x14ac:dyDescent="0.25">
      <c r="A1537">
        <v>624</v>
      </c>
      <c r="B1537">
        <v>1</v>
      </c>
      <c r="C1537" t="s">
        <v>73</v>
      </c>
      <c r="D1537" t="s">
        <v>623</v>
      </c>
      <c r="E1537">
        <v>22</v>
      </c>
      <c r="F1537">
        <v>36</v>
      </c>
      <c r="G1537">
        <v>1</v>
      </c>
      <c r="H1537">
        <v>19</v>
      </c>
      <c r="I1537">
        <f>Cocina[[#This Row],[Precio Unitario]]*Cocina[[#This Row],[Cantidad Ordenada]]</f>
        <v>36</v>
      </c>
      <c r="J1537">
        <f>(Cocina[[#This Row],[Precio Unitario]]-Cocina[[#This Row],[Costo Unitario]])*Cocina[[#This Row],[Cantidad Ordenada]]</f>
        <v>14</v>
      </c>
      <c r="K1537" s="4">
        <f>Cocina[[#This Row],[Ganancia neta]]/_xlfn.XLOOKUP(Cocina[[#This Row],[Número de Orden]],Sala[Número de Orden],Sala[Monto total],"fracaso",0,1)</f>
        <v>0.13725490196078433</v>
      </c>
      <c r="L1537" t="s">
        <v>608</v>
      </c>
    </row>
    <row r="1538" spans="1:12" x14ac:dyDescent="0.25">
      <c r="A1538">
        <v>624</v>
      </c>
      <c r="B1538">
        <v>1</v>
      </c>
      <c r="C1538" t="s">
        <v>158</v>
      </c>
      <c r="D1538" t="s">
        <v>617</v>
      </c>
      <c r="E1538">
        <v>14</v>
      </c>
      <c r="F1538">
        <v>24</v>
      </c>
      <c r="G1538">
        <v>1</v>
      </c>
      <c r="H1538">
        <v>45</v>
      </c>
      <c r="I1538">
        <f>Cocina[[#This Row],[Precio Unitario]]*Cocina[[#This Row],[Cantidad Ordenada]]</f>
        <v>24</v>
      </c>
      <c r="J1538">
        <f>(Cocina[[#This Row],[Precio Unitario]]-Cocina[[#This Row],[Costo Unitario]])*Cocina[[#This Row],[Cantidad Ordenada]]</f>
        <v>10</v>
      </c>
      <c r="K1538" s="4">
        <f>Cocina[[#This Row],[Ganancia neta]]/_xlfn.XLOOKUP(Cocina[[#This Row],[Número de Orden]],Sala[Número de Orden],Sala[Monto total],"fracaso",0,1)</f>
        <v>9.8039215686274508E-2</v>
      </c>
      <c r="L1538" t="s">
        <v>607</v>
      </c>
    </row>
    <row r="1539" spans="1:12" x14ac:dyDescent="0.25">
      <c r="A1539">
        <v>624</v>
      </c>
      <c r="B1539">
        <v>1</v>
      </c>
      <c r="C1539" t="s">
        <v>70</v>
      </c>
      <c r="D1539" t="s">
        <v>634</v>
      </c>
      <c r="E1539">
        <v>13</v>
      </c>
      <c r="F1539">
        <v>21</v>
      </c>
      <c r="G1539">
        <v>2</v>
      </c>
      <c r="H1539">
        <v>15</v>
      </c>
      <c r="I1539">
        <f>Cocina[[#This Row],[Precio Unitario]]*Cocina[[#This Row],[Cantidad Ordenada]]</f>
        <v>42</v>
      </c>
      <c r="J1539">
        <f>(Cocina[[#This Row],[Precio Unitario]]-Cocina[[#This Row],[Costo Unitario]])*Cocina[[#This Row],[Cantidad Ordenada]]</f>
        <v>16</v>
      </c>
      <c r="K1539" s="4">
        <f>Cocina[[#This Row],[Ganancia neta]]/_xlfn.XLOOKUP(Cocina[[#This Row],[Número de Orden]],Sala[Número de Orden],Sala[Monto total],"fracaso",0,1)</f>
        <v>0.15686274509803921</v>
      </c>
      <c r="L1539" t="s">
        <v>608</v>
      </c>
    </row>
    <row r="1540" spans="1:12" x14ac:dyDescent="0.25">
      <c r="A1540">
        <v>625</v>
      </c>
      <c r="B1540">
        <v>5</v>
      </c>
      <c r="C1540" t="s">
        <v>79</v>
      </c>
      <c r="D1540" t="s">
        <v>635</v>
      </c>
      <c r="E1540">
        <v>10</v>
      </c>
      <c r="F1540">
        <v>18</v>
      </c>
      <c r="G1540">
        <v>2</v>
      </c>
      <c r="H1540">
        <v>12</v>
      </c>
      <c r="I1540">
        <f>Cocina[[#This Row],[Precio Unitario]]*Cocina[[#This Row],[Cantidad Ordenada]]</f>
        <v>36</v>
      </c>
      <c r="J1540">
        <f>(Cocina[[#This Row],[Precio Unitario]]-Cocina[[#This Row],[Costo Unitario]])*Cocina[[#This Row],[Cantidad Ordenada]]</f>
        <v>16</v>
      </c>
      <c r="K1540" s="4">
        <f>Cocina[[#This Row],[Ganancia neta]]/_xlfn.XLOOKUP(Cocina[[#This Row],[Número de Orden]],Sala[Número de Orden],Sala[Monto total],"fracaso",0,1)</f>
        <v>0.11510791366906475</v>
      </c>
      <c r="L1540" t="s">
        <v>607</v>
      </c>
    </row>
    <row r="1541" spans="1:12" x14ac:dyDescent="0.25">
      <c r="A1541">
        <v>625</v>
      </c>
      <c r="B1541">
        <v>5</v>
      </c>
      <c r="C1541" t="s">
        <v>48</v>
      </c>
      <c r="D1541" t="s">
        <v>622</v>
      </c>
      <c r="E1541">
        <v>25</v>
      </c>
      <c r="F1541">
        <v>40</v>
      </c>
      <c r="G1541">
        <v>1</v>
      </c>
      <c r="H1541">
        <v>46</v>
      </c>
      <c r="I1541">
        <f>Cocina[[#This Row],[Precio Unitario]]*Cocina[[#This Row],[Cantidad Ordenada]]</f>
        <v>40</v>
      </c>
      <c r="J1541">
        <f>(Cocina[[#This Row],[Precio Unitario]]-Cocina[[#This Row],[Costo Unitario]])*Cocina[[#This Row],[Cantidad Ordenada]]</f>
        <v>15</v>
      </c>
      <c r="K1541" s="4">
        <f>Cocina[[#This Row],[Ganancia neta]]/_xlfn.XLOOKUP(Cocina[[#This Row],[Número de Orden]],Sala[Número de Orden],Sala[Monto total],"fracaso",0,1)</f>
        <v>0.1079136690647482</v>
      </c>
      <c r="L1541" t="s">
        <v>608</v>
      </c>
    </row>
    <row r="1542" spans="1:12" x14ac:dyDescent="0.25">
      <c r="A1542">
        <v>625</v>
      </c>
      <c r="B1542">
        <v>5</v>
      </c>
      <c r="C1542" t="s">
        <v>70</v>
      </c>
      <c r="D1542" t="s">
        <v>634</v>
      </c>
      <c r="E1542">
        <v>13</v>
      </c>
      <c r="F1542">
        <v>21</v>
      </c>
      <c r="G1542">
        <v>3</v>
      </c>
      <c r="H1542">
        <v>39</v>
      </c>
      <c r="I1542">
        <f>Cocina[[#This Row],[Precio Unitario]]*Cocina[[#This Row],[Cantidad Ordenada]]</f>
        <v>63</v>
      </c>
      <c r="J1542">
        <f>(Cocina[[#This Row],[Precio Unitario]]-Cocina[[#This Row],[Costo Unitario]])*Cocina[[#This Row],[Cantidad Ordenada]]</f>
        <v>24</v>
      </c>
      <c r="K1542" s="4">
        <f>Cocina[[#This Row],[Ganancia neta]]/_xlfn.XLOOKUP(Cocina[[#This Row],[Número de Orden]],Sala[Número de Orden],Sala[Monto total],"fracaso",0,1)</f>
        <v>0.17266187050359713</v>
      </c>
      <c r="L1542" t="s">
        <v>607</v>
      </c>
    </row>
    <row r="1543" spans="1:12" x14ac:dyDescent="0.25">
      <c r="A1543">
        <v>626</v>
      </c>
      <c r="B1543">
        <v>14</v>
      </c>
      <c r="C1543" t="s">
        <v>68</v>
      </c>
      <c r="D1543" t="s">
        <v>619</v>
      </c>
      <c r="E1543">
        <v>18</v>
      </c>
      <c r="F1543">
        <v>30</v>
      </c>
      <c r="G1543">
        <v>2</v>
      </c>
      <c r="H1543">
        <v>11</v>
      </c>
      <c r="I1543">
        <f>Cocina[[#This Row],[Precio Unitario]]*Cocina[[#This Row],[Cantidad Ordenada]]</f>
        <v>60</v>
      </c>
      <c r="J1543">
        <f>(Cocina[[#This Row],[Precio Unitario]]-Cocina[[#This Row],[Costo Unitario]])*Cocina[[#This Row],[Cantidad Ordenada]]</f>
        <v>24</v>
      </c>
      <c r="K1543" s="4">
        <f>Cocina[[#This Row],[Ganancia neta]]/_xlfn.XLOOKUP(Cocina[[#This Row],[Número de Orden]],Sala[Número de Orden],Sala[Monto total],"fracaso",0,1)</f>
        <v>0.17518248175182483</v>
      </c>
      <c r="L1543" t="s">
        <v>607</v>
      </c>
    </row>
    <row r="1544" spans="1:12" x14ac:dyDescent="0.25">
      <c r="A1544">
        <v>626</v>
      </c>
      <c r="B1544">
        <v>14</v>
      </c>
      <c r="C1544" t="s">
        <v>158</v>
      </c>
      <c r="D1544" t="s">
        <v>617</v>
      </c>
      <c r="E1544">
        <v>14</v>
      </c>
      <c r="F1544">
        <v>24</v>
      </c>
      <c r="G1544">
        <v>2</v>
      </c>
      <c r="H1544">
        <v>36</v>
      </c>
      <c r="I1544">
        <f>Cocina[[#This Row],[Precio Unitario]]*Cocina[[#This Row],[Cantidad Ordenada]]</f>
        <v>48</v>
      </c>
      <c r="J1544">
        <f>(Cocina[[#This Row],[Precio Unitario]]-Cocina[[#This Row],[Costo Unitario]])*Cocina[[#This Row],[Cantidad Ordenada]]</f>
        <v>20</v>
      </c>
      <c r="K1544" s="4">
        <f>Cocina[[#This Row],[Ganancia neta]]/_xlfn.XLOOKUP(Cocina[[#This Row],[Número de Orden]],Sala[Número de Orden],Sala[Monto total],"fracaso",0,1)</f>
        <v>0.145985401459854</v>
      </c>
      <c r="L1544" t="s">
        <v>608</v>
      </c>
    </row>
    <row r="1545" spans="1:12" x14ac:dyDescent="0.25">
      <c r="A1545">
        <v>626</v>
      </c>
      <c r="B1545">
        <v>14</v>
      </c>
      <c r="C1545" t="s">
        <v>38</v>
      </c>
      <c r="D1545" t="s">
        <v>624</v>
      </c>
      <c r="E1545">
        <v>17</v>
      </c>
      <c r="F1545">
        <v>29</v>
      </c>
      <c r="G1545">
        <v>1</v>
      </c>
      <c r="H1545">
        <v>11</v>
      </c>
      <c r="I1545">
        <f>Cocina[[#This Row],[Precio Unitario]]*Cocina[[#This Row],[Cantidad Ordenada]]</f>
        <v>29</v>
      </c>
      <c r="J1545">
        <f>(Cocina[[#This Row],[Precio Unitario]]-Cocina[[#This Row],[Costo Unitario]])*Cocina[[#This Row],[Cantidad Ordenada]]</f>
        <v>12</v>
      </c>
      <c r="K1545" s="4">
        <f>Cocina[[#This Row],[Ganancia neta]]/_xlfn.XLOOKUP(Cocina[[#This Row],[Número de Orden]],Sala[Número de Orden],Sala[Monto total],"fracaso",0,1)</f>
        <v>8.7591240875912413E-2</v>
      </c>
      <c r="L1545" t="s">
        <v>608</v>
      </c>
    </row>
    <row r="1546" spans="1:12" x14ac:dyDescent="0.25">
      <c r="A1546">
        <v>627</v>
      </c>
      <c r="B1546">
        <v>4</v>
      </c>
      <c r="C1546" t="s">
        <v>70</v>
      </c>
      <c r="D1546" t="s">
        <v>634</v>
      </c>
      <c r="E1546">
        <v>13</v>
      </c>
      <c r="F1546">
        <v>21</v>
      </c>
      <c r="G1546">
        <v>1</v>
      </c>
      <c r="H1546">
        <v>37</v>
      </c>
      <c r="I1546">
        <f>Cocina[[#This Row],[Precio Unitario]]*Cocina[[#This Row],[Cantidad Ordenada]]</f>
        <v>21</v>
      </c>
      <c r="J1546">
        <f>(Cocina[[#This Row],[Precio Unitario]]-Cocina[[#This Row],[Costo Unitario]])*Cocina[[#This Row],[Cantidad Ordenada]]</f>
        <v>8</v>
      </c>
      <c r="K1546" s="4">
        <f>Cocina[[#This Row],[Ganancia neta]]/_xlfn.XLOOKUP(Cocina[[#This Row],[Número de Orden]],Sala[Número de Orden],Sala[Monto total],"fracaso",0,1)</f>
        <v>0.38095238095238093</v>
      </c>
      <c r="L1546" t="s">
        <v>607</v>
      </c>
    </row>
    <row r="1547" spans="1:12" x14ac:dyDescent="0.25">
      <c r="A1547">
        <v>628</v>
      </c>
      <c r="B1547">
        <v>2</v>
      </c>
      <c r="C1547" t="s">
        <v>158</v>
      </c>
      <c r="D1547" t="s">
        <v>617</v>
      </c>
      <c r="E1547">
        <v>14</v>
      </c>
      <c r="F1547">
        <v>24</v>
      </c>
      <c r="G1547">
        <v>2</v>
      </c>
      <c r="H1547">
        <v>10</v>
      </c>
      <c r="I1547">
        <f>Cocina[[#This Row],[Precio Unitario]]*Cocina[[#This Row],[Cantidad Ordenada]]</f>
        <v>48</v>
      </c>
      <c r="J1547">
        <f>(Cocina[[#This Row],[Precio Unitario]]-Cocina[[#This Row],[Costo Unitario]])*Cocina[[#This Row],[Cantidad Ordenada]]</f>
        <v>20</v>
      </c>
      <c r="K1547" s="4">
        <f>Cocina[[#This Row],[Ganancia neta]]/_xlfn.XLOOKUP(Cocina[[#This Row],[Número de Orden]],Sala[Número de Orden],Sala[Monto total],"fracaso",0,1)</f>
        <v>0.11904761904761904</v>
      </c>
      <c r="L1547" t="s">
        <v>607</v>
      </c>
    </row>
    <row r="1548" spans="1:12" x14ac:dyDescent="0.25">
      <c r="A1548">
        <v>628</v>
      </c>
      <c r="B1548">
        <v>2</v>
      </c>
      <c r="C1548" t="s">
        <v>48</v>
      </c>
      <c r="D1548" t="s">
        <v>622</v>
      </c>
      <c r="E1548">
        <v>25</v>
      </c>
      <c r="F1548">
        <v>40</v>
      </c>
      <c r="G1548">
        <v>3</v>
      </c>
      <c r="H1548">
        <v>33</v>
      </c>
      <c r="I1548">
        <f>Cocina[[#This Row],[Precio Unitario]]*Cocina[[#This Row],[Cantidad Ordenada]]</f>
        <v>120</v>
      </c>
      <c r="J1548">
        <f>(Cocina[[#This Row],[Precio Unitario]]-Cocina[[#This Row],[Costo Unitario]])*Cocina[[#This Row],[Cantidad Ordenada]]</f>
        <v>45</v>
      </c>
      <c r="K1548" s="4">
        <f>Cocina[[#This Row],[Ganancia neta]]/_xlfn.XLOOKUP(Cocina[[#This Row],[Número de Orden]],Sala[Número de Orden],Sala[Monto total],"fracaso",0,1)</f>
        <v>0.26785714285714285</v>
      </c>
      <c r="L1548" t="s">
        <v>608</v>
      </c>
    </row>
    <row r="1549" spans="1:12" x14ac:dyDescent="0.25">
      <c r="A1549">
        <v>629</v>
      </c>
      <c r="B1549">
        <v>17</v>
      </c>
      <c r="C1549" t="s">
        <v>55</v>
      </c>
      <c r="D1549" t="s">
        <v>631</v>
      </c>
      <c r="E1549">
        <v>20</v>
      </c>
      <c r="F1549">
        <v>34</v>
      </c>
      <c r="G1549">
        <v>1</v>
      </c>
      <c r="H1549">
        <v>22</v>
      </c>
      <c r="I1549">
        <f>Cocina[[#This Row],[Precio Unitario]]*Cocina[[#This Row],[Cantidad Ordenada]]</f>
        <v>34</v>
      </c>
      <c r="J1549">
        <f>(Cocina[[#This Row],[Precio Unitario]]-Cocina[[#This Row],[Costo Unitario]])*Cocina[[#This Row],[Cantidad Ordenada]]</f>
        <v>14</v>
      </c>
      <c r="K1549" s="4">
        <f>Cocina[[#This Row],[Ganancia neta]]/_xlfn.XLOOKUP(Cocina[[#This Row],[Número de Orden]],Sala[Número de Orden],Sala[Monto total],"fracaso",0,1)</f>
        <v>0.1076923076923077</v>
      </c>
      <c r="L1549" t="s">
        <v>608</v>
      </c>
    </row>
    <row r="1550" spans="1:12" x14ac:dyDescent="0.25">
      <c r="A1550">
        <v>629</v>
      </c>
      <c r="B1550">
        <v>17</v>
      </c>
      <c r="C1550" t="s">
        <v>146</v>
      </c>
      <c r="D1550" t="s">
        <v>632</v>
      </c>
      <c r="E1550">
        <v>12</v>
      </c>
      <c r="F1550">
        <v>20</v>
      </c>
      <c r="G1550">
        <v>3</v>
      </c>
      <c r="H1550">
        <v>19</v>
      </c>
      <c r="I1550">
        <f>Cocina[[#This Row],[Precio Unitario]]*Cocina[[#This Row],[Cantidad Ordenada]]</f>
        <v>60</v>
      </c>
      <c r="J1550">
        <f>(Cocina[[#This Row],[Precio Unitario]]-Cocina[[#This Row],[Costo Unitario]])*Cocina[[#This Row],[Cantidad Ordenada]]</f>
        <v>24</v>
      </c>
      <c r="K1550" s="4">
        <f>Cocina[[#This Row],[Ganancia neta]]/_xlfn.XLOOKUP(Cocina[[#This Row],[Número de Orden]],Sala[Número de Orden],Sala[Monto total],"fracaso",0,1)</f>
        <v>0.18461538461538463</v>
      </c>
      <c r="L1550" t="s">
        <v>607</v>
      </c>
    </row>
    <row r="1551" spans="1:12" x14ac:dyDescent="0.25">
      <c r="A1551">
        <v>629</v>
      </c>
      <c r="B1551">
        <v>17</v>
      </c>
      <c r="C1551" t="s">
        <v>79</v>
      </c>
      <c r="D1551" t="s">
        <v>635</v>
      </c>
      <c r="E1551">
        <v>10</v>
      </c>
      <c r="F1551">
        <v>18</v>
      </c>
      <c r="G1551">
        <v>2</v>
      </c>
      <c r="H1551">
        <v>43</v>
      </c>
      <c r="I1551">
        <f>Cocina[[#This Row],[Precio Unitario]]*Cocina[[#This Row],[Cantidad Ordenada]]</f>
        <v>36</v>
      </c>
      <c r="J1551">
        <f>(Cocina[[#This Row],[Precio Unitario]]-Cocina[[#This Row],[Costo Unitario]])*Cocina[[#This Row],[Cantidad Ordenada]]</f>
        <v>16</v>
      </c>
      <c r="K1551" s="4">
        <f>Cocina[[#This Row],[Ganancia neta]]/_xlfn.XLOOKUP(Cocina[[#This Row],[Número de Orden]],Sala[Número de Orden],Sala[Monto total],"fracaso",0,1)</f>
        <v>0.12307692307692308</v>
      </c>
      <c r="L1551" t="s">
        <v>608</v>
      </c>
    </row>
    <row r="1552" spans="1:12" x14ac:dyDescent="0.25">
      <c r="A1552">
        <v>630</v>
      </c>
      <c r="B1552">
        <v>2</v>
      </c>
      <c r="C1552" t="s">
        <v>116</v>
      </c>
      <c r="D1552" t="s">
        <v>620</v>
      </c>
      <c r="E1552">
        <v>19</v>
      </c>
      <c r="F1552">
        <v>31</v>
      </c>
      <c r="G1552">
        <v>2</v>
      </c>
      <c r="H1552">
        <v>19</v>
      </c>
      <c r="I1552">
        <f>Cocina[[#This Row],[Precio Unitario]]*Cocina[[#This Row],[Cantidad Ordenada]]</f>
        <v>62</v>
      </c>
      <c r="J1552">
        <f>(Cocina[[#This Row],[Precio Unitario]]-Cocina[[#This Row],[Costo Unitario]])*Cocina[[#This Row],[Cantidad Ordenada]]</f>
        <v>24</v>
      </c>
      <c r="K1552" s="4">
        <f>Cocina[[#This Row],[Ganancia neta]]/_xlfn.XLOOKUP(Cocina[[#This Row],[Número de Orden]],Sala[Número de Orden],Sala[Monto total],"fracaso",0,1)</f>
        <v>0.13186813186813187</v>
      </c>
      <c r="L1552" t="s">
        <v>607</v>
      </c>
    </row>
    <row r="1553" spans="1:12" x14ac:dyDescent="0.25">
      <c r="A1553">
        <v>630</v>
      </c>
      <c r="B1553">
        <v>2</v>
      </c>
      <c r="C1553" t="s">
        <v>48</v>
      </c>
      <c r="D1553" t="s">
        <v>622</v>
      </c>
      <c r="E1553">
        <v>25</v>
      </c>
      <c r="F1553">
        <v>40</v>
      </c>
      <c r="G1553">
        <v>3</v>
      </c>
      <c r="H1553">
        <v>56</v>
      </c>
      <c r="I1553">
        <f>Cocina[[#This Row],[Precio Unitario]]*Cocina[[#This Row],[Cantidad Ordenada]]</f>
        <v>120</v>
      </c>
      <c r="J1553">
        <f>(Cocina[[#This Row],[Precio Unitario]]-Cocina[[#This Row],[Costo Unitario]])*Cocina[[#This Row],[Cantidad Ordenada]]</f>
        <v>45</v>
      </c>
      <c r="K1553" s="4">
        <f>Cocina[[#This Row],[Ganancia neta]]/_xlfn.XLOOKUP(Cocina[[#This Row],[Número de Orden]],Sala[Número de Orden],Sala[Monto total],"fracaso",0,1)</f>
        <v>0.24725274725274726</v>
      </c>
      <c r="L1553" t="s">
        <v>607</v>
      </c>
    </row>
    <row r="1554" spans="1:12" x14ac:dyDescent="0.25">
      <c r="A1554">
        <v>631</v>
      </c>
      <c r="B1554">
        <v>6</v>
      </c>
      <c r="C1554" t="s">
        <v>203</v>
      </c>
      <c r="D1554" t="s">
        <v>630</v>
      </c>
      <c r="E1554">
        <v>13</v>
      </c>
      <c r="F1554">
        <v>22</v>
      </c>
      <c r="G1554">
        <v>3</v>
      </c>
      <c r="H1554">
        <v>46</v>
      </c>
      <c r="I1554">
        <f>Cocina[[#This Row],[Precio Unitario]]*Cocina[[#This Row],[Cantidad Ordenada]]</f>
        <v>66</v>
      </c>
      <c r="J1554">
        <f>(Cocina[[#This Row],[Precio Unitario]]-Cocina[[#This Row],[Costo Unitario]])*Cocina[[#This Row],[Cantidad Ordenada]]</f>
        <v>27</v>
      </c>
      <c r="K1554" s="4">
        <f>Cocina[[#This Row],[Ganancia neta]]/_xlfn.XLOOKUP(Cocina[[#This Row],[Número de Orden]],Sala[Número de Orden],Sala[Monto total],"fracaso",0,1)</f>
        <v>0.40909090909090912</v>
      </c>
      <c r="L1554" t="s">
        <v>607</v>
      </c>
    </row>
    <row r="1555" spans="1:12" x14ac:dyDescent="0.25">
      <c r="A1555">
        <v>632</v>
      </c>
      <c r="B1555">
        <v>16</v>
      </c>
      <c r="C1555" t="s">
        <v>247</v>
      </c>
      <c r="D1555" t="s">
        <v>629</v>
      </c>
      <c r="E1555">
        <v>19</v>
      </c>
      <c r="F1555">
        <v>32</v>
      </c>
      <c r="G1555">
        <v>3</v>
      </c>
      <c r="H1555">
        <v>41</v>
      </c>
      <c r="I1555">
        <f>Cocina[[#This Row],[Precio Unitario]]*Cocina[[#This Row],[Cantidad Ordenada]]</f>
        <v>96</v>
      </c>
      <c r="J1555">
        <f>(Cocina[[#This Row],[Precio Unitario]]-Cocina[[#This Row],[Costo Unitario]])*Cocina[[#This Row],[Cantidad Ordenada]]</f>
        <v>39</v>
      </c>
      <c r="K1555" s="4">
        <f>Cocina[[#This Row],[Ganancia neta]]/_xlfn.XLOOKUP(Cocina[[#This Row],[Número de Orden]],Sala[Número de Orden],Sala[Monto total],"fracaso",0,1)</f>
        <v>0.30232558139534882</v>
      </c>
      <c r="L1555" t="s">
        <v>608</v>
      </c>
    </row>
    <row r="1556" spans="1:12" x14ac:dyDescent="0.25">
      <c r="A1556">
        <v>632</v>
      </c>
      <c r="B1556">
        <v>16</v>
      </c>
      <c r="C1556" t="s">
        <v>261</v>
      </c>
      <c r="D1556" t="s">
        <v>625</v>
      </c>
      <c r="E1556">
        <v>20</v>
      </c>
      <c r="F1556">
        <v>33</v>
      </c>
      <c r="G1556">
        <v>1</v>
      </c>
      <c r="H1556">
        <v>47</v>
      </c>
      <c r="I1556">
        <f>Cocina[[#This Row],[Precio Unitario]]*Cocina[[#This Row],[Cantidad Ordenada]]</f>
        <v>33</v>
      </c>
      <c r="J1556">
        <f>(Cocina[[#This Row],[Precio Unitario]]-Cocina[[#This Row],[Costo Unitario]])*Cocina[[#This Row],[Cantidad Ordenada]]</f>
        <v>13</v>
      </c>
      <c r="K1556" s="4">
        <f>Cocina[[#This Row],[Ganancia neta]]/_xlfn.XLOOKUP(Cocina[[#This Row],[Número de Orden]],Sala[Número de Orden],Sala[Monto total],"fracaso",0,1)</f>
        <v>0.10077519379844961</v>
      </c>
      <c r="L1556" t="s">
        <v>607</v>
      </c>
    </row>
    <row r="1557" spans="1:12" x14ac:dyDescent="0.25">
      <c r="A1557">
        <v>633</v>
      </c>
      <c r="B1557">
        <v>16</v>
      </c>
      <c r="C1557" t="s">
        <v>68</v>
      </c>
      <c r="D1557" t="s">
        <v>619</v>
      </c>
      <c r="E1557">
        <v>18</v>
      </c>
      <c r="F1557">
        <v>30</v>
      </c>
      <c r="G1557">
        <v>3</v>
      </c>
      <c r="H1557">
        <v>10</v>
      </c>
      <c r="I1557">
        <f>Cocina[[#This Row],[Precio Unitario]]*Cocina[[#This Row],[Cantidad Ordenada]]</f>
        <v>90</v>
      </c>
      <c r="J1557">
        <f>(Cocina[[#This Row],[Precio Unitario]]-Cocina[[#This Row],[Costo Unitario]])*Cocina[[#This Row],[Cantidad Ordenada]]</f>
        <v>36</v>
      </c>
      <c r="K1557" s="4">
        <f>Cocina[[#This Row],[Ganancia neta]]/_xlfn.XLOOKUP(Cocina[[#This Row],[Número de Orden]],Sala[Número de Orden],Sala[Monto total],"fracaso",0,1)</f>
        <v>0.15254237288135594</v>
      </c>
      <c r="L1557" t="s">
        <v>607</v>
      </c>
    </row>
    <row r="1558" spans="1:12" x14ac:dyDescent="0.25">
      <c r="A1558">
        <v>633</v>
      </c>
      <c r="B1558">
        <v>16</v>
      </c>
      <c r="C1558" t="s">
        <v>158</v>
      </c>
      <c r="D1558" t="s">
        <v>617</v>
      </c>
      <c r="E1558">
        <v>14</v>
      </c>
      <c r="F1558">
        <v>24</v>
      </c>
      <c r="G1558">
        <v>2</v>
      </c>
      <c r="H1558">
        <v>51</v>
      </c>
      <c r="I1558">
        <f>Cocina[[#This Row],[Precio Unitario]]*Cocina[[#This Row],[Cantidad Ordenada]]</f>
        <v>48</v>
      </c>
      <c r="J1558">
        <f>(Cocina[[#This Row],[Precio Unitario]]-Cocina[[#This Row],[Costo Unitario]])*Cocina[[#This Row],[Cantidad Ordenada]]</f>
        <v>20</v>
      </c>
      <c r="K1558" s="4">
        <f>Cocina[[#This Row],[Ganancia neta]]/_xlfn.XLOOKUP(Cocina[[#This Row],[Número de Orden]],Sala[Número de Orden],Sala[Monto total],"fracaso",0,1)</f>
        <v>8.4745762711864403E-2</v>
      </c>
      <c r="L1558" t="s">
        <v>608</v>
      </c>
    </row>
    <row r="1559" spans="1:12" x14ac:dyDescent="0.25">
      <c r="A1559">
        <v>633</v>
      </c>
      <c r="B1559">
        <v>16</v>
      </c>
      <c r="C1559" t="s">
        <v>203</v>
      </c>
      <c r="D1559" t="s">
        <v>630</v>
      </c>
      <c r="E1559">
        <v>13</v>
      </c>
      <c r="F1559">
        <v>22</v>
      </c>
      <c r="G1559">
        <v>2</v>
      </c>
      <c r="H1559">
        <v>34</v>
      </c>
      <c r="I1559">
        <f>Cocina[[#This Row],[Precio Unitario]]*Cocina[[#This Row],[Cantidad Ordenada]]</f>
        <v>44</v>
      </c>
      <c r="J1559">
        <f>(Cocina[[#This Row],[Precio Unitario]]-Cocina[[#This Row],[Costo Unitario]])*Cocina[[#This Row],[Cantidad Ordenada]]</f>
        <v>18</v>
      </c>
      <c r="K1559" s="4">
        <f>Cocina[[#This Row],[Ganancia neta]]/_xlfn.XLOOKUP(Cocina[[#This Row],[Número de Orden]],Sala[Número de Orden],Sala[Monto total],"fracaso",0,1)</f>
        <v>7.6271186440677971E-2</v>
      </c>
      <c r="L1559" t="s">
        <v>607</v>
      </c>
    </row>
    <row r="1560" spans="1:12" x14ac:dyDescent="0.25">
      <c r="A1560">
        <v>633</v>
      </c>
      <c r="B1560">
        <v>16</v>
      </c>
      <c r="C1560" t="s">
        <v>79</v>
      </c>
      <c r="D1560" t="s">
        <v>635</v>
      </c>
      <c r="E1560">
        <v>10</v>
      </c>
      <c r="F1560">
        <v>18</v>
      </c>
      <c r="G1560">
        <v>3</v>
      </c>
      <c r="H1560">
        <v>54</v>
      </c>
      <c r="I1560">
        <f>Cocina[[#This Row],[Precio Unitario]]*Cocina[[#This Row],[Cantidad Ordenada]]</f>
        <v>54</v>
      </c>
      <c r="J1560">
        <f>(Cocina[[#This Row],[Precio Unitario]]-Cocina[[#This Row],[Costo Unitario]])*Cocina[[#This Row],[Cantidad Ordenada]]</f>
        <v>24</v>
      </c>
      <c r="K1560" s="4">
        <f>Cocina[[#This Row],[Ganancia neta]]/_xlfn.XLOOKUP(Cocina[[#This Row],[Número de Orden]],Sala[Número de Orden],Sala[Monto total],"fracaso",0,1)</f>
        <v>0.10169491525423729</v>
      </c>
      <c r="L1560" t="s">
        <v>608</v>
      </c>
    </row>
    <row r="1561" spans="1:12" x14ac:dyDescent="0.25">
      <c r="A1561">
        <v>634</v>
      </c>
      <c r="B1561">
        <v>2</v>
      </c>
      <c r="C1561" t="s">
        <v>203</v>
      </c>
      <c r="D1561" t="s">
        <v>630</v>
      </c>
      <c r="E1561">
        <v>13</v>
      </c>
      <c r="F1561">
        <v>22</v>
      </c>
      <c r="G1561">
        <v>2</v>
      </c>
      <c r="H1561">
        <v>25</v>
      </c>
      <c r="I1561">
        <f>Cocina[[#This Row],[Precio Unitario]]*Cocina[[#This Row],[Cantidad Ordenada]]</f>
        <v>44</v>
      </c>
      <c r="J1561">
        <f>(Cocina[[#This Row],[Precio Unitario]]-Cocina[[#This Row],[Costo Unitario]])*Cocina[[#This Row],[Cantidad Ordenada]]</f>
        <v>18</v>
      </c>
      <c r="K1561" s="4">
        <f>Cocina[[#This Row],[Ganancia neta]]/_xlfn.XLOOKUP(Cocina[[#This Row],[Número de Orden]],Sala[Número de Orden],Sala[Monto total],"fracaso",0,1)</f>
        <v>5.232558139534884E-2</v>
      </c>
      <c r="L1561" t="s">
        <v>607</v>
      </c>
    </row>
    <row r="1562" spans="1:12" x14ac:dyDescent="0.25">
      <c r="A1562">
        <v>634</v>
      </c>
      <c r="B1562">
        <v>2</v>
      </c>
      <c r="C1562" t="s">
        <v>48</v>
      </c>
      <c r="D1562" t="s">
        <v>622</v>
      </c>
      <c r="E1562">
        <v>25</v>
      </c>
      <c r="F1562">
        <v>40</v>
      </c>
      <c r="G1562">
        <v>3</v>
      </c>
      <c r="H1562">
        <v>38</v>
      </c>
      <c r="I1562">
        <f>Cocina[[#This Row],[Precio Unitario]]*Cocina[[#This Row],[Cantidad Ordenada]]</f>
        <v>120</v>
      </c>
      <c r="J1562">
        <f>(Cocina[[#This Row],[Precio Unitario]]-Cocina[[#This Row],[Costo Unitario]])*Cocina[[#This Row],[Cantidad Ordenada]]</f>
        <v>45</v>
      </c>
      <c r="K1562" s="4">
        <f>Cocina[[#This Row],[Ganancia neta]]/_xlfn.XLOOKUP(Cocina[[#This Row],[Número de Orden]],Sala[Número de Orden],Sala[Monto total],"fracaso",0,1)</f>
        <v>0.1308139534883721</v>
      </c>
      <c r="L1562" t="s">
        <v>608</v>
      </c>
    </row>
    <row r="1563" spans="1:12" x14ac:dyDescent="0.25">
      <c r="A1563">
        <v>634</v>
      </c>
      <c r="B1563">
        <v>2</v>
      </c>
      <c r="C1563" t="s">
        <v>122</v>
      </c>
      <c r="D1563" t="s">
        <v>637</v>
      </c>
      <c r="E1563">
        <v>15</v>
      </c>
      <c r="F1563">
        <v>25</v>
      </c>
      <c r="G1563">
        <v>3</v>
      </c>
      <c r="H1563">
        <v>43</v>
      </c>
      <c r="I1563">
        <f>Cocina[[#This Row],[Precio Unitario]]*Cocina[[#This Row],[Cantidad Ordenada]]</f>
        <v>75</v>
      </c>
      <c r="J1563">
        <f>(Cocina[[#This Row],[Precio Unitario]]-Cocina[[#This Row],[Costo Unitario]])*Cocina[[#This Row],[Cantidad Ordenada]]</f>
        <v>30</v>
      </c>
      <c r="K1563" s="4">
        <f>Cocina[[#This Row],[Ganancia neta]]/_xlfn.XLOOKUP(Cocina[[#This Row],[Número de Orden]],Sala[Número de Orden],Sala[Monto total],"fracaso",0,1)</f>
        <v>8.7209302325581398E-2</v>
      </c>
      <c r="L1563" t="s">
        <v>608</v>
      </c>
    </row>
    <row r="1564" spans="1:12" x14ac:dyDescent="0.25">
      <c r="A1564">
        <v>634</v>
      </c>
      <c r="B1564">
        <v>2</v>
      </c>
      <c r="C1564" t="s">
        <v>26</v>
      </c>
      <c r="D1564" t="s">
        <v>628</v>
      </c>
      <c r="E1564">
        <v>21</v>
      </c>
      <c r="F1564">
        <v>35</v>
      </c>
      <c r="G1564">
        <v>3</v>
      </c>
      <c r="H1564">
        <v>51</v>
      </c>
      <c r="I1564">
        <f>Cocina[[#This Row],[Precio Unitario]]*Cocina[[#This Row],[Cantidad Ordenada]]</f>
        <v>105</v>
      </c>
      <c r="J1564">
        <f>(Cocina[[#This Row],[Precio Unitario]]-Cocina[[#This Row],[Costo Unitario]])*Cocina[[#This Row],[Cantidad Ordenada]]</f>
        <v>42</v>
      </c>
      <c r="K1564" s="4">
        <f>Cocina[[#This Row],[Ganancia neta]]/_xlfn.XLOOKUP(Cocina[[#This Row],[Número de Orden]],Sala[Número de Orden],Sala[Monto total],"fracaso",0,1)</f>
        <v>0.12209302325581395</v>
      </c>
      <c r="L1564" t="s">
        <v>607</v>
      </c>
    </row>
    <row r="1565" spans="1:12" x14ac:dyDescent="0.25">
      <c r="A1565">
        <v>635</v>
      </c>
      <c r="B1565">
        <v>5</v>
      </c>
      <c r="C1565" t="s">
        <v>38</v>
      </c>
      <c r="D1565" t="s">
        <v>624</v>
      </c>
      <c r="E1565">
        <v>17</v>
      </c>
      <c r="F1565">
        <v>29</v>
      </c>
      <c r="G1565">
        <v>2</v>
      </c>
      <c r="H1565">
        <v>25</v>
      </c>
      <c r="I1565">
        <f>Cocina[[#This Row],[Precio Unitario]]*Cocina[[#This Row],[Cantidad Ordenada]]</f>
        <v>58</v>
      </c>
      <c r="J1565">
        <f>(Cocina[[#This Row],[Precio Unitario]]-Cocina[[#This Row],[Costo Unitario]])*Cocina[[#This Row],[Cantidad Ordenada]]</f>
        <v>24</v>
      </c>
      <c r="K1565" s="4">
        <f>Cocina[[#This Row],[Ganancia neta]]/_xlfn.XLOOKUP(Cocina[[#This Row],[Número de Orden]],Sala[Número de Orden],Sala[Monto total],"fracaso",0,1)</f>
        <v>0.41379310344827586</v>
      </c>
      <c r="L1565" t="s">
        <v>608</v>
      </c>
    </row>
    <row r="1566" spans="1:12" x14ac:dyDescent="0.25">
      <c r="A1566">
        <v>636</v>
      </c>
      <c r="B1566">
        <v>14</v>
      </c>
      <c r="C1566" t="s">
        <v>158</v>
      </c>
      <c r="D1566" t="s">
        <v>617</v>
      </c>
      <c r="E1566">
        <v>14</v>
      </c>
      <c r="F1566">
        <v>24</v>
      </c>
      <c r="G1566">
        <v>2</v>
      </c>
      <c r="H1566">
        <v>45</v>
      </c>
      <c r="I1566">
        <f>Cocina[[#This Row],[Precio Unitario]]*Cocina[[#This Row],[Cantidad Ordenada]]</f>
        <v>48</v>
      </c>
      <c r="J1566">
        <f>(Cocina[[#This Row],[Precio Unitario]]-Cocina[[#This Row],[Costo Unitario]])*Cocina[[#This Row],[Cantidad Ordenada]]</f>
        <v>20</v>
      </c>
      <c r="K1566" s="4">
        <f>Cocina[[#This Row],[Ganancia neta]]/_xlfn.XLOOKUP(Cocina[[#This Row],[Número de Orden]],Sala[Número de Orden],Sala[Monto total],"fracaso",0,1)</f>
        <v>0.15873015873015872</v>
      </c>
      <c r="L1566" t="s">
        <v>607</v>
      </c>
    </row>
    <row r="1567" spans="1:12" x14ac:dyDescent="0.25">
      <c r="A1567">
        <v>636</v>
      </c>
      <c r="B1567">
        <v>14</v>
      </c>
      <c r="C1567" t="s">
        <v>112</v>
      </c>
      <c r="D1567" t="s">
        <v>627</v>
      </c>
      <c r="E1567">
        <v>11</v>
      </c>
      <c r="F1567">
        <v>19</v>
      </c>
      <c r="G1567">
        <v>3</v>
      </c>
      <c r="H1567">
        <v>54</v>
      </c>
      <c r="I1567">
        <f>Cocina[[#This Row],[Precio Unitario]]*Cocina[[#This Row],[Cantidad Ordenada]]</f>
        <v>57</v>
      </c>
      <c r="J1567">
        <f>(Cocina[[#This Row],[Precio Unitario]]-Cocina[[#This Row],[Costo Unitario]])*Cocina[[#This Row],[Cantidad Ordenada]]</f>
        <v>24</v>
      </c>
      <c r="K1567" s="4">
        <f>Cocina[[#This Row],[Ganancia neta]]/_xlfn.XLOOKUP(Cocina[[#This Row],[Número de Orden]],Sala[Número de Orden],Sala[Monto total],"fracaso",0,1)</f>
        <v>0.19047619047619047</v>
      </c>
      <c r="L1567" t="s">
        <v>608</v>
      </c>
    </row>
    <row r="1568" spans="1:12" x14ac:dyDescent="0.25">
      <c r="A1568">
        <v>636</v>
      </c>
      <c r="B1568">
        <v>14</v>
      </c>
      <c r="C1568" t="s">
        <v>70</v>
      </c>
      <c r="D1568" t="s">
        <v>634</v>
      </c>
      <c r="E1568">
        <v>13</v>
      </c>
      <c r="F1568">
        <v>21</v>
      </c>
      <c r="G1568">
        <v>1</v>
      </c>
      <c r="H1568">
        <v>52</v>
      </c>
      <c r="I1568">
        <f>Cocina[[#This Row],[Precio Unitario]]*Cocina[[#This Row],[Cantidad Ordenada]]</f>
        <v>21</v>
      </c>
      <c r="J1568">
        <f>(Cocina[[#This Row],[Precio Unitario]]-Cocina[[#This Row],[Costo Unitario]])*Cocina[[#This Row],[Cantidad Ordenada]]</f>
        <v>8</v>
      </c>
      <c r="K1568" s="4">
        <f>Cocina[[#This Row],[Ganancia neta]]/_xlfn.XLOOKUP(Cocina[[#This Row],[Número de Orden]],Sala[Número de Orden],Sala[Monto total],"fracaso",0,1)</f>
        <v>6.3492063492063489E-2</v>
      </c>
      <c r="L1568" t="s">
        <v>608</v>
      </c>
    </row>
    <row r="1569" spans="1:12" x14ac:dyDescent="0.25">
      <c r="A1569">
        <v>637</v>
      </c>
      <c r="B1569">
        <v>6</v>
      </c>
      <c r="C1569" t="s">
        <v>261</v>
      </c>
      <c r="D1569" t="s">
        <v>625</v>
      </c>
      <c r="E1569">
        <v>20</v>
      </c>
      <c r="F1569">
        <v>33</v>
      </c>
      <c r="G1569">
        <v>1</v>
      </c>
      <c r="H1569">
        <v>23</v>
      </c>
      <c r="I1569">
        <f>Cocina[[#This Row],[Precio Unitario]]*Cocina[[#This Row],[Cantidad Ordenada]]</f>
        <v>33</v>
      </c>
      <c r="J1569">
        <f>(Cocina[[#This Row],[Precio Unitario]]-Cocina[[#This Row],[Costo Unitario]])*Cocina[[#This Row],[Cantidad Ordenada]]</f>
        <v>13</v>
      </c>
      <c r="K1569" s="4">
        <f>Cocina[[#This Row],[Ganancia neta]]/_xlfn.XLOOKUP(Cocina[[#This Row],[Número de Orden]],Sala[Número de Orden],Sala[Monto total],"fracaso",0,1)</f>
        <v>0.1111111111111111</v>
      </c>
      <c r="L1569" t="s">
        <v>608</v>
      </c>
    </row>
    <row r="1570" spans="1:12" x14ac:dyDescent="0.25">
      <c r="A1570">
        <v>637</v>
      </c>
      <c r="B1570">
        <v>6</v>
      </c>
      <c r="C1570" t="s">
        <v>55</v>
      </c>
      <c r="D1570" t="s">
        <v>631</v>
      </c>
      <c r="E1570">
        <v>20</v>
      </c>
      <c r="F1570">
        <v>34</v>
      </c>
      <c r="G1570">
        <v>1</v>
      </c>
      <c r="H1570">
        <v>6</v>
      </c>
      <c r="I1570">
        <f>Cocina[[#This Row],[Precio Unitario]]*Cocina[[#This Row],[Cantidad Ordenada]]</f>
        <v>34</v>
      </c>
      <c r="J1570">
        <f>(Cocina[[#This Row],[Precio Unitario]]-Cocina[[#This Row],[Costo Unitario]])*Cocina[[#This Row],[Cantidad Ordenada]]</f>
        <v>14</v>
      </c>
      <c r="K1570" s="4">
        <f>Cocina[[#This Row],[Ganancia neta]]/_xlfn.XLOOKUP(Cocina[[#This Row],[Número de Orden]],Sala[Número de Orden],Sala[Monto total],"fracaso",0,1)</f>
        <v>0.11965811965811966</v>
      </c>
      <c r="L1570" t="s">
        <v>608</v>
      </c>
    </row>
    <row r="1571" spans="1:12" x14ac:dyDescent="0.25">
      <c r="A1571">
        <v>637</v>
      </c>
      <c r="B1571">
        <v>6</v>
      </c>
      <c r="C1571" t="s">
        <v>122</v>
      </c>
      <c r="D1571" t="s">
        <v>637</v>
      </c>
      <c r="E1571">
        <v>15</v>
      </c>
      <c r="F1571">
        <v>25</v>
      </c>
      <c r="G1571">
        <v>2</v>
      </c>
      <c r="H1571">
        <v>32</v>
      </c>
      <c r="I1571">
        <f>Cocina[[#This Row],[Precio Unitario]]*Cocina[[#This Row],[Cantidad Ordenada]]</f>
        <v>50</v>
      </c>
      <c r="J1571">
        <f>(Cocina[[#This Row],[Precio Unitario]]-Cocina[[#This Row],[Costo Unitario]])*Cocina[[#This Row],[Cantidad Ordenada]]</f>
        <v>20</v>
      </c>
      <c r="K1571" s="4">
        <f>Cocina[[#This Row],[Ganancia neta]]/_xlfn.XLOOKUP(Cocina[[#This Row],[Número de Orden]],Sala[Número de Orden],Sala[Monto total],"fracaso",0,1)</f>
        <v>0.17094017094017094</v>
      </c>
      <c r="L1571" t="s">
        <v>607</v>
      </c>
    </row>
    <row r="1572" spans="1:12" x14ac:dyDescent="0.25">
      <c r="A1572">
        <v>638</v>
      </c>
      <c r="B1572">
        <v>16</v>
      </c>
      <c r="C1572" t="s">
        <v>68</v>
      </c>
      <c r="D1572" t="s">
        <v>619</v>
      </c>
      <c r="E1572">
        <v>18</v>
      </c>
      <c r="F1572">
        <v>30</v>
      </c>
      <c r="G1572">
        <v>3</v>
      </c>
      <c r="H1572">
        <v>44</v>
      </c>
      <c r="I1572">
        <f>Cocina[[#This Row],[Precio Unitario]]*Cocina[[#This Row],[Cantidad Ordenada]]</f>
        <v>90</v>
      </c>
      <c r="J1572">
        <f>(Cocina[[#This Row],[Precio Unitario]]-Cocina[[#This Row],[Costo Unitario]])*Cocina[[#This Row],[Cantidad Ordenada]]</f>
        <v>36</v>
      </c>
      <c r="K1572" s="4">
        <f>Cocina[[#This Row],[Ganancia neta]]/_xlfn.XLOOKUP(Cocina[[#This Row],[Número de Orden]],Sala[Número de Orden],Sala[Monto total],"fracaso",0,1)</f>
        <v>0.4</v>
      </c>
      <c r="L1572" t="s">
        <v>607</v>
      </c>
    </row>
    <row r="1573" spans="1:12" x14ac:dyDescent="0.25">
      <c r="A1573">
        <v>639</v>
      </c>
      <c r="B1573">
        <v>8</v>
      </c>
      <c r="C1573" t="s">
        <v>155</v>
      </c>
      <c r="D1573" t="s">
        <v>636</v>
      </c>
      <c r="E1573">
        <v>15</v>
      </c>
      <c r="F1573">
        <v>26</v>
      </c>
      <c r="G1573">
        <v>2</v>
      </c>
      <c r="H1573">
        <v>52</v>
      </c>
      <c r="I1573">
        <f>Cocina[[#This Row],[Precio Unitario]]*Cocina[[#This Row],[Cantidad Ordenada]]</f>
        <v>52</v>
      </c>
      <c r="J1573">
        <f>(Cocina[[#This Row],[Precio Unitario]]-Cocina[[#This Row],[Costo Unitario]])*Cocina[[#This Row],[Cantidad Ordenada]]</f>
        <v>22</v>
      </c>
      <c r="K1573" s="4">
        <f>Cocina[[#This Row],[Ganancia neta]]/_xlfn.XLOOKUP(Cocina[[#This Row],[Número de Orden]],Sala[Número de Orden],Sala[Monto total],"fracaso",0,1)</f>
        <v>0.14473684210526316</v>
      </c>
      <c r="L1573" t="s">
        <v>607</v>
      </c>
    </row>
    <row r="1574" spans="1:12" x14ac:dyDescent="0.25">
      <c r="A1574">
        <v>639</v>
      </c>
      <c r="B1574">
        <v>8</v>
      </c>
      <c r="C1574" t="s">
        <v>116</v>
      </c>
      <c r="D1574" t="s">
        <v>620</v>
      </c>
      <c r="E1574">
        <v>19</v>
      </c>
      <c r="F1574">
        <v>31</v>
      </c>
      <c r="G1574">
        <v>2</v>
      </c>
      <c r="H1574">
        <v>29</v>
      </c>
      <c r="I1574">
        <f>Cocina[[#This Row],[Precio Unitario]]*Cocina[[#This Row],[Cantidad Ordenada]]</f>
        <v>62</v>
      </c>
      <c r="J1574">
        <f>(Cocina[[#This Row],[Precio Unitario]]-Cocina[[#This Row],[Costo Unitario]])*Cocina[[#This Row],[Cantidad Ordenada]]</f>
        <v>24</v>
      </c>
      <c r="K1574" s="4">
        <f>Cocina[[#This Row],[Ganancia neta]]/_xlfn.XLOOKUP(Cocina[[#This Row],[Número de Orden]],Sala[Número de Orden],Sala[Monto total],"fracaso",0,1)</f>
        <v>0.15789473684210525</v>
      </c>
      <c r="L1574" t="s">
        <v>607</v>
      </c>
    </row>
    <row r="1575" spans="1:12" x14ac:dyDescent="0.25">
      <c r="A1575">
        <v>639</v>
      </c>
      <c r="B1575">
        <v>8</v>
      </c>
      <c r="C1575" t="s">
        <v>112</v>
      </c>
      <c r="D1575" t="s">
        <v>627</v>
      </c>
      <c r="E1575">
        <v>11</v>
      </c>
      <c r="F1575">
        <v>19</v>
      </c>
      <c r="G1575">
        <v>2</v>
      </c>
      <c r="H1575">
        <v>55</v>
      </c>
      <c r="I1575">
        <f>Cocina[[#This Row],[Precio Unitario]]*Cocina[[#This Row],[Cantidad Ordenada]]</f>
        <v>38</v>
      </c>
      <c r="J1575">
        <f>(Cocina[[#This Row],[Precio Unitario]]-Cocina[[#This Row],[Costo Unitario]])*Cocina[[#This Row],[Cantidad Ordenada]]</f>
        <v>16</v>
      </c>
      <c r="K1575" s="4">
        <f>Cocina[[#This Row],[Ganancia neta]]/_xlfn.XLOOKUP(Cocina[[#This Row],[Número de Orden]],Sala[Número de Orden],Sala[Monto total],"fracaso",0,1)</f>
        <v>0.10526315789473684</v>
      </c>
      <c r="L1575" t="s">
        <v>607</v>
      </c>
    </row>
    <row r="1576" spans="1:12" x14ac:dyDescent="0.25">
      <c r="A1576">
        <v>640</v>
      </c>
      <c r="B1576">
        <v>14</v>
      </c>
      <c r="C1576" t="s">
        <v>155</v>
      </c>
      <c r="D1576" t="s">
        <v>636</v>
      </c>
      <c r="E1576">
        <v>15</v>
      </c>
      <c r="F1576">
        <v>26</v>
      </c>
      <c r="G1576">
        <v>3</v>
      </c>
      <c r="H1576">
        <v>7</v>
      </c>
      <c r="I1576">
        <f>Cocina[[#This Row],[Precio Unitario]]*Cocina[[#This Row],[Cantidad Ordenada]]</f>
        <v>78</v>
      </c>
      <c r="J1576">
        <f>(Cocina[[#This Row],[Precio Unitario]]-Cocina[[#This Row],[Costo Unitario]])*Cocina[[#This Row],[Cantidad Ordenada]]</f>
        <v>33</v>
      </c>
      <c r="K1576" s="4">
        <f>Cocina[[#This Row],[Ganancia neta]]/_xlfn.XLOOKUP(Cocina[[#This Row],[Número de Orden]],Sala[Número de Orden],Sala[Monto total],"fracaso",0,1)</f>
        <v>0.15068493150684931</v>
      </c>
      <c r="L1576" t="s">
        <v>608</v>
      </c>
    </row>
    <row r="1577" spans="1:12" x14ac:dyDescent="0.25">
      <c r="A1577">
        <v>640</v>
      </c>
      <c r="B1577">
        <v>14</v>
      </c>
      <c r="C1577" t="s">
        <v>70</v>
      </c>
      <c r="D1577" t="s">
        <v>634</v>
      </c>
      <c r="E1577">
        <v>13</v>
      </c>
      <c r="F1577">
        <v>21</v>
      </c>
      <c r="G1577">
        <v>2</v>
      </c>
      <c r="H1577">
        <v>12</v>
      </c>
      <c r="I1577">
        <f>Cocina[[#This Row],[Precio Unitario]]*Cocina[[#This Row],[Cantidad Ordenada]]</f>
        <v>42</v>
      </c>
      <c r="J1577">
        <f>(Cocina[[#This Row],[Precio Unitario]]-Cocina[[#This Row],[Costo Unitario]])*Cocina[[#This Row],[Cantidad Ordenada]]</f>
        <v>16</v>
      </c>
      <c r="K1577" s="4">
        <f>Cocina[[#This Row],[Ganancia neta]]/_xlfn.XLOOKUP(Cocina[[#This Row],[Número de Orden]],Sala[Número de Orden],Sala[Monto total],"fracaso",0,1)</f>
        <v>7.3059360730593603E-2</v>
      </c>
      <c r="L1577" t="s">
        <v>607</v>
      </c>
    </row>
    <row r="1578" spans="1:12" x14ac:dyDescent="0.25">
      <c r="A1578">
        <v>640</v>
      </c>
      <c r="B1578">
        <v>14</v>
      </c>
      <c r="C1578" t="s">
        <v>261</v>
      </c>
      <c r="D1578" t="s">
        <v>625</v>
      </c>
      <c r="E1578">
        <v>20</v>
      </c>
      <c r="F1578">
        <v>33</v>
      </c>
      <c r="G1578">
        <v>3</v>
      </c>
      <c r="H1578">
        <v>56</v>
      </c>
      <c r="I1578">
        <f>Cocina[[#This Row],[Precio Unitario]]*Cocina[[#This Row],[Cantidad Ordenada]]</f>
        <v>99</v>
      </c>
      <c r="J1578">
        <f>(Cocina[[#This Row],[Precio Unitario]]-Cocina[[#This Row],[Costo Unitario]])*Cocina[[#This Row],[Cantidad Ordenada]]</f>
        <v>39</v>
      </c>
      <c r="K1578" s="4">
        <f>Cocina[[#This Row],[Ganancia neta]]/_xlfn.XLOOKUP(Cocina[[#This Row],[Número de Orden]],Sala[Número de Orden],Sala[Monto total],"fracaso",0,1)</f>
        <v>0.17808219178082191</v>
      </c>
      <c r="L1578" t="s">
        <v>608</v>
      </c>
    </row>
    <row r="1579" spans="1:12" x14ac:dyDescent="0.25">
      <c r="A1579">
        <v>641</v>
      </c>
      <c r="B1579">
        <v>2</v>
      </c>
      <c r="C1579" t="s">
        <v>38</v>
      </c>
      <c r="D1579" t="s">
        <v>624</v>
      </c>
      <c r="E1579">
        <v>17</v>
      </c>
      <c r="F1579">
        <v>29</v>
      </c>
      <c r="G1579">
        <v>3</v>
      </c>
      <c r="H1579">
        <v>17</v>
      </c>
      <c r="I1579">
        <f>Cocina[[#This Row],[Precio Unitario]]*Cocina[[#This Row],[Cantidad Ordenada]]</f>
        <v>87</v>
      </c>
      <c r="J1579">
        <f>(Cocina[[#This Row],[Precio Unitario]]-Cocina[[#This Row],[Costo Unitario]])*Cocina[[#This Row],[Cantidad Ordenada]]</f>
        <v>36</v>
      </c>
      <c r="K1579" s="4">
        <f>Cocina[[#This Row],[Ganancia neta]]/_xlfn.XLOOKUP(Cocina[[#This Row],[Número de Orden]],Sala[Número de Orden],Sala[Monto total],"fracaso",0,1)</f>
        <v>0.17307692307692307</v>
      </c>
      <c r="L1579" t="s">
        <v>607</v>
      </c>
    </row>
    <row r="1580" spans="1:12" x14ac:dyDescent="0.25">
      <c r="A1580">
        <v>641</v>
      </c>
      <c r="B1580">
        <v>2</v>
      </c>
      <c r="C1580" t="s">
        <v>122</v>
      </c>
      <c r="D1580" t="s">
        <v>637</v>
      </c>
      <c r="E1580">
        <v>15</v>
      </c>
      <c r="F1580">
        <v>25</v>
      </c>
      <c r="G1580">
        <v>3</v>
      </c>
      <c r="H1580">
        <v>28</v>
      </c>
      <c r="I1580">
        <f>Cocina[[#This Row],[Precio Unitario]]*Cocina[[#This Row],[Cantidad Ordenada]]</f>
        <v>75</v>
      </c>
      <c r="J1580">
        <f>(Cocina[[#This Row],[Precio Unitario]]-Cocina[[#This Row],[Costo Unitario]])*Cocina[[#This Row],[Cantidad Ordenada]]</f>
        <v>30</v>
      </c>
      <c r="K1580" s="4">
        <f>Cocina[[#This Row],[Ganancia neta]]/_xlfn.XLOOKUP(Cocina[[#This Row],[Número de Orden]],Sala[Número de Orden],Sala[Monto total],"fracaso",0,1)</f>
        <v>0.14423076923076922</v>
      </c>
      <c r="L1580" t="s">
        <v>608</v>
      </c>
    </row>
    <row r="1581" spans="1:12" x14ac:dyDescent="0.25">
      <c r="A1581">
        <v>641</v>
      </c>
      <c r="B1581">
        <v>2</v>
      </c>
      <c r="C1581" t="s">
        <v>200</v>
      </c>
      <c r="D1581" t="s">
        <v>633</v>
      </c>
      <c r="E1581">
        <v>14</v>
      </c>
      <c r="F1581">
        <v>23</v>
      </c>
      <c r="G1581">
        <v>2</v>
      </c>
      <c r="H1581">
        <v>29</v>
      </c>
      <c r="I1581">
        <f>Cocina[[#This Row],[Precio Unitario]]*Cocina[[#This Row],[Cantidad Ordenada]]</f>
        <v>46</v>
      </c>
      <c r="J1581">
        <f>(Cocina[[#This Row],[Precio Unitario]]-Cocina[[#This Row],[Costo Unitario]])*Cocina[[#This Row],[Cantidad Ordenada]]</f>
        <v>18</v>
      </c>
      <c r="K1581" s="4">
        <f>Cocina[[#This Row],[Ganancia neta]]/_xlfn.XLOOKUP(Cocina[[#This Row],[Número de Orden]],Sala[Número de Orden],Sala[Monto total],"fracaso",0,1)</f>
        <v>8.6538461538461536E-2</v>
      </c>
      <c r="L1581" t="s">
        <v>607</v>
      </c>
    </row>
    <row r="1582" spans="1:12" x14ac:dyDescent="0.25">
      <c r="A1582">
        <v>642</v>
      </c>
      <c r="B1582">
        <v>15</v>
      </c>
      <c r="C1582" t="s">
        <v>70</v>
      </c>
      <c r="D1582" t="s">
        <v>634</v>
      </c>
      <c r="E1582">
        <v>13</v>
      </c>
      <c r="F1582">
        <v>21</v>
      </c>
      <c r="G1582">
        <v>3</v>
      </c>
      <c r="H1582">
        <v>6</v>
      </c>
      <c r="I1582">
        <f>Cocina[[#This Row],[Precio Unitario]]*Cocina[[#This Row],[Cantidad Ordenada]]</f>
        <v>63</v>
      </c>
      <c r="J1582">
        <f>(Cocina[[#This Row],[Precio Unitario]]-Cocina[[#This Row],[Costo Unitario]])*Cocina[[#This Row],[Cantidad Ordenada]]</f>
        <v>24</v>
      </c>
      <c r="K1582" s="4">
        <f>Cocina[[#This Row],[Ganancia neta]]/_xlfn.XLOOKUP(Cocina[[#This Row],[Número de Orden]],Sala[Número de Orden],Sala[Monto total],"fracaso",0,1)</f>
        <v>0.13636363636363635</v>
      </c>
      <c r="L1582" t="s">
        <v>608</v>
      </c>
    </row>
    <row r="1583" spans="1:12" x14ac:dyDescent="0.25">
      <c r="A1583">
        <v>642</v>
      </c>
      <c r="B1583">
        <v>15</v>
      </c>
      <c r="C1583" t="s">
        <v>155</v>
      </c>
      <c r="D1583" t="s">
        <v>636</v>
      </c>
      <c r="E1583">
        <v>15</v>
      </c>
      <c r="F1583">
        <v>26</v>
      </c>
      <c r="G1583">
        <v>1</v>
      </c>
      <c r="H1583">
        <v>57</v>
      </c>
      <c r="I1583">
        <f>Cocina[[#This Row],[Precio Unitario]]*Cocina[[#This Row],[Cantidad Ordenada]]</f>
        <v>26</v>
      </c>
      <c r="J1583">
        <f>(Cocina[[#This Row],[Precio Unitario]]-Cocina[[#This Row],[Costo Unitario]])*Cocina[[#This Row],[Cantidad Ordenada]]</f>
        <v>11</v>
      </c>
      <c r="K1583" s="4">
        <f>Cocina[[#This Row],[Ganancia neta]]/_xlfn.XLOOKUP(Cocina[[#This Row],[Número de Orden]],Sala[Número de Orden],Sala[Monto total],"fracaso",0,1)</f>
        <v>6.25E-2</v>
      </c>
      <c r="L1583" t="s">
        <v>608</v>
      </c>
    </row>
    <row r="1584" spans="1:12" x14ac:dyDescent="0.25">
      <c r="A1584">
        <v>642</v>
      </c>
      <c r="B1584">
        <v>15</v>
      </c>
      <c r="C1584" t="s">
        <v>38</v>
      </c>
      <c r="D1584" t="s">
        <v>624</v>
      </c>
      <c r="E1584">
        <v>17</v>
      </c>
      <c r="F1584">
        <v>29</v>
      </c>
      <c r="G1584">
        <v>3</v>
      </c>
      <c r="H1584">
        <v>18</v>
      </c>
      <c r="I1584">
        <f>Cocina[[#This Row],[Precio Unitario]]*Cocina[[#This Row],[Cantidad Ordenada]]</f>
        <v>87</v>
      </c>
      <c r="J1584">
        <f>(Cocina[[#This Row],[Precio Unitario]]-Cocina[[#This Row],[Costo Unitario]])*Cocina[[#This Row],[Cantidad Ordenada]]</f>
        <v>36</v>
      </c>
      <c r="K1584" s="4">
        <f>Cocina[[#This Row],[Ganancia neta]]/_xlfn.XLOOKUP(Cocina[[#This Row],[Número de Orden]],Sala[Número de Orden],Sala[Monto total],"fracaso",0,1)</f>
        <v>0.20454545454545456</v>
      </c>
      <c r="L1584" t="s">
        <v>608</v>
      </c>
    </row>
    <row r="1585" spans="1:12" x14ac:dyDescent="0.25">
      <c r="A1585">
        <v>643</v>
      </c>
      <c r="B1585">
        <v>17</v>
      </c>
      <c r="C1585" t="s">
        <v>261</v>
      </c>
      <c r="D1585" t="s">
        <v>625</v>
      </c>
      <c r="E1585">
        <v>20</v>
      </c>
      <c r="F1585">
        <v>33</v>
      </c>
      <c r="G1585">
        <v>1</v>
      </c>
      <c r="H1585">
        <v>18</v>
      </c>
      <c r="I1585">
        <f>Cocina[[#This Row],[Precio Unitario]]*Cocina[[#This Row],[Cantidad Ordenada]]</f>
        <v>33</v>
      </c>
      <c r="J1585">
        <f>(Cocina[[#This Row],[Precio Unitario]]-Cocina[[#This Row],[Costo Unitario]])*Cocina[[#This Row],[Cantidad Ordenada]]</f>
        <v>13</v>
      </c>
      <c r="K1585" s="4">
        <f>Cocina[[#This Row],[Ganancia neta]]/_xlfn.XLOOKUP(Cocina[[#This Row],[Número de Orden]],Sala[Número de Orden],Sala[Monto total],"fracaso",0,1)</f>
        <v>0.39393939393939392</v>
      </c>
      <c r="L1585" t="s">
        <v>607</v>
      </c>
    </row>
    <row r="1586" spans="1:12" x14ac:dyDescent="0.25">
      <c r="A1586">
        <v>644</v>
      </c>
      <c r="B1586">
        <v>9</v>
      </c>
      <c r="C1586" t="s">
        <v>116</v>
      </c>
      <c r="D1586" t="s">
        <v>620</v>
      </c>
      <c r="E1586">
        <v>19</v>
      </c>
      <c r="F1586">
        <v>31</v>
      </c>
      <c r="G1586">
        <v>3</v>
      </c>
      <c r="H1586">
        <v>51</v>
      </c>
      <c r="I1586">
        <f>Cocina[[#This Row],[Precio Unitario]]*Cocina[[#This Row],[Cantidad Ordenada]]</f>
        <v>93</v>
      </c>
      <c r="J1586">
        <f>(Cocina[[#This Row],[Precio Unitario]]-Cocina[[#This Row],[Costo Unitario]])*Cocina[[#This Row],[Cantidad Ordenada]]</f>
        <v>36</v>
      </c>
      <c r="K1586" s="4">
        <f>Cocina[[#This Row],[Ganancia neta]]/_xlfn.XLOOKUP(Cocina[[#This Row],[Número de Orden]],Sala[Número de Orden],Sala[Monto total],"fracaso",0,1)</f>
        <v>0.38709677419354838</v>
      </c>
      <c r="L1586" t="s">
        <v>607</v>
      </c>
    </row>
    <row r="1587" spans="1:12" x14ac:dyDescent="0.25">
      <c r="A1587">
        <v>645</v>
      </c>
      <c r="B1587">
        <v>6</v>
      </c>
      <c r="C1587" t="s">
        <v>261</v>
      </c>
      <c r="D1587" t="s">
        <v>625</v>
      </c>
      <c r="E1587">
        <v>20</v>
      </c>
      <c r="F1587">
        <v>33</v>
      </c>
      <c r="G1587">
        <v>3</v>
      </c>
      <c r="H1587">
        <v>43</v>
      </c>
      <c r="I1587">
        <f>Cocina[[#This Row],[Precio Unitario]]*Cocina[[#This Row],[Cantidad Ordenada]]</f>
        <v>99</v>
      </c>
      <c r="J1587">
        <f>(Cocina[[#This Row],[Precio Unitario]]-Cocina[[#This Row],[Costo Unitario]])*Cocina[[#This Row],[Cantidad Ordenada]]</f>
        <v>39</v>
      </c>
      <c r="K1587" s="4">
        <f>Cocina[[#This Row],[Ganancia neta]]/_xlfn.XLOOKUP(Cocina[[#This Row],[Número de Orden]],Sala[Número de Orden],Sala[Monto total],"fracaso",0,1)</f>
        <v>0.21666666666666667</v>
      </c>
      <c r="L1587" t="s">
        <v>608</v>
      </c>
    </row>
    <row r="1588" spans="1:12" x14ac:dyDescent="0.25">
      <c r="A1588">
        <v>645</v>
      </c>
      <c r="B1588">
        <v>6</v>
      </c>
      <c r="C1588" t="s">
        <v>106</v>
      </c>
      <c r="D1588" t="s">
        <v>621</v>
      </c>
      <c r="E1588">
        <v>16</v>
      </c>
      <c r="F1588">
        <v>27</v>
      </c>
      <c r="G1588">
        <v>3</v>
      </c>
      <c r="H1588">
        <v>54</v>
      </c>
      <c r="I1588">
        <f>Cocina[[#This Row],[Precio Unitario]]*Cocina[[#This Row],[Cantidad Ordenada]]</f>
        <v>81</v>
      </c>
      <c r="J1588">
        <f>(Cocina[[#This Row],[Precio Unitario]]-Cocina[[#This Row],[Costo Unitario]])*Cocina[[#This Row],[Cantidad Ordenada]]</f>
        <v>33</v>
      </c>
      <c r="K1588" s="4">
        <f>Cocina[[#This Row],[Ganancia neta]]/_xlfn.XLOOKUP(Cocina[[#This Row],[Número de Orden]],Sala[Número de Orden],Sala[Monto total],"fracaso",0,1)</f>
        <v>0.18333333333333332</v>
      </c>
      <c r="L1588" t="s">
        <v>607</v>
      </c>
    </row>
    <row r="1589" spans="1:12" x14ac:dyDescent="0.25">
      <c r="A1589">
        <v>646</v>
      </c>
      <c r="B1589">
        <v>12</v>
      </c>
      <c r="C1589" t="s">
        <v>26</v>
      </c>
      <c r="D1589" t="s">
        <v>628</v>
      </c>
      <c r="E1589">
        <v>21</v>
      </c>
      <c r="F1589">
        <v>35</v>
      </c>
      <c r="G1589">
        <v>2</v>
      </c>
      <c r="H1589">
        <v>36</v>
      </c>
      <c r="I1589">
        <f>Cocina[[#This Row],[Precio Unitario]]*Cocina[[#This Row],[Cantidad Ordenada]]</f>
        <v>70</v>
      </c>
      <c r="J1589">
        <f>(Cocina[[#This Row],[Precio Unitario]]-Cocina[[#This Row],[Costo Unitario]])*Cocina[[#This Row],[Cantidad Ordenada]]</f>
        <v>28</v>
      </c>
      <c r="K1589" s="4">
        <f>Cocina[[#This Row],[Ganancia neta]]/_xlfn.XLOOKUP(Cocina[[#This Row],[Número de Orden]],Sala[Número de Orden],Sala[Monto total],"fracaso",0,1)</f>
        <v>0.4</v>
      </c>
      <c r="L1589" t="s">
        <v>607</v>
      </c>
    </row>
    <row r="1590" spans="1:12" x14ac:dyDescent="0.25">
      <c r="A1590">
        <v>647</v>
      </c>
      <c r="B1590">
        <v>12</v>
      </c>
      <c r="C1590" t="s">
        <v>79</v>
      </c>
      <c r="D1590" t="s">
        <v>635</v>
      </c>
      <c r="E1590">
        <v>10</v>
      </c>
      <c r="F1590">
        <v>18</v>
      </c>
      <c r="G1590">
        <v>2</v>
      </c>
      <c r="H1590">
        <v>13</v>
      </c>
      <c r="I1590">
        <f>Cocina[[#This Row],[Precio Unitario]]*Cocina[[#This Row],[Cantidad Ordenada]]</f>
        <v>36</v>
      </c>
      <c r="J1590">
        <f>(Cocina[[#This Row],[Precio Unitario]]-Cocina[[#This Row],[Costo Unitario]])*Cocina[[#This Row],[Cantidad Ordenada]]</f>
        <v>16</v>
      </c>
      <c r="K1590" s="4">
        <f>Cocina[[#This Row],[Ganancia neta]]/_xlfn.XLOOKUP(Cocina[[#This Row],[Número de Orden]],Sala[Número de Orden],Sala[Monto total],"fracaso",0,1)</f>
        <v>0.16326530612244897</v>
      </c>
      <c r="L1590" t="s">
        <v>608</v>
      </c>
    </row>
    <row r="1591" spans="1:12" x14ac:dyDescent="0.25">
      <c r="A1591">
        <v>647</v>
      </c>
      <c r="B1591">
        <v>12</v>
      </c>
      <c r="C1591" t="s">
        <v>116</v>
      </c>
      <c r="D1591" t="s">
        <v>620</v>
      </c>
      <c r="E1591">
        <v>19</v>
      </c>
      <c r="F1591">
        <v>31</v>
      </c>
      <c r="G1591">
        <v>2</v>
      </c>
      <c r="H1591">
        <v>26</v>
      </c>
      <c r="I1591">
        <f>Cocina[[#This Row],[Precio Unitario]]*Cocina[[#This Row],[Cantidad Ordenada]]</f>
        <v>62</v>
      </c>
      <c r="J1591">
        <f>(Cocina[[#This Row],[Precio Unitario]]-Cocina[[#This Row],[Costo Unitario]])*Cocina[[#This Row],[Cantidad Ordenada]]</f>
        <v>24</v>
      </c>
      <c r="K1591" s="4">
        <f>Cocina[[#This Row],[Ganancia neta]]/_xlfn.XLOOKUP(Cocina[[#This Row],[Número de Orden]],Sala[Número de Orden],Sala[Monto total],"fracaso",0,1)</f>
        <v>0.24489795918367346</v>
      </c>
      <c r="L1591" t="s">
        <v>608</v>
      </c>
    </row>
    <row r="1592" spans="1:12" x14ac:dyDescent="0.25">
      <c r="A1592">
        <v>648</v>
      </c>
      <c r="B1592">
        <v>9</v>
      </c>
      <c r="C1592" t="s">
        <v>42</v>
      </c>
      <c r="D1592" t="s">
        <v>626</v>
      </c>
      <c r="E1592">
        <v>16</v>
      </c>
      <c r="F1592">
        <v>28</v>
      </c>
      <c r="G1592">
        <v>2</v>
      </c>
      <c r="H1592">
        <v>47</v>
      </c>
      <c r="I1592">
        <f>Cocina[[#This Row],[Precio Unitario]]*Cocina[[#This Row],[Cantidad Ordenada]]</f>
        <v>56</v>
      </c>
      <c r="J1592">
        <f>(Cocina[[#This Row],[Precio Unitario]]-Cocina[[#This Row],[Costo Unitario]])*Cocina[[#This Row],[Cantidad Ordenada]]</f>
        <v>24</v>
      </c>
      <c r="K1592" s="4">
        <f>Cocina[[#This Row],[Ganancia neta]]/_xlfn.XLOOKUP(Cocina[[#This Row],[Número de Orden]],Sala[Número de Orden],Sala[Monto total],"fracaso",0,1)</f>
        <v>0.42857142857142855</v>
      </c>
      <c r="L1592" t="s">
        <v>607</v>
      </c>
    </row>
    <row r="1593" spans="1:12" x14ac:dyDescent="0.25">
      <c r="A1593">
        <v>649</v>
      </c>
      <c r="B1593">
        <v>9</v>
      </c>
      <c r="C1593" t="s">
        <v>38</v>
      </c>
      <c r="D1593" t="s">
        <v>624</v>
      </c>
      <c r="E1593">
        <v>17</v>
      </c>
      <c r="F1593">
        <v>29</v>
      </c>
      <c r="G1593">
        <v>3</v>
      </c>
      <c r="H1593">
        <v>22</v>
      </c>
      <c r="I1593">
        <f>Cocina[[#This Row],[Precio Unitario]]*Cocina[[#This Row],[Cantidad Ordenada]]</f>
        <v>87</v>
      </c>
      <c r="J1593">
        <f>(Cocina[[#This Row],[Precio Unitario]]-Cocina[[#This Row],[Costo Unitario]])*Cocina[[#This Row],[Cantidad Ordenada]]</f>
        <v>36</v>
      </c>
      <c r="K1593" s="4">
        <f>Cocina[[#This Row],[Ganancia neta]]/_xlfn.XLOOKUP(Cocina[[#This Row],[Número de Orden]],Sala[Número de Orden],Sala[Monto total],"fracaso",0,1)</f>
        <v>0.140625</v>
      </c>
      <c r="L1593" t="s">
        <v>608</v>
      </c>
    </row>
    <row r="1594" spans="1:12" x14ac:dyDescent="0.25">
      <c r="A1594">
        <v>649</v>
      </c>
      <c r="B1594">
        <v>9</v>
      </c>
      <c r="C1594" t="s">
        <v>42</v>
      </c>
      <c r="D1594" t="s">
        <v>626</v>
      </c>
      <c r="E1594">
        <v>16</v>
      </c>
      <c r="F1594">
        <v>28</v>
      </c>
      <c r="G1594">
        <v>3</v>
      </c>
      <c r="H1594">
        <v>40</v>
      </c>
      <c r="I1594">
        <f>Cocina[[#This Row],[Precio Unitario]]*Cocina[[#This Row],[Cantidad Ordenada]]</f>
        <v>84</v>
      </c>
      <c r="J1594">
        <f>(Cocina[[#This Row],[Precio Unitario]]-Cocina[[#This Row],[Costo Unitario]])*Cocina[[#This Row],[Cantidad Ordenada]]</f>
        <v>36</v>
      </c>
      <c r="K1594" s="4">
        <f>Cocina[[#This Row],[Ganancia neta]]/_xlfn.XLOOKUP(Cocina[[#This Row],[Número de Orden]],Sala[Número de Orden],Sala[Monto total],"fracaso",0,1)</f>
        <v>0.140625</v>
      </c>
      <c r="L1594" t="s">
        <v>607</v>
      </c>
    </row>
    <row r="1595" spans="1:12" x14ac:dyDescent="0.25">
      <c r="A1595">
        <v>649</v>
      </c>
      <c r="B1595">
        <v>9</v>
      </c>
      <c r="C1595" t="s">
        <v>122</v>
      </c>
      <c r="D1595" t="s">
        <v>637</v>
      </c>
      <c r="E1595">
        <v>15</v>
      </c>
      <c r="F1595">
        <v>25</v>
      </c>
      <c r="G1595">
        <v>1</v>
      </c>
      <c r="H1595">
        <v>32</v>
      </c>
      <c r="I1595">
        <f>Cocina[[#This Row],[Precio Unitario]]*Cocina[[#This Row],[Cantidad Ordenada]]</f>
        <v>25</v>
      </c>
      <c r="J1595">
        <f>(Cocina[[#This Row],[Precio Unitario]]-Cocina[[#This Row],[Costo Unitario]])*Cocina[[#This Row],[Cantidad Ordenada]]</f>
        <v>10</v>
      </c>
      <c r="K1595" s="4">
        <f>Cocina[[#This Row],[Ganancia neta]]/_xlfn.XLOOKUP(Cocina[[#This Row],[Número de Orden]],Sala[Número de Orden],Sala[Monto total],"fracaso",0,1)</f>
        <v>3.90625E-2</v>
      </c>
      <c r="L1595" t="s">
        <v>608</v>
      </c>
    </row>
    <row r="1596" spans="1:12" x14ac:dyDescent="0.25">
      <c r="A1596">
        <v>649</v>
      </c>
      <c r="B1596">
        <v>9</v>
      </c>
      <c r="C1596" t="s">
        <v>146</v>
      </c>
      <c r="D1596" t="s">
        <v>632</v>
      </c>
      <c r="E1596">
        <v>12</v>
      </c>
      <c r="F1596">
        <v>20</v>
      </c>
      <c r="G1596">
        <v>3</v>
      </c>
      <c r="H1596">
        <v>15</v>
      </c>
      <c r="I1596">
        <f>Cocina[[#This Row],[Precio Unitario]]*Cocina[[#This Row],[Cantidad Ordenada]]</f>
        <v>60</v>
      </c>
      <c r="J1596">
        <f>(Cocina[[#This Row],[Precio Unitario]]-Cocina[[#This Row],[Costo Unitario]])*Cocina[[#This Row],[Cantidad Ordenada]]</f>
        <v>24</v>
      </c>
      <c r="K1596" s="4">
        <f>Cocina[[#This Row],[Ganancia neta]]/_xlfn.XLOOKUP(Cocina[[#This Row],[Número de Orden]],Sala[Número de Orden],Sala[Monto total],"fracaso",0,1)</f>
        <v>9.375E-2</v>
      </c>
      <c r="L1596" t="s">
        <v>607</v>
      </c>
    </row>
    <row r="1597" spans="1:12" x14ac:dyDescent="0.25">
      <c r="A1597">
        <v>650</v>
      </c>
      <c r="B1597">
        <v>11</v>
      </c>
      <c r="C1597" t="s">
        <v>70</v>
      </c>
      <c r="D1597" t="s">
        <v>634</v>
      </c>
      <c r="E1597">
        <v>13</v>
      </c>
      <c r="F1597">
        <v>21</v>
      </c>
      <c r="G1597">
        <v>2</v>
      </c>
      <c r="H1597">
        <v>18</v>
      </c>
      <c r="I1597">
        <f>Cocina[[#This Row],[Precio Unitario]]*Cocina[[#This Row],[Cantidad Ordenada]]</f>
        <v>42</v>
      </c>
      <c r="J1597">
        <f>(Cocina[[#This Row],[Precio Unitario]]-Cocina[[#This Row],[Costo Unitario]])*Cocina[[#This Row],[Cantidad Ordenada]]</f>
        <v>16</v>
      </c>
      <c r="K1597" s="4">
        <f>Cocina[[#This Row],[Ganancia neta]]/_xlfn.XLOOKUP(Cocina[[#This Row],[Número de Orden]],Sala[Número de Orden],Sala[Monto total],"fracaso",0,1)</f>
        <v>6.7510548523206745E-2</v>
      </c>
      <c r="L1597" t="s">
        <v>608</v>
      </c>
    </row>
    <row r="1598" spans="1:12" x14ac:dyDescent="0.25">
      <c r="A1598">
        <v>650</v>
      </c>
      <c r="B1598">
        <v>11</v>
      </c>
      <c r="C1598" t="s">
        <v>38</v>
      </c>
      <c r="D1598" t="s">
        <v>624</v>
      </c>
      <c r="E1598">
        <v>17</v>
      </c>
      <c r="F1598">
        <v>29</v>
      </c>
      <c r="G1598">
        <v>2</v>
      </c>
      <c r="H1598">
        <v>35</v>
      </c>
      <c r="I1598">
        <f>Cocina[[#This Row],[Precio Unitario]]*Cocina[[#This Row],[Cantidad Ordenada]]</f>
        <v>58</v>
      </c>
      <c r="J1598">
        <f>(Cocina[[#This Row],[Precio Unitario]]-Cocina[[#This Row],[Costo Unitario]])*Cocina[[#This Row],[Cantidad Ordenada]]</f>
        <v>24</v>
      </c>
      <c r="K1598" s="4">
        <f>Cocina[[#This Row],[Ganancia neta]]/_xlfn.XLOOKUP(Cocina[[#This Row],[Número de Orden]],Sala[Número de Orden],Sala[Monto total],"fracaso",0,1)</f>
        <v>0.10126582278481013</v>
      </c>
      <c r="L1598" t="s">
        <v>608</v>
      </c>
    </row>
    <row r="1599" spans="1:12" x14ac:dyDescent="0.25">
      <c r="A1599">
        <v>650</v>
      </c>
      <c r="B1599">
        <v>11</v>
      </c>
      <c r="C1599" t="s">
        <v>247</v>
      </c>
      <c r="D1599" t="s">
        <v>629</v>
      </c>
      <c r="E1599">
        <v>19</v>
      </c>
      <c r="F1599">
        <v>32</v>
      </c>
      <c r="G1599">
        <v>1</v>
      </c>
      <c r="H1599">
        <v>12</v>
      </c>
      <c r="I1599">
        <f>Cocina[[#This Row],[Precio Unitario]]*Cocina[[#This Row],[Cantidad Ordenada]]</f>
        <v>32</v>
      </c>
      <c r="J1599">
        <f>(Cocina[[#This Row],[Precio Unitario]]-Cocina[[#This Row],[Costo Unitario]])*Cocina[[#This Row],[Cantidad Ordenada]]</f>
        <v>13</v>
      </c>
      <c r="K1599" s="4">
        <f>Cocina[[#This Row],[Ganancia neta]]/_xlfn.XLOOKUP(Cocina[[#This Row],[Número de Orden]],Sala[Número de Orden],Sala[Monto total],"fracaso",0,1)</f>
        <v>5.4852320675105488E-2</v>
      </c>
      <c r="L1599" t="s">
        <v>608</v>
      </c>
    </row>
    <row r="1600" spans="1:12" x14ac:dyDescent="0.25">
      <c r="A1600">
        <v>650</v>
      </c>
      <c r="B1600">
        <v>11</v>
      </c>
      <c r="C1600" t="s">
        <v>26</v>
      </c>
      <c r="D1600" t="s">
        <v>628</v>
      </c>
      <c r="E1600">
        <v>21</v>
      </c>
      <c r="F1600">
        <v>35</v>
      </c>
      <c r="G1600">
        <v>3</v>
      </c>
      <c r="H1600">
        <v>11</v>
      </c>
      <c r="I1600">
        <f>Cocina[[#This Row],[Precio Unitario]]*Cocina[[#This Row],[Cantidad Ordenada]]</f>
        <v>105</v>
      </c>
      <c r="J1600">
        <f>(Cocina[[#This Row],[Precio Unitario]]-Cocina[[#This Row],[Costo Unitario]])*Cocina[[#This Row],[Cantidad Ordenada]]</f>
        <v>42</v>
      </c>
      <c r="K1600" s="4">
        <f>Cocina[[#This Row],[Ganancia neta]]/_xlfn.XLOOKUP(Cocina[[#This Row],[Número de Orden]],Sala[Número de Orden],Sala[Monto total],"fracaso",0,1)</f>
        <v>0.17721518987341772</v>
      </c>
      <c r="L1600" t="s">
        <v>607</v>
      </c>
    </row>
    <row r="1601" spans="1:12" x14ac:dyDescent="0.25">
      <c r="A1601">
        <v>651</v>
      </c>
      <c r="B1601">
        <v>16</v>
      </c>
      <c r="C1601" t="s">
        <v>48</v>
      </c>
      <c r="D1601" t="s">
        <v>622</v>
      </c>
      <c r="E1601">
        <v>25</v>
      </c>
      <c r="F1601">
        <v>40</v>
      </c>
      <c r="G1601">
        <v>2</v>
      </c>
      <c r="H1601">
        <v>50</v>
      </c>
      <c r="I1601">
        <f>Cocina[[#This Row],[Precio Unitario]]*Cocina[[#This Row],[Cantidad Ordenada]]</f>
        <v>80</v>
      </c>
      <c r="J1601">
        <f>(Cocina[[#This Row],[Precio Unitario]]-Cocina[[#This Row],[Costo Unitario]])*Cocina[[#This Row],[Cantidad Ordenada]]</f>
        <v>30</v>
      </c>
      <c r="K1601" s="4">
        <f>Cocina[[#This Row],[Ganancia neta]]/_xlfn.XLOOKUP(Cocina[[#This Row],[Número de Orden]],Sala[Número de Orden],Sala[Monto total],"fracaso",0,1)</f>
        <v>0.14354066985645933</v>
      </c>
      <c r="L1601" t="s">
        <v>607</v>
      </c>
    </row>
    <row r="1602" spans="1:12" x14ac:dyDescent="0.25">
      <c r="A1602">
        <v>651</v>
      </c>
      <c r="B1602">
        <v>16</v>
      </c>
      <c r="C1602" t="s">
        <v>70</v>
      </c>
      <c r="D1602" t="s">
        <v>634</v>
      </c>
      <c r="E1602">
        <v>13</v>
      </c>
      <c r="F1602">
        <v>21</v>
      </c>
      <c r="G1602">
        <v>3</v>
      </c>
      <c r="H1602">
        <v>9</v>
      </c>
      <c r="I1602">
        <f>Cocina[[#This Row],[Precio Unitario]]*Cocina[[#This Row],[Cantidad Ordenada]]</f>
        <v>63</v>
      </c>
      <c r="J1602">
        <f>(Cocina[[#This Row],[Precio Unitario]]-Cocina[[#This Row],[Costo Unitario]])*Cocina[[#This Row],[Cantidad Ordenada]]</f>
        <v>24</v>
      </c>
      <c r="K1602" s="4">
        <f>Cocina[[#This Row],[Ganancia neta]]/_xlfn.XLOOKUP(Cocina[[#This Row],[Número de Orden]],Sala[Número de Orden],Sala[Monto total],"fracaso",0,1)</f>
        <v>0.11483253588516747</v>
      </c>
      <c r="L1602" t="s">
        <v>607</v>
      </c>
    </row>
    <row r="1603" spans="1:12" x14ac:dyDescent="0.25">
      <c r="A1603">
        <v>651</v>
      </c>
      <c r="B1603">
        <v>16</v>
      </c>
      <c r="C1603" t="s">
        <v>261</v>
      </c>
      <c r="D1603" t="s">
        <v>625</v>
      </c>
      <c r="E1603">
        <v>20</v>
      </c>
      <c r="F1603">
        <v>33</v>
      </c>
      <c r="G1603">
        <v>2</v>
      </c>
      <c r="H1603">
        <v>29</v>
      </c>
      <c r="I1603">
        <f>Cocina[[#This Row],[Precio Unitario]]*Cocina[[#This Row],[Cantidad Ordenada]]</f>
        <v>66</v>
      </c>
      <c r="J1603">
        <f>(Cocina[[#This Row],[Precio Unitario]]-Cocina[[#This Row],[Costo Unitario]])*Cocina[[#This Row],[Cantidad Ordenada]]</f>
        <v>26</v>
      </c>
      <c r="K1603" s="4">
        <f>Cocina[[#This Row],[Ganancia neta]]/_xlfn.XLOOKUP(Cocina[[#This Row],[Número de Orden]],Sala[Número de Orden],Sala[Monto total],"fracaso",0,1)</f>
        <v>0.12440191387559808</v>
      </c>
      <c r="L1603" t="s">
        <v>607</v>
      </c>
    </row>
    <row r="1604" spans="1:12" x14ac:dyDescent="0.25">
      <c r="A1604">
        <v>652</v>
      </c>
      <c r="B1604">
        <v>14</v>
      </c>
      <c r="C1604" t="s">
        <v>116</v>
      </c>
      <c r="D1604" t="s">
        <v>620</v>
      </c>
      <c r="E1604">
        <v>19</v>
      </c>
      <c r="F1604">
        <v>31</v>
      </c>
      <c r="G1604">
        <v>2</v>
      </c>
      <c r="H1604">
        <v>12</v>
      </c>
      <c r="I1604">
        <f>Cocina[[#This Row],[Precio Unitario]]*Cocina[[#This Row],[Cantidad Ordenada]]</f>
        <v>62</v>
      </c>
      <c r="J1604">
        <f>(Cocina[[#This Row],[Precio Unitario]]-Cocina[[#This Row],[Costo Unitario]])*Cocina[[#This Row],[Cantidad Ordenada]]</f>
        <v>24</v>
      </c>
      <c r="K1604" s="4">
        <f>Cocina[[#This Row],[Ganancia neta]]/_xlfn.XLOOKUP(Cocina[[#This Row],[Número de Orden]],Sala[Número de Orden],Sala[Monto total],"fracaso",0,1)</f>
        <v>0.14117647058823529</v>
      </c>
      <c r="L1604" t="s">
        <v>607</v>
      </c>
    </row>
    <row r="1605" spans="1:12" x14ac:dyDescent="0.25">
      <c r="A1605">
        <v>652</v>
      </c>
      <c r="B1605">
        <v>14</v>
      </c>
      <c r="C1605" t="s">
        <v>73</v>
      </c>
      <c r="D1605" t="s">
        <v>623</v>
      </c>
      <c r="E1605">
        <v>22</v>
      </c>
      <c r="F1605">
        <v>36</v>
      </c>
      <c r="G1605">
        <v>3</v>
      </c>
      <c r="H1605">
        <v>38</v>
      </c>
      <c r="I1605">
        <f>Cocina[[#This Row],[Precio Unitario]]*Cocina[[#This Row],[Cantidad Ordenada]]</f>
        <v>108</v>
      </c>
      <c r="J1605">
        <f>(Cocina[[#This Row],[Precio Unitario]]-Cocina[[#This Row],[Costo Unitario]])*Cocina[[#This Row],[Cantidad Ordenada]]</f>
        <v>42</v>
      </c>
      <c r="K1605" s="4">
        <f>Cocina[[#This Row],[Ganancia neta]]/_xlfn.XLOOKUP(Cocina[[#This Row],[Número de Orden]],Sala[Número de Orden],Sala[Monto total],"fracaso",0,1)</f>
        <v>0.24705882352941178</v>
      </c>
      <c r="L1605" t="s">
        <v>608</v>
      </c>
    </row>
    <row r="1606" spans="1:12" x14ac:dyDescent="0.25">
      <c r="A1606">
        <v>653</v>
      </c>
      <c r="B1606">
        <v>13</v>
      </c>
      <c r="C1606" t="s">
        <v>42</v>
      </c>
      <c r="D1606" t="s">
        <v>626</v>
      </c>
      <c r="E1606">
        <v>16</v>
      </c>
      <c r="F1606">
        <v>28</v>
      </c>
      <c r="G1606">
        <v>3</v>
      </c>
      <c r="H1606">
        <v>51</v>
      </c>
      <c r="I1606">
        <f>Cocina[[#This Row],[Precio Unitario]]*Cocina[[#This Row],[Cantidad Ordenada]]</f>
        <v>84</v>
      </c>
      <c r="J1606">
        <f>(Cocina[[#This Row],[Precio Unitario]]-Cocina[[#This Row],[Costo Unitario]])*Cocina[[#This Row],[Cantidad Ordenada]]</f>
        <v>36</v>
      </c>
      <c r="K1606" s="4">
        <f>Cocina[[#This Row],[Ganancia neta]]/_xlfn.XLOOKUP(Cocina[[#This Row],[Número de Orden]],Sala[Número de Orden],Sala[Monto total],"fracaso",0,1)</f>
        <v>0.14754098360655737</v>
      </c>
      <c r="L1606" t="s">
        <v>608</v>
      </c>
    </row>
    <row r="1607" spans="1:12" x14ac:dyDescent="0.25">
      <c r="A1607">
        <v>653</v>
      </c>
      <c r="B1607">
        <v>13</v>
      </c>
      <c r="C1607" t="s">
        <v>68</v>
      </c>
      <c r="D1607" t="s">
        <v>619</v>
      </c>
      <c r="E1607">
        <v>18</v>
      </c>
      <c r="F1607">
        <v>30</v>
      </c>
      <c r="G1607">
        <v>3</v>
      </c>
      <c r="H1607">
        <v>46</v>
      </c>
      <c r="I1607">
        <f>Cocina[[#This Row],[Precio Unitario]]*Cocina[[#This Row],[Cantidad Ordenada]]</f>
        <v>90</v>
      </c>
      <c r="J1607">
        <f>(Cocina[[#This Row],[Precio Unitario]]-Cocina[[#This Row],[Costo Unitario]])*Cocina[[#This Row],[Cantidad Ordenada]]</f>
        <v>36</v>
      </c>
      <c r="K1607" s="4">
        <f>Cocina[[#This Row],[Ganancia neta]]/_xlfn.XLOOKUP(Cocina[[#This Row],[Número de Orden]],Sala[Número de Orden],Sala[Monto total],"fracaso",0,1)</f>
        <v>0.14754098360655737</v>
      </c>
      <c r="L1607" t="s">
        <v>607</v>
      </c>
    </row>
    <row r="1608" spans="1:12" x14ac:dyDescent="0.25">
      <c r="A1608">
        <v>653</v>
      </c>
      <c r="B1608">
        <v>13</v>
      </c>
      <c r="C1608" t="s">
        <v>26</v>
      </c>
      <c r="D1608" t="s">
        <v>628</v>
      </c>
      <c r="E1608">
        <v>21</v>
      </c>
      <c r="F1608">
        <v>35</v>
      </c>
      <c r="G1608">
        <v>2</v>
      </c>
      <c r="H1608">
        <v>53</v>
      </c>
      <c r="I1608">
        <f>Cocina[[#This Row],[Precio Unitario]]*Cocina[[#This Row],[Cantidad Ordenada]]</f>
        <v>70</v>
      </c>
      <c r="J1608">
        <f>(Cocina[[#This Row],[Precio Unitario]]-Cocina[[#This Row],[Costo Unitario]])*Cocina[[#This Row],[Cantidad Ordenada]]</f>
        <v>28</v>
      </c>
      <c r="K1608" s="4">
        <f>Cocina[[#This Row],[Ganancia neta]]/_xlfn.XLOOKUP(Cocina[[#This Row],[Número de Orden]],Sala[Número de Orden],Sala[Monto total],"fracaso",0,1)</f>
        <v>0.11475409836065574</v>
      </c>
      <c r="L1608" t="s">
        <v>607</v>
      </c>
    </row>
    <row r="1609" spans="1:12" x14ac:dyDescent="0.25">
      <c r="A1609">
        <v>654</v>
      </c>
      <c r="B1609">
        <v>12</v>
      </c>
      <c r="C1609" t="s">
        <v>203</v>
      </c>
      <c r="D1609" t="s">
        <v>630</v>
      </c>
      <c r="E1609">
        <v>13</v>
      </c>
      <c r="F1609">
        <v>22</v>
      </c>
      <c r="G1609">
        <v>1</v>
      </c>
      <c r="H1609">
        <v>31</v>
      </c>
      <c r="I1609">
        <f>Cocina[[#This Row],[Precio Unitario]]*Cocina[[#This Row],[Cantidad Ordenada]]</f>
        <v>22</v>
      </c>
      <c r="J1609">
        <f>(Cocina[[#This Row],[Precio Unitario]]-Cocina[[#This Row],[Costo Unitario]])*Cocina[[#This Row],[Cantidad Ordenada]]</f>
        <v>9</v>
      </c>
      <c r="K1609" s="4">
        <f>Cocina[[#This Row],[Ganancia neta]]/_xlfn.XLOOKUP(Cocina[[#This Row],[Número de Orden]],Sala[Número de Orden],Sala[Monto total],"fracaso",0,1)</f>
        <v>0.21428571428571427</v>
      </c>
      <c r="L1609" t="s">
        <v>607</v>
      </c>
    </row>
    <row r="1610" spans="1:12" x14ac:dyDescent="0.25">
      <c r="A1610">
        <v>654</v>
      </c>
      <c r="B1610">
        <v>12</v>
      </c>
      <c r="C1610" t="s">
        <v>146</v>
      </c>
      <c r="D1610" t="s">
        <v>632</v>
      </c>
      <c r="E1610">
        <v>12</v>
      </c>
      <c r="F1610">
        <v>20</v>
      </c>
      <c r="G1610">
        <v>1</v>
      </c>
      <c r="H1610">
        <v>13</v>
      </c>
      <c r="I1610">
        <f>Cocina[[#This Row],[Precio Unitario]]*Cocina[[#This Row],[Cantidad Ordenada]]</f>
        <v>20</v>
      </c>
      <c r="J1610">
        <f>(Cocina[[#This Row],[Precio Unitario]]-Cocina[[#This Row],[Costo Unitario]])*Cocina[[#This Row],[Cantidad Ordenada]]</f>
        <v>8</v>
      </c>
      <c r="K1610" s="4">
        <f>Cocina[[#This Row],[Ganancia neta]]/_xlfn.XLOOKUP(Cocina[[#This Row],[Número de Orden]],Sala[Número de Orden],Sala[Monto total],"fracaso",0,1)</f>
        <v>0.19047619047619047</v>
      </c>
      <c r="L1610" t="s">
        <v>607</v>
      </c>
    </row>
    <row r="1611" spans="1:12" x14ac:dyDescent="0.25">
      <c r="A1611">
        <v>655</v>
      </c>
      <c r="B1611">
        <v>5</v>
      </c>
      <c r="C1611" t="s">
        <v>116</v>
      </c>
      <c r="D1611" t="s">
        <v>620</v>
      </c>
      <c r="E1611">
        <v>19</v>
      </c>
      <c r="F1611">
        <v>31</v>
      </c>
      <c r="G1611">
        <v>3</v>
      </c>
      <c r="H1611">
        <v>36</v>
      </c>
      <c r="I1611">
        <f>Cocina[[#This Row],[Precio Unitario]]*Cocina[[#This Row],[Cantidad Ordenada]]</f>
        <v>93</v>
      </c>
      <c r="J1611">
        <f>(Cocina[[#This Row],[Precio Unitario]]-Cocina[[#This Row],[Costo Unitario]])*Cocina[[#This Row],[Cantidad Ordenada]]</f>
        <v>36</v>
      </c>
      <c r="K1611" s="4">
        <f>Cocina[[#This Row],[Ganancia neta]]/_xlfn.XLOOKUP(Cocina[[#This Row],[Número de Orden]],Sala[Número de Orden],Sala[Monto total],"fracaso",0,1)</f>
        <v>0.38709677419354838</v>
      </c>
      <c r="L1611" t="s">
        <v>608</v>
      </c>
    </row>
    <row r="1612" spans="1:12" x14ac:dyDescent="0.25">
      <c r="A1612">
        <v>656</v>
      </c>
      <c r="B1612">
        <v>19</v>
      </c>
      <c r="C1612" t="s">
        <v>200</v>
      </c>
      <c r="D1612" t="s">
        <v>633</v>
      </c>
      <c r="E1612">
        <v>14</v>
      </c>
      <c r="F1612">
        <v>23</v>
      </c>
      <c r="G1612">
        <v>1</v>
      </c>
      <c r="H1612">
        <v>13</v>
      </c>
      <c r="I1612">
        <f>Cocina[[#This Row],[Precio Unitario]]*Cocina[[#This Row],[Cantidad Ordenada]]</f>
        <v>23</v>
      </c>
      <c r="J1612">
        <f>(Cocina[[#This Row],[Precio Unitario]]-Cocina[[#This Row],[Costo Unitario]])*Cocina[[#This Row],[Cantidad Ordenada]]</f>
        <v>9</v>
      </c>
      <c r="K1612" s="4">
        <f>Cocina[[#This Row],[Ganancia neta]]/_xlfn.XLOOKUP(Cocina[[#This Row],[Número de Orden]],Sala[Número de Orden],Sala[Monto total],"fracaso",0,1)</f>
        <v>5.7324840764331211E-2</v>
      </c>
      <c r="L1612" t="s">
        <v>607</v>
      </c>
    </row>
    <row r="1613" spans="1:12" x14ac:dyDescent="0.25">
      <c r="A1613">
        <v>656</v>
      </c>
      <c r="B1613">
        <v>19</v>
      </c>
      <c r="C1613" t="s">
        <v>146</v>
      </c>
      <c r="D1613" t="s">
        <v>632</v>
      </c>
      <c r="E1613">
        <v>12</v>
      </c>
      <c r="F1613">
        <v>20</v>
      </c>
      <c r="G1613">
        <v>3</v>
      </c>
      <c r="H1613">
        <v>44</v>
      </c>
      <c r="I1613">
        <f>Cocina[[#This Row],[Precio Unitario]]*Cocina[[#This Row],[Cantidad Ordenada]]</f>
        <v>60</v>
      </c>
      <c r="J1613">
        <f>(Cocina[[#This Row],[Precio Unitario]]-Cocina[[#This Row],[Costo Unitario]])*Cocina[[#This Row],[Cantidad Ordenada]]</f>
        <v>24</v>
      </c>
      <c r="K1613" s="4">
        <f>Cocina[[#This Row],[Ganancia neta]]/_xlfn.XLOOKUP(Cocina[[#This Row],[Número de Orden]],Sala[Número de Orden],Sala[Monto total],"fracaso",0,1)</f>
        <v>0.15286624203821655</v>
      </c>
      <c r="L1613" t="s">
        <v>608</v>
      </c>
    </row>
    <row r="1614" spans="1:12" x14ac:dyDescent="0.25">
      <c r="A1614">
        <v>656</v>
      </c>
      <c r="B1614">
        <v>19</v>
      </c>
      <c r="C1614" t="s">
        <v>112</v>
      </c>
      <c r="D1614" t="s">
        <v>627</v>
      </c>
      <c r="E1614">
        <v>11</v>
      </c>
      <c r="F1614">
        <v>19</v>
      </c>
      <c r="G1614">
        <v>2</v>
      </c>
      <c r="H1614">
        <v>39</v>
      </c>
      <c r="I1614">
        <f>Cocina[[#This Row],[Precio Unitario]]*Cocina[[#This Row],[Cantidad Ordenada]]</f>
        <v>38</v>
      </c>
      <c r="J1614">
        <f>(Cocina[[#This Row],[Precio Unitario]]-Cocina[[#This Row],[Costo Unitario]])*Cocina[[#This Row],[Cantidad Ordenada]]</f>
        <v>16</v>
      </c>
      <c r="K1614" s="4">
        <f>Cocina[[#This Row],[Ganancia neta]]/_xlfn.XLOOKUP(Cocina[[#This Row],[Número de Orden]],Sala[Número de Orden],Sala[Monto total],"fracaso",0,1)</f>
        <v>0.10191082802547771</v>
      </c>
      <c r="L1614" t="s">
        <v>608</v>
      </c>
    </row>
    <row r="1615" spans="1:12" x14ac:dyDescent="0.25">
      <c r="A1615">
        <v>656</v>
      </c>
      <c r="B1615">
        <v>19</v>
      </c>
      <c r="C1615" t="s">
        <v>73</v>
      </c>
      <c r="D1615" t="s">
        <v>623</v>
      </c>
      <c r="E1615">
        <v>22</v>
      </c>
      <c r="F1615">
        <v>36</v>
      </c>
      <c r="G1615">
        <v>1</v>
      </c>
      <c r="H1615">
        <v>14</v>
      </c>
      <c r="I1615">
        <f>Cocina[[#This Row],[Precio Unitario]]*Cocina[[#This Row],[Cantidad Ordenada]]</f>
        <v>36</v>
      </c>
      <c r="J1615">
        <f>(Cocina[[#This Row],[Precio Unitario]]-Cocina[[#This Row],[Costo Unitario]])*Cocina[[#This Row],[Cantidad Ordenada]]</f>
        <v>14</v>
      </c>
      <c r="K1615" s="4">
        <f>Cocina[[#This Row],[Ganancia neta]]/_xlfn.XLOOKUP(Cocina[[#This Row],[Número de Orden]],Sala[Número de Orden],Sala[Monto total],"fracaso",0,1)</f>
        <v>8.9171974522292988E-2</v>
      </c>
      <c r="L1615" t="s">
        <v>607</v>
      </c>
    </row>
    <row r="1616" spans="1:12" x14ac:dyDescent="0.25">
      <c r="A1616">
        <v>657</v>
      </c>
      <c r="B1616">
        <v>1</v>
      </c>
      <c r="C1616" t="s">
        <v>48</v>
      </c>
      <c r="D1616" t="s">
        <v>622</v>
      </c>
      <c r="E1616">
        <v>25</v>
      </c>
      <c r="F1616">
        <v>40</v>
      </c>
      <c r="G1616">
        <v>2</v>
      </c>
      <c r="H1616">
        <v>55</v>
      </c>
      <c r="I1616">
        <f>Cocina[[#This Row],[Precio Unitario]]*Cocina[[#This Row],[Cantidad Ordenada]]</f>
        <v>80</v>
      </c>
      <c r="J1616">
        <f>(Cocina[[#This Row],[Precio Unitario]]-Cocina[[#This Row],[Costo Unitario]])*Cocina[[#This Row],[Cantidad Ordenada]]</f>
        <v>30</v>
      </c>
      <c r="K1616" s="4">
        <f>Cocina[[#This Row],[Ganancia neta]]/_xlfn.XLOOKUP(Cocina[[#This Row],[Número de Orden]],Sala[Número de Orden],Sala[Monto total],"fracaso",0,1)</f>
        <v>0.15306122448979592</v>
      </c>
      <c r="L1616" t="s">
        <v>608</v>
      </c>
    </row>
    <row r="1617" spans="1:12" x14ac:dyDescent="0.25">
      <c r="A1617">
        <v>657</v>
      </c>
      <c r="B1617">
        <v>1</v>
      </c>
      <c r="C1617" t="s">
        <v>200</v>
      </c>
      <c r="D1617" t="s">
        <v>633</v>
      </c>
      <c r="E1617">
        <v>14</v>
      </c>
      <c r="F1617">
        <v>23</v>
      </c>
      <c r="G1617">
        <v>2</v>
      </c>
      <c r="H1617">
        <v>39</v>
      </c>
      <c r="I1617">
        <f>Cocina[[#This Row],[Precio Unitario]]*Cocina[[#This Row],[Cantidad Ordenada]]</f>
        <v>46</v>
      </c>
      <c r="J1617">
        <f>(Cocina[[#This Row],[Precio Unitario]]-Cocina[[#This Row],[Costo Unitario]])*Cocina[[#This Row],[Cantidad Ordenada]]</f>
        <v>18</v>
      </c>
      <c r="K1617" s="4">
        <f>Cocina[[#This Row],[Ganancia neta]]/_xlfn.XLOOKUP(Cocina[[#This Row],[Número de Orden]],Sala[Número de Orden],Sala[Monto total],"fracaso",0,1)</f>
        <v>9.1836734693877556E-2</v>
      </c>
      <c r="L1617" t="s">
        <v>608</v>
      </c>
    </row>
    <row r="1618" spans="1:12" x14ac:dyDescent="0.25">
      <c r="A1618">
        <v>657</v>
      </c>
      <c r="B1618">
        <v>1</v>
      </c>
      <c r="C1618" t="s">
        <v>26</v>
      </c>
      <c r="D1618" t="s">
        <v>628</v>
      </c>
      <c r="E1618">
        <v>21</v>
      </c>
      <c r="F1618">
        <v>35</v>
      </c>
      <c r="G1618">
        <v>2</v>
      </c>
      <c r="H1618">
        <v>40</v>
      </c>
      <c r="I1618">
        <f>Cocina[[#This Row],[Precio Unitario]]*Cocina[[#This Row],[Cantidad Ordenada]]</f>
        <v>70</v>
      </c>
      <c r="J1618">
        <f>(Cocina[[#This Row],[Precio Unitario]]-Cocina[[#This Row],[Costo Unitario]])*Cocina[[#This Row],[Cantidad Ordenada]]</f>
        <v>28</v>
      </c>
      <c r="K1618" s="4">
        <f>Cocina[[#This Row],[Ganancia neta]]/_xlfn.XLOOKUP(Cocina[[#This Row],[Número de Orden]],Sala[Número de Orden],Sala[Monto total],"fracaso",0,1)</f>
        <v>0.14285714285714285</v>
      </c>
      <c r="L1618" t="s">
        <v>608</v>
      </c>
    </row>
    <row r="1619" spans="1:12" x14ac:dyDescent="0.25">
      <c r="A1619">
        <v>658</v>
      </c>
      <c r="B1619">
        <v>19</v>
      </c>
      <c r="C1619" t="s">
        <v>247</v>
      </c>
      <c r="D1619" t="s">
        <v>629</v>
      </c>
      <c r="E1619">
        <v>19</v>
      </c>
      <c r="F1619">
        <v>32</v>
      </c>
      <c r="G1619">
        <v>1</v>
      </c>
      <c r="H1619">
        <v>21</v>
      </c>
      <c r="I1619">
        <f>Cocina[[#This Row],[Precio Unitario]]*Cocina[[#This Row],[Cantidad Ordenada]]</f>
        <v>32</v>
      </c>
      <c r="J1619">
        <f>(Cocina[[#This Row],[Precio Unitario]]-Cocina[[#This Row],[Costo Unitario]])*Cocina[[#This Row],[Cantidad Ordenada]]</f>
        <v>13</v>
      </c>
      <c r="K1619" s="4">
        <f>Cocina[[#This Row],[Ganancia neta]]/_xlfn.XLOOKUP(Cocina[[#This Row],[Número de Orden]],Sala[Número de Orden],Sala[Monto total],"fracaso",0,1)</f>
        <v>0.15116279069767441</v>
      </c>
      <c r="L1619" t="s">
        <v>608</v>
      </c>
    </row>
    <row r="1620" spans="1:12" x14ac:dyDescent="0.25">
      <c r="A1620">
        <v>658</v>
      </c>
      <c r="B1620">
        <v>19</v>
      </c>
      <c r="C1620" t="s">
        <v>106</v>
      </c>
      <c r="D1620" t="s">
        <v>621</v>
      </c>
      <c r="E1620">
        <v>16</v>
      </c>
      <c r="F1620">
        <v>27</v>
      </c>
      <c r="G1620">
        <v>2</v>
      </c>
      <c r="H1620">
        <v>27</v>
      </c>
      <c r="I1620">
        <f>Cocina[[#This Row],[Precio Unitario]]*Cocina[[#This Row],[Cantidad Ordenada]]</f>
        <v>54</v>
      </c>
      <c r="J1620">
        <f>(Cocina[[#This Row],[Precio Unitario]]-Cocina[[#This Row],[Costo Unitario]])*Cocina[[#This Row],[Cantidad Ordenada]]</f>
        <v>22</v>
      </c>
      <c r="K1620" s="4">
        <f>Cocina[[#This Row],[Ganancia neta]]/_xlfn.XLOOKUP(Cocina[[#This Row],[Número de Orden]],Sala[Número de Orden],Sala[Monto total],"fracaso",0,1)</f>
        <v>0.2558139534883721</v>
      </c>
      <c r="L1620" t="s">
        <v>608</v>
      </c>
    </row>
    <row r="1621" spans="1:12" x14ac:dyDescent="0.25">
      <c r="A1621">
        <v>659</v>
      </c>
      <c r="B1621">
        <v>9</v>
      </c>
      <c r="C1621" t="s">
        <v>38</v>
      </c>
      <c r="D1621" t="s">
        <v>624</v>
      </c>
      <c r="E1621">
        <v>17</v>
      </c>
      <c r="F1621">
        <v>29</v>
      </c>
      <c r="G1621">
        <v>3</v>
      </c>
      <c r="H1621">
        <v>31</v>
      </c>
      <c r="I1621">
        <f>Cocina[[#This Row],[Precio Unitario]]*Cocina[[#This Row],[Cantidad Ordenada]]</f>
        <v>87</v>
      </c>
      <c r="J1621">
        <f>(Cocina[[#This Row],[Precio Unitario]]-Cocina[[#This Row],[Costo Unitario]])*Cocina[[#This Row],[Cantidad Ordenada]]</f>
        <v>36</v>
      </c>
      <c r="K1621" s="4">
        <f>Cocina[[#This Row],[Ganancia neta]]/_xlfn.XLOOKUP(Cocina[[#This Row],[Número de Orden]],Sala[Número de Orden],Sala[Monto total],"fracaso",0,1)</f>
        <v>0.41379310344827586</v>
      </c>
      <c r="L1621" t="s">
        <v>607</v>
      </c>
    </row>
    <row r="1622" spans="1:12" x14ac:dyDescent="0.25">
      <c r="A1622">
        <v>660</v>
      </c>
      <c r="B1622">
        <v>19</v>
      </c>
      <c r="C1622" t="s">
        <v>112</v>
      </c>
      <c r="D1622" t="s">
        <v>627</v>
      </c>
      <c r="E1622">
        <v>11</v>
      </c>
      <c r="F1622">
        <v>19</v>
      </c>
      <c r="G1622">
        <v>2</v>
      </c>
      <c r="H1622">
        <v>24</v>
      </c>
      <c r="I1622">
        <f>Cocina[[#This Row],[Precio Unitario]]*Cocina[[#This Row],[Cantidad Ordenada]]</f>
        <v>38</v>
      </c>
      <c r="J1622">
        <f>(Cocina[[#This Row],[Precio Unitario]]-Cocina[[#This Row],[Costo Unitario]])*Cocina[[#This Row],[Cantidad Ordenada]]</f>
        <v>16</v>
      </c>
      <c r="K1622" s="4">
        <f>Cocina[[#This Row],[Ganancia neta]]/_xlfn.XLOOKUP(Cocina[[#This Row],[Número de Orden]],Sala[Número de Orden],Sala[Monto total],"fracaso",0,1)</f>
        <v>7.6923076923076927E-2</v>
      </c>
      <c r="L1622" t="s">
        <v>608</v>
      </c>
    </row>
    <row r="1623" spans="1:12" x14ac:dyDescent="0.25">
      <c r="A1623">
        <v>660</v>
      </c>
      <c r="B1623">
        <v>19</v>
      </c>
      <c r="C1623" t="s">
        <v>68</v>
      </c>
      <c r="D1623" t="s">
        <v>619</v>
      </c>
      <c r="E1623">
        <v>18</v>
      </c>
      <c r="F1623">
        <v>30</v>
      </c>
      <c r="G1623">
        <v>3</v>
      </c>
      <c r="H1623">
        <v>16</v>
      </c>
      <c r="I1623">
        <f>Cocina[[#This Row],[Precio Unitario]]*Cocina[[#This Row],[Cantidad Ordenada]]</f>
        <v>90</v>
      </c>
      <c r="J1623">
        <f>(Cocina[[#This Row],[Precio Unitario]]-Cocina[[#This Row],[Costo Unitario]])*Cocina[[#This Row],[Cantidad Ordenada]]</f>
        <v>36</v>
      </c>
      <c r="K1623" s="4">
        <f>Cocina[[#This Row],[Ganancia neta]]/_xlfn.XLOOKUP(Cocina[[#This Row],[Número de Orden]],Sala[Número de Orden],Sala[Monto total],"fracaso",0,1)</f>
        <v>0.17307692307692307</v>
      </c>
      <c r="L1623" t="s">
        <v>607</v>
      </c>
    </row>
    <row r="1624" spans="1:12" x14ac:dyDescent="0.25">
      <c r="A1624">
        <v>660</v>
      </c>
      <c r="B1624">
        <v>19</v>
      </c>
      <c r="C1624" t="s">
        <v>48</v>
      </c>
      <c r="D1624" t="s">
        <v>622</v>
      </c>
      <c r="E1624">
        <v>25</v>
      </c>
      <c r="F1624">
        <v>40</v>
      </c>
      <c r="G1624">
        <v>2</v>
      </c>
      <c r="H1624">
        <v>5</v>
      </c>
      <c r="I1624">
        <f>Cocina[[#This Row],[Precio Unitario]]*Cocina[[#This Row],[Cantidad Ordenada]]</f>
        <v>80</v>
      </c>
      <c r="J1624">
        <f>(Cocina[[#This Row],[Precio Unitario]]-Cocina[[#This Row],[Costo Unitario]])*Cocina[[#This Row],[Cantidad Ordenada]]</f>
        <v>30</v>
      </c>
      <c r="K1624" s="4">
        <f>Cocina[[#This Row],[Ganancia neta]]/_xlfn.XLOOKUP(Cocina[[#This Row],[Número de Orden]],Sala[Número de Orden],Sala[Monto total],"fracaso",0,1)</f>
        <v>0.14423076923076922</v>
      </c>
      <c r="L1624" t="s">
        <v>608</v>
      </c>
    </row>
    <row r="1625" spans="1:12" x14ac:dyDescent="0.25">
      <c r="A1625">
        <v>661</v>
      </c>
      <c r="B1625">
        <v>16</v>
      </c>
      <c r="C1625" t="s">
        <v>200</v>
      </c>
      <c r="D1625" t="s">
        <v>633</v>
      </c>
      <c r="E1625">
        <v>14</v>
      </c>
      <c r="F1625">
        <v>23</v>
      </c>
      <c r="G1625">
        <v>3</v>
      </c>
      <c r="H1625">
        <v>56</v>
      </c>
      <c r="I1625">
        <f>Cocina[[#This Row],[Precio Unitario]]*Cocina[[#This Row],[Cantidad Ordenada]]</f>
        <v>69</v>
      </c>
      <c r="J1625">
        <f>(Cocina[[#This Row],[Precio Unitario]]-Cocina[[#This Row],[Costo Unitario]])*Cocina[[#This Row],[Cantidad Ordenada]]</f>
        <v>27</v>
      </c>
      <c r="K1625" s="4">
        <f>Cocina[[#This Row],[Ganancia neta]]/_xlfn.XLOOKUP(Cocina[[#This Row],[Número de Orden]],Sala[Número de Orden],Sala[Monto total],"fracaso",0,1)</f>
        <v>0.13106796116504854</v>
      </c>
      <c r="L1625" t="s">
        <v>608</v>
      </c>
    </row>
    <row r="1626" spans="1:12" x14ac:dyDescent="0.25">
      <c r="A1626">
        <v>661</v>
      </c>
      <c r="B1626">
        <v>16</v>
      </c>
      <c r="C1626" t="s">
        <v>116</v>
      </c>
      <c r="D1626" t="s">
        <v>620</v>
      </c>
      <c r="E1626">
        <v>19</v>
      </c>
      <c r="F1626">
        <v>31</v>
      </c>
      <c r="G1626">
        <v>1</v>
      </c>
      <c r="H1626">
        <v>22</v>
      </c>
      <c r="I1626">
        <f>Cocina[[#This Row],[Precio Unitario]]*Cocina[[#This Row],[Cantidad Ordenada]]</f>
        <v>31</v>
      </c>
      <c r="J1626">
        <f>(Cocina[[#This Row],[Precio Unitario]]-Cocina[[#This Row],[Costo Unitario]])*Cocina[[#This Row],[Cantidad Ordenada]]</f>
        <v>12</v>
      </c>
      <c r="K1626" s="4">
        <f>Cocina[[#This Row],[Ganancia neta]]/_xlfn.XLOOKUP(Cocina[[#This Row],[Número de Orden]],Sala[Número de Orden],Sala[Monto total],"fracaso",0,1)</f>
        <v>5.8252427184466021E-2</v>
      </c>
      <c r="L1626" t="s">
        <v>608</v>
      </c>
    </row>
    <row r="1627" spans="1:12" x14ac:dyDescent="0.25">
      <c r="A1627">
        <v>661</v>
      </c>
      <c r="B1627">
        <v>16</v>
      </c>
      <c r="C1627" t="s">
        <v>122</v>
      </c>
      <c r="D1627" t="s">
        <v>637</v>
      </c>
      <c r="E1627">
        <v>15</v>
      </c>
      <c r="F1627">
        <v>25</v>
      </c>
      <c r="G1627">
        <v>2</v>
      </c>
      <c r="H1627">
        <v>30</v>
      </c>
      <c r="I1627">
        <f>Cocina[[#This Row],[Precio Unitario]]*Cocina[[#This Row],[Cantidad Ordenada]]</f>
        <v>50</v>
      </c>
      <c r="J1627">
        <f>(Cocina[[#This Row],[Precio Unitario]]-Cocina[[#This Row],[Costo Unitario]])*Cocina[[#This Row],[Cantidad Ordenada]]</f>
        <v>20</v>
      </c>
      <c r="K1627" s="4">
        <f>Cocina[[#This Row],[Ganancia neta]]/_xlfn.XLOOKUP(Cocina[[#This Row],[Número de Orden]],Sala[Número de Orden],Sala[Monto total],"fracaso",0,1)</f>
        <v>9.7087378640776698E-2</v>
      </c>
      <c r="L1627" t="s">
        <v>607</v>
      </c>
    </row>
    <row r="1628" spans="1:12" x14ac:dyDescent="0.25">
      <c r="A1628">
        <v>661</v>
      </c>
      <c r="B1628">
        <v>16</v>
      </c>
      <c r="C1628" t="s">
        <v>42</v>
      </c>
      <c r="D1628" t="s">
        <v>626</v>
      </c>
      <c r="E1628">
        <v>16</v>
      </c>
      <c r="F1628">
        <v>28</v>
      </c>
      <c r="G1628">
        <v>2</v>
      </c>
      <c r="H1628">
        <v>27</v>
      </c>
      <c r="I1628">
        <f>Cocina[[#This Row],[Precio Unitario]]*Cocina[[#This Row],[Cantidad Ordenada]]</f>
        <v>56</v>
      </c>
      <c r="J1628">
        <f>(Cocina[[#This Row],[Precio Unitario]]-Cocina[[#This Row],[Costo Unitario]])*Cocina[[#This Row],[Cantidad Ordenada]]</f>
        <v>24</v>
      </c>
      <c r="K1628" s="4">
        <f>Cocina[[#This Row],[Ganancia neta]]/_xlfn.XLOOKUP(Cocina[[#This Row],[Número de Orden]],Sala[Número de Orden],Sala[Monto total],"fracaso",0,1)</f>
        <v>0.11650485436893204</v>
      </c>
      <c r="L1628" t="s">
        <v>608</v>
      </c>
    </row>
    <row r="1629" spans="1:12" x14ac:dyDescent="0.25">
      <c r="A1629">
        <v>662</v>
      </c>
      <c r="B1629">
        <v>15</v>
      </c>
      <c r="C1629" t="s">
        <v>158</v>
      </c>
      <c r="D1629" t="s">
        <v>617</v>
      </c>
      <c r="E1629">
        <v>14</v>
      </c>
      <c r="F1629">
        <v>24</v>
      </c>
      <c r="G1629">
        <v>3</v>
      </c>
      <c r="H1629">
        <v>34</v>
      </c>
      <c r="I1629">
        <f>Cocina[[#This Row],[Precio Unitario]]*Cocina[[#This Row],[Cantidad Ordenada]]</f>
        <v>72</v>
      </c>
      <c r="J1629">
        <f>(Cocina[[#This Row],[Precio Unitario]]-Cocina[[#This Row],[Costo Unitario]])*Cocina[[#This Row],[Cantidad Ordenada]]</f>
        <v>30</v>
      </c>
      <c r="K1629" s="4">
        <f>Cocina[[#This Row],[Ganancia neta]]/_xlfn.XLOOKUP(Cocina[[#This Row],[Número de Orden]],Sala[Número de Orden],Sala[Monto total],"fracaso",0,1)</f>
        <v>0.22556390977443608</v>
      </c>
      <c r="L1629" t="s">
        <v>607</v>
      </c>
    </row>
    <row r="1630" spans="1:12" x14ac:dyDescent="0.25">
      <c r="A1630">
        <v>662</v>
      </c>
      <c r="B1630">
        <v>15</v>
      </c>
      <c r="C1630" t="s">
        <v>122</v>
      </c>
      <c r="D1630" t="s">
        <v>637</v>
      </c>
      <c r="E1630">
        <v>15</v>
      </c>
      <c r="F1630">
        <v>25</v>
      </c>
      <c r="G1630">
        <v>1</v>
      </c>
      <c r="H1630">
        <v>10</v>
      </c>
      <c r="I1630">
        <f>Cocina[[#This Row],[Precio Unitario]]*Cocina[[#This Row],[Cantidad Ordenada]]</f>
        <v>25</v>
      </c>
      <c r="J1630">
        <f>(Cocina[[#This Row],[Precio Unitario]]-Cocina[[#This Row],[Costo Unitario]])*Cocina[[#This Row],[Cantidad Ordenada]]</f>
        <v>10</v>
      </c>
      <c r="K1630" s="4">
        <f>Cocina[[#This Row],[Ganancia neta]]/_xlfn.XLOOKUP(Cocina[[#This Row],[Número de Orden]],Sala[Número de Orden],Sala[Monto total],"fracaso",0,1)</f>
        <v>7.5187969924812026E-2</v>
      </c>
      <c r="L1630" t="s">
        <v>608</v>
      </c>
    </row>
    <row r="1631" spans="1:12" x14ac:dyDescent="0.25">
      <c r="A1631">
        <v>662</v>
      </c>
      <c r="B1631">
        <v>15</v>
      </c>
      <c r="C1631" t="s">
        <v>73</v>
      </c>
      <c r="D1631" t="s">
        <v>623</v>
      </c>
      <c r="E1631">
        <v>22</v>
      </c>
      <c r="F1631">
        <v>36</v>
      </c>
      <c r="G1631">
        <v>1</v>
      </c>
      <c r="H1631">
        <v>41</v>
      </c>
      <c r="I1631">
        <f>Cocina[[#This Row],[Precio Unitario]]*Cocina[[#This Row],[Cantidad Ordenada]]</f>
        <v>36</v>
      </c>
      <c r="J1631">
        <f>(Cocina[[#This Row],[Precio Unitario]]-Cocina[[#This Row],[Costo Unitario]])*Cocina[[#This Row],[Cantidad Ordenada]]</f>
        <v>14</v>
      </c>
      <c r="K1631" s="4">
        <f>Cocina[[#This Row],[Ganancia neta]]/_xlfn.XLOOKUP(Cocina[[#This Row],[Número de Orden]],Sala[Número de Orden],Sala[Monto total],"fracaso",0,1)</f>
        <v>0.10526315789473684</v>
      </c>
      <c r="L1631" t="s">
        <v>607</v>
      </c>
    </row>
    <row r="1632" spans="1:12" x14ac:dyDescent="0.25">
      <c r="A1632">
        <v>663</v>
      </c>
      <c r="B1632">
        <v>3</v>
      </c>
      <c r="C1632" t="s">
        <v>79</v>
      </c>
      <c r="D1632" t="s">
        <v>635</v>
      </c>
      <c r="E1632">
        <v>10</v>
      </c>
      <c r="F1632">
        <v>18</v>
      </c>
      <c r="G1632">
        <v>2</v>
      </c>
      <c r="H1632">
        <v>40</v>
      </c>
      <c r="I1632">
        <f>Cocina[[#This Row],[Precio Unitario]]*Cocina[[#This Row],[Cantidad Ordenada]]</f>
        <v>36</v>
      </c>
      <c r="J1632">
        <f>(Cocina[[#This Row],[Precio Unitario]]-Cocina[[#This Row],[Costo Unitario]])*Cocina[[#This Row],[Cantidad Ordenada]]</f>
        <v>16</v>
      </c>
      <c r="K1632" s="4">
        <f>Cocina[[#This Row],[Ganancia neta]]/_xlfn.XLOOKUP(Cocina[[#This Row],[Número de Orden]],Sala[Número de Orden],Sala[Monto total],"fracaso",0,1)</f>
        <v>0.14035087719298245</v>
      </c>
      <c r="L1632" t="s">
        <v>608</v>
      </c>
    </row>
    <row r="1633" spans="1:12" x14ac:dyDescent="0.25">
      <c r="A1633">
        <v>663</v>
      </c>
      <c r="B1633">
        <v>3</v>
      </c>
      <c r="C1633" t="s">
        <v>38</v>
      </c>
      <c r="D1633" t="s">
        <v>624</v>
      </c>
      <c r="E1633">
        <v>17</v>
      </c>
      <c r="F1633">
        <v>29</v>
      </c>
      <c r="G1633">
        <v>2</v>
      </c>
      <c r="H1633">
        <v>5</v>
      </c>
      <c r="I1633">
        <f>Cocina[[#This Row],[Precio Unitario]]*Cocina[[#This Row],[Cantidad Ordenada]]</f>
        <v>58</v>
      </c>
      <c r="J1633">
        <f>(Cocina[[#This Row],[Precio Unitario]]-Cocina[[#This Row],[Costo Unitario]])*Cocina[[#This Row],[Cantidad Ordenada]]</f>
        <v>24</v>
      </c>
      <c r="K1633" s="4">
        <f>Cocina[[#This Row],[Ganancia neta]]/_xlfn.XLOOKUP(Cocina[[#This Row],[Número de Orden]],Sala[Número de Orden],Sala[Monto total],"fracaso",0,1)</f>
        <v>0.21052631578947367</v>
      </c>
      <c r="L1633" t="s">
        <v>608</v>
      </c>
    </row>
    <row r="1634" spans="1:12" x14ac:dyDescent="0.25">
      <c r="A1634">
        <v>663</v>
      </c>
      <c r="B1634">
        <v>3</v>
      </c>
      <c r="C1634" t="s">
        <v>146</v>
      </c>
      <c r="D1634" t="s">
        <v>632</v>
      </c>
      <c r="E1634">
        <v>12</v>
      </c>
      <c r="F1634">
        <v>20</v>
      </c>
      <c r="G1634">
        <v>1</v>
      </c>
      <c r="H1634">
        <v>42</v>
      </c>
      <c r="I1634">
        <f>Cocina[[#This Row],[Precio Unitario]]*Cocina[[#This Row],[Cantidad Ordenada]]</f>
        <v>20</v>
      </c>
      <c r="J1634">
        <f>(Cocina[[#This Row],[Precio Unitario]]-Cocina[[#This Row],[Costo Unitario]])*Cocina[[#This Row],[Cantidad Ordenada]]</f>
        <v>8</v>
      </c>
      <c r="K1634" s="4">
        <f>Cocina[[#This Row],[Ganancia neta]]/_xlfn.XLOOKUP(Cocina[[#This Row],[Número de Orden]],Sala[Número de Orden],Sala[Monto total],"fracaso",0,1)</f>
        <v>7.0175438596491224E-2</v>
      </c>
      <c r="L1634" t="s">
        <v>608</v>
      </c>
    </row>
    <row r="1635" spans="1:12" x14ac:dyDescent="0.25">
      <c r="A1635">
        <v>664</v>
      </c>
      <c r="B1635">
        <v>20</v>
      </c>
      <c r="C1635" t="s">
        <v>79</v>
      </c>
      <c r="D1635" t="s">
        <v>635</v>
      </c>
      <c r="E1635">
        <v>10</v>
      </c>
      <c r="F1635">
        <v>18</v>
      </c>
      <c r="G1635">
        <v>1</v>
      </c>
      <c r="H1635">
        <v>9</v>
      </c>
      <c r="I1635">
        <f>Cocina[[#This Row],[Precio Unitario]]*Cocina[[#This Row],[Cantidad Ordenada]]</f>
        <v>18</v>
      </c>
      <c r="J1635">
        <f>(Cocina[[#This Row],[Precio Unitario]]-Cocina[[#This Row],[Costo Unitario]])*Cocina[[#This Row],[Cantidad Ordenada]]</f>
        <v>8</v>
      </c>
      <c r="K1635" s="4">
        <f>Cocina[[#This Row],[Ganancia neta]]/_xlfn.XLOOKUP(Cocina[[#This Row],[Número de Orden]],Sala[Número de Orden],Sala[Monto total],"fracaso",0,1)</f>
        <v>6.5573770491803282E-2</v>
      </c>
      <c r="L1635" t="s">
        <v>607</v>
      </c>
    </row>
    <row r="1636" spans="1:12" x14ac:dyDescent="0.25">
      <c r="A1636">
        <v>664</v>
      </c>
      <c r="B1636">
        <v>20</v>
      </c>
      <c r="C1636" t="s">
        <v>112</v>
      </c>
      <c r="D1636" t="s">
        <v>627</v>
      </c>
      <c r="E1636">
        <v>11</v>
      </c>
      <c r="F1636">
        <v>19</v>
      </c>
      <c r="G1636">
        <v>2</v>
      </c>
      <c r="H1636">
        <v>42</v>
      </c>
      <c r="I1636">
        <f>Cocina[[#This Row],[Precio Unitario]]*Cocina[[#This Row],[Cantidad Ordenada]]</f>
        <v>38</v>
      </c>
      <c r="J1636">
        <f>(Cocina[[#This Row],[Precio Unitario]]-Cocina[[#This Row],[Costo Unitario]])*Cocina[[#This Row],[Cantidad Ordenada]]</f>
        <v>16</v>
      </c>
      <c r="K1636" s="4">
        <f>Cocina[[#This Row],[Ganancia neta]]/_xlfn.XLOOKUP(Cocina[[#This Row],[Número de Orden]],Sala[Número de Orden],Sala[Monto total],"fracaso",0,1)</f>
        <v>0.13114754098360656</v>
      </c>
      <c r="L1636" t="s">
        <v>607</v>
      </c>
    </row>
    <row r="1637" spans="1:12" x14ac:dyDescent="0.25">
      <c r="A1637">
        <v>664</v>
      </c>
      <c r="B1637">
        <v>20</v>
      </c>
      <c r="C1637" t="s">
        <v>203</v>
      </c>
      <c r="D1637" t="s">
        <v>630</v>
      </c>
      <c r="E1637">
        <v>13</v>
      </c>
      <c r="F1637">
        <v>22</v>
      </c>
      <c r="G1637">
        <v>3</v>
      </c>
      <c r="H1637">
        <v>48</v>
      </c>
      <c r="I1637">
        <f>Cocina[[#This Row],[Precio Unitario]]*Cocina[[#This Row],[Cantidad Ordenada]]</f>
        <v>66</v>
      </c>
      <c r="J1637">
        <f>(Cocina[[#This Row],[Precio Unitario]]-Cocina[[#This Row],[Costo Unitario]])*Cocina[[#This Row],[Cantidad Ordenada]]</f>
        <v>27</v>
      </c>
      <c r="K1637" s="4">
        <f>Cocina[[#This Row],[Ganancia neta]]/_xlfn.XLOOKUP(Cocina[[#This Row],[Número de Orden]],Sala[Número de Orden],Sala[Monto total],"fracaso",0,1)</f>
        <v>0.22131147540983606</v>
      </c>
      <c r="L1637" t="s">
        <v>608</v>
      </c>
    </row>
    <row r="1638" spans="1:12" x14ac:dyDescent="0.25">
      <c r="A1638">
        <v>665</v>
      </c>
      <c r="B1638">
        <v>6</v>
      </c>
      <c r="C1638" t="s">
        <v>122</v>
      </c>
      <c r="D1638" t="s">
        <v>637</v>
      </c>
      <c r="E1638">
        <v>15</v>
      </c>
      <c r="F1638">
        <v>25</v>
      </c>
      <c r="G1638">
        <v>3</v>
      </c>
      <c r="H1638">
        <v>25</v>
      </c>
      <c r="I1638">
        <f>Cocina[[#This Row],[Precio Unitario]]*Cocina[[#This Row],[Cantidad Ordenada]]</f>
        <v>75</v>
      </c>
      <c r="J1638">
        <f>(Cocina[[#This Row],[Precio Unitario]]-Cocina[[#This Row],[Costo Unitario]])*Cocina[[#This Row],[Cantidad Ordenada]]</f>
        <v>30</v>
      </c>
      <c r="K1638" s="4">
        <f>Cocina[[#This Row],[Ganancia neta]]/_xlfn.XLOOKUP(Cocina[[#This Row],[Número de Orden]],Sala[Número de Orden],Sala[Monto total],"fracaso",0,1)</f>
        <v>0.23255813953488372</v>
      </c>
      <c r="L1638" t="s">
        <v>608</v>
      </c>
    </row>
    <row r="1639" spans="1:12" x14ac:dyDescent="0.25">
      <c r="A1639">
        <v>665</v>
      </c>
      <c r="B1639">
        <v>6</v>
      </c>
      <c r="C1639" t="s">
        <v>106</v>
      </c>
      <c r="D1639" t="s">
        <v>621</v>
      </c>
      <c r="E1639">
        <v>16</v>
      </c>
      <c r="F1639">
        <v>27</v>
      </c>
      <c r="G1639">
        <v>2</v>
      </c>
      <c r="H1639">
        <v>15</v>
      </c>
      <c r="I1639">
        <f>Cocina[[#This Row],[Precio Unitario]]*Cocina[[#This Row],[Cantidad Ordenada]]</f>
        <v>54</v>
      </c>
      <c r="J1639">
        <f>(Cocina[[#This Row],[Precio Unitario]]-Cocina[[#This Row],[Costo Unitario]])*Cocina[[#This Row],[Cantidad Ordenada]]</f>
        <v>22</v>
      </c>
      <c r="K1639" s="4">
        <f>Cocina[[#This Row],[Ganancia neta]]/_xlfn.XLOOKUP(Cocina[[#This Row],[Número de Orden]],Sala[Número de Orden],Sala[Monto total],"fracaso",0,1)</f>
        <v>0.17054263565891473</v>
      </c>
      <c r="L1639" t="s">
        <v>608</v>
      </c>
    </row>
    <row r="1640" spans="1:12" x14ac:dyDescent="0.25">
      <c r="A1640">
        <v>666</v>
      </c>
      <c r="B1640">
        <v>8</v>
      </c>
      <c r="C1640" t="s">
        <v>146</v>
      </c>
      <c r="D1640" t="s">
        <v>632</v>
      </c>
      <c r="E1640">
        <v>12</v>
      </c>
      <c r="F1640">
        <v>20</v>
      </c>
      <c r="G1640">
        <v>2</v>
      </c>
      <c r="H1640">
        <v>27</v>
      </c>
      <c r="I1640">
        <f>Cocina[[#This Row],[Precio Unitario]]*Cocina[[#This Row],[Cantidad Ordenada]]</f>
        <v>40</v>
      </c>
      <c r="J1640">
        <f>(Cocina[[#This Row],[Precio Unitario]]-Cocina[[#This Row],[Costo Unitario]])*Cocina[[#This Row],[Cantidad Ordenada]]</f>
        <v>16</v>
      </c>
      <c r="K1640" s="4">
        <f>Cocina[[#This Row],[Ganancia neta]]/_xlfn.XLOOKUP(Cocina[[#This Row],[Número de Orden]],Sala[Número de Orden],Sala[Monto total],"fracaso",0,1)</f>
        <v>0.4</v>
      </c>
      <c r="L1640" t="s">
        <v>608</v>
      </c>
    </row>
    <row r="1641" spans="1:12" x14ac:dyDescent="0.25">
      <c r="A1641">
        <v>667</v>
      </c>
      <c r="B1641">
        <v>6</v>
      </c>
      <c r="C1641" t="s">
        <v>73</v>
      </c>
      <c r="D1641" t="s">
        <v>623</v>
      </c>
      <c r="E1641">
        <v>22</v>
      </c>
      <c r="F1641">
        <v>36</v>
      </c>
      <c r="G1641">
        <v>1</v>
      </c>
      <c r="H1641">
        <v>12</v>
      </c>
      <c r="I1641">
        <f>Cocina[[#This Row],[Precio Unitario]]*Cocina[[#This Row],[Cantidad Ordenada]]</f>
        <v>36</v>
      </c>
      <c r="J1641">
        <f>(Cocina[[#This Row],[Precio Unitario]]-Cocina[[#This Row],[Costo Unitario]])*Cocina[[#This Row],[Cantidad Ordenada]]</f>
        <v>14</v>
      </c>
      <c r="K1641" s="4">
        <f>Cocina[[#This Row],[Ganancia neta]]/_xlfn.XLOOKUP(Cocina[[#This Row],[Número de Orden]],Sala[Número de Orden],Sala[Monto total],"fracaso",0,1)</f>
        <v>0.3888888888888889</v>
      </c>
      <c r="L1641" t="s">
        <v>607</v>
      </c>
    </row>
    <row r="1642" spans="1:12" x14ac:dyDescent="0.25">
      <c r="A1642">
        <v>668</v>
      </c>
      <c r="B1642">
        <v>12</v>
      </c>
      <c r="C1642" t="s">
        <v>155</v>
      </c>
      <c r="D1642" t="s">
        <v>636</v>
      </c>
      <c r="E1642">
        <v>15</v>
      </c>
      <c r="F1642">
        <v>26</v>
      </c>
      <c r="G1642">
        <v>3</v>
      </c>
      <c r="H1642">
        <v>59</v>
      </c>
      <c r="I1642">
        <f>Cocina[[#This Row],[Precio Unitario]]*Cocina[[#This Row],[Cantidad Ordenada]]</f>
        <v>78</v>
      </c>
      <c r="J1642">
        <f>(Cocina[[#This Row],[Precio Unitario]]-Cocina[[#This Row],[Costo Unitario]])*Cocina[[#This Row],[Cantidad Ordenada]]</f>
        <v>33</v>
      </c>
      <c r="K1642" s="4">
        <f>Cocina[[#This Row],[Ganancia neta]]/_xlfn.XLOOKUP(Cocina[[#This Row],[Número de Orden]],Sala[Número de Orden],Sala[Monto total],"fracaso",0,1)</f>
        <v>0.16417910447761194</v>
      </c>
      <c r="L1642" t="s">
        <v>607</v>
      </c>
    </row>
    <row r="1643" spans="1:12" x14ac:dyDescent="0.25">
      <c r="A1643">
        <v>668</v>
      </c>
      <c r="B1643">
        <v>12</v>
      </c>
      <c r="C1643" t="s">
        <v>158</v>
      </c>
      <c r="D1643" t="s">
        <v>617</v>
      </c>
      <c r="E1643">
        <v>14</v>
      </c>
      <c r="F1643">
        <v>24</v>
      </c>
      <c r="G1643">
        <v>2</v>
      </c>
      <c r="H1643">
        <v>9</v>
      </c>
      <c r="I1643">
        <f>Cocina[[#This Row],[Precio Unitario]]*Cocina[[#This Row],[Cantidad Ordenada]]</f>
        <v>48</v>
      </c>
      <c r="J1643">
        <f>(Cocina[[#This Row],[Precio Unitario]]-Cocina[[#This Row],[Costo Unitario]])*Cocina[[#This Row],[Cantidad Ordenada]]</f>
        <v>20</v>
      </c>
      <c r="K1643" s="4">
        <f>Cocina[[#This Row],[Ganancia neta]]/_xlfn.XLOOKUP(Cocina[[#This Row],[Número de Orden]],Sala[Número de Orden],Sala[Monto total],"fracaso",0,1)</f>
        <v>9.950248756218906E-2</v>
      </c>
      <c r="L1643" t="s">
        <v>608</v>
      </c>
    </row>
    <row r="1644" spans="1:12" x14ac:dyDescent="0.25">
      <c r="A1644">
        <v>668</v>
      </c>
      <c r="B1644">
        <v>12</v>
      </c>
      <c r="C1644" t="s">
        <v>122</v>
      </c>
      <c r="D1644" t="s">
        <v>637</v>
      </c>
      <c r="E1644">
        <v>15</v>
      </c>
      <c r="F1644">
        <v>25</v>
      </c>
      <c r="G1644">
        <v>3</v>
      </c>
      <c r="H1644">
        <v>47</v>
      </c>
      <c r="I1644">
        <f>Cocina[[#This Row],[Precio Unitario]]*Cocina[[#This Row],[Cantidad Ordenada]]</f>
        <v>75</v>
      </c>
      <c r="J1644">
        <f>(Cocina[[#This Row],[Precio Unitario]]-Cocina[[#This Row],[Costo Unitario]])*Cocina[[#This Row],[Cantidad Ordenada]]</f>
        <v>30</v>
      </c>
      <c r="K1644" s="4">
        <f>Cocina[[#This Row],[Ganancia neta]]/_xlfn.XLOOKUP(Cocina[[#This Row],[Número de Orden]],Sala[Número de Orden],Sala[Monto total],"fracaso",0,1)</f>
        <v>0.14925373134328357</v>
      </c>
      <c r="L1644" t="s">
        <v>607</v>
      </c>
    </row>
    <row r="1645" spans="1:12" x14ac:dyDescent="0.25">
      <c r="A1645">
        <v>669</v>
      </c>
      <c r="B1645">
        <v>10</v>
      </c>
      <c r="C1645" t="s">
        <v>116</v>
      </c>
      <c r="D1645" t="s">
        <v>620</v>
      </c>
      <c r="E1645">
        <v>19</v>
      </c>
      <c r="F1645">
        <v>31</v>
      </c>
      <c r="G1645">
        <v>1</v>
      </c>
      <c r="H1645">
        <v>13</v>
      </c>
      <c r="I1645">
        <f>Cocina[[#This Row],[Precio Unitario]]*Cocina[[#This Row],[Cantidad Ordenada]]</f>
        <v>31</v>
      </c>
      <c r="J1645">
        <f>(Cocina[[#This Row],[Precio Unitario]]-Cocina[[#This Row],[Costo Unitario]])*Cocina[[#This Row],[Cantidad Ordenada]]</f>
        <v>12</v>
      </c>
      <c r="K1645" s="4">
        <f>Cocina[[#This Row],[Ganancia neta]]/_xlfn.XLOOKUP(Cocina[[#This Row],[Número de Orden]],Sala[Número de Orden],Sala[Monto total],"fracaso",0,1)</f>
        <v>6.6298342541436461E-2</v>
      </c>
      <c r="L1645" t="s">
        <v>608</v>
      </c>
    </row>
    <row r="1646" spans="1:12" x14ac:dyDescent="0.25">
      <c r="A1646">
        <v>669</v>
      </c>
      <c r="B1646">
        <v>10</v>
      </c>
      <c r="C1646" t="s">
        <v>106</v>
      </c>
      <c r="D1646" t="s">
        <v>621</v>
      </c>
      <c r="E1646">
        <v>16</v>
      </c>
      <c r="F1646">
        <v>27</v>
      </c>
      <c r="G1646">
        <v>2</v>
      </c>
      <c r="H1646">
        <v>14</v>
      </c>
      <c r="I1646">
        <f>Cocina[[#This Row],[Precio Unitario]]*Cocina[[#This Row],[Cantidad Ordenada]]</f>
        <v>54</v>
      </c>
      <c r="J1646">
        <f>(Cocina[[#This Row],[Precio Unitario]]-Cocina[[#This Row],[Costo Unitario]])*Cocina[[#This Row],[Cantidad Ordenada]]</f>
        <v>22</v>
      </c>
      <c r="K1646" s="4">
        <f>Cocina[[#This Row],[Ganancia neta]]/_xlfn.XLOOKUP(Cocina[[#This Row],[Número de Orden]],Sala[Número de Orden],Sala[Monto total],"fracaso",0,1)</f>
        <v>0.12154696132596685</v>
      </c>
      <c r="L1646" t="s">
        <v>608</v>
      </c>
    </row>
    <row r="1647" spans="1:12" x14ac:dyDescent="0.25">
      <c r="A1647">
        <v>669</v>
      </c>
      <c r="B1647">
        <v>10</v>
      </c>
      <c r="C1647" t="s">
        <v>247</v>
      </c>
      <c r="D1647" t="s">
        <v>629</v>
      </c>
      <c r="E1647">
        <v>19</v>
      </c>
      <c r="F1647">
        <v>32</v>
      </c>
      <c r="G1647">
        <v>3</v>
      </c>
      <c r="H1647">
        <v>42</v>
      </c>
      <c r="I1647">
        <f>Cocina[[#This Row],[Precio Unitario]]*Cocina[[#This Row],[Cantidad Ordenada]]</f>
        <v>96</v>
      </c>
      <c r="J1647">
        <f>(Cocina[[#This Row],[Precio Unitario]]-Cocina[[#This Row],[Costo Unitario]])*Cocina[[#This Row],[Cantidad Ordenada]]</f>
        <v>39</v>
      </c>
      <c r="K1647" s="4">
        <f>Cocina[[#This Row],[Ganancia neta]]/_xlfn.XLOOKUP(Cocina[[#This Row],[Número de Orden]],Sala[Número de Orden],Sala[Monto total],"fracaso",0,1)</f>
        <v>0.21546961325966851</v>
      </c>
      <c r="L1647" t="s">
        <v>608</v>
      </c>
    </row>
    <row r="1648" spans="1:12" x14ac:dyDescent="0.25">
      <c r="A1648">
        <v>670</v>
      </c>
      <c r="B1648">
        <v>16</v>
      </c>
      <c r="C1648" t="s">
        <v>200</v>
      </c>
      <c r="D1648" t="s">
        <v>633</v>
      </c>
      <c r="E1648">
        <v>14</v>
      </c>
      <c r="F1648">
        <v>23</v>
      </c>
      <c r="G1648">
        <v>1</v>
      </c>
      <c r="H1648">
        <v>26</v>
      </c>
      <c r="I1648">
        <f>Cocina[[#This Row],[Precio Unitario]]*Cocina[[#This Row],[Cantidad Ordenada]]</f>
        <v>23</v>
      </c>
      <c r="J1648">
        <f>(Cocina[[#This Row],[Precio Unitario]]-Cocina[[#This Row],[Costo Unitario]])*Cocina[[#This Row],[Cantidad Ordenada]]</f>
        <v>9</v>
      </c>
      <c r="K1648" s="4">
        <f>Cocina[[#This Row],[Ganancia neta]]/_xlfn.XLOOKUP(Cocina[[#This Row],[Número de Orden]],Sala[Número de Orden],Sala[Monto total],"fracaso",0,1)</f>
        <v>9.5744680851063829E-2</v>
      </c>
      <c r="L1648" t="s">
        <v>607</v>
      </c>
    </row>
    <row r="1649" spans="1:12" x14ac:dyDescent="0.25">
      <c r="A1649">
        <v>670</v>
      </c>
      <c r="B1649">
        <v>16</v>
      </c>
      <c r="C1649" t="s">
        <v>26</v>
      </c>
      <c r="D1649" t="s">
        <v>628</v>
      </c>
      <c r="E1649">
        <v>21</v>
      </c>
      <c r="F1649">
        <v>35</v>
      </c>
      <c r="G1649">
        <v>1</v>
      </c>
      <c r="H1649">
        <v>17</v>
      </c>
      <c r="I1649">
        <f>Cocina[[#This Row],[Precio Unitario]]*Cocina[[#This Row],[Cantidad Ordenada]]</f>
        <v>35</v>
      </c>
      <c r="J1649">
        <f>(Cocina[[#This Row],[Precio Unitario]]-Cocina[[#This Row],[Costo Unitario]])*Cocina[[#This Row],[Cantidad Ordenada]]</f>
        <v>14</v>
      </c>
      <c r="K1649" s="4">
        <f>Cocina[[#This Row],[Ganancia neta]]/_xlfn.XLOOKUP(Cocina[[#This Row],[Número de Orden]],Sala[Número de Orden],Sala[Monto total],"fracaso",0,1)</f>
        <v>0.14893617021276595</v>
      </c>
      <c r="L1649" t="s">
        <v>608</v>
      </c>
    </row>
    <row r="1650" spans="1:12" x14ac:dyDescent="0.25">
      <c r="A1650">
        <v>670</v>
      </c>
      <c r="B1650">
        <v>16</v>
      </c>
      <c r="C1650" t="s">
        <v>73</v>
      </c>
      <c r="D1650" t="s">
        <v>623</v>
      </c>
      <c r="E1650">
        <v>22</v>
      </c>
      <c r="F1650">
        <v>36</v>
      </c>
      <c r="G1650">
        <v>1</v>
      </c>
      <c r="H1650">
        <v>32</v>
      </c>
      <c r="I1650">
        <f>Cocina[[#This Row],[Precio Unitario]]*Cocina[[#This Row],[Cantidad Ordenada]]</f>
        <v>36</v>
      </c>
      <c r="J1650">
        <f>(Cocina[[#This Row],[Precio Unitario]]-Cocina[[#This Row],[Costo Unitario]])*Cocina[[#This Row],[Cantidad Ordenada]]</f>
        <v>14</v>
      </c>
      <c r="K1650" s="4">
        <f>Cocina[[#This Row],[Ganancia neta]]/_xlfn.XLOOKUP(Cocina[[#This Row],[Número de Orden]],Sala[Número de Orden],Sala[Monto total],"fracaso",0,1)</f>
        <v>0.14893617021276595</v>
      </c>
      <c r="L1650" t="s">
        <v>607</v>
      </c>
    </row>
    <row r="1651" spans="1:12" x14ac:dyDescent="0.25">
      <c r="A1651">
        <v>671</v>
      </c>
      <c r="B1651">
        <v>17</v>
      </c>
      <c r="C1651" t="s">
        <v>26</v>
      </c>
      <c r="D1651" t="s">
        <v>628</v>
      </c>
      <c r="E1651">
        <v>21</v>
      </c>
      <c r="F1651">
        <v>35</v>
      </c>
      <c r="G1651">
        <v>2</v>
      </c>
      <c r="H1651">
        <v>29</v>
      </c>
      <c r="I1651">
        <f>Cocina[[#This Row],[Precio Unitario]]*Cocina[[#This Row],[Cantidad Ordenada]]</f>
        <v>70</v>
      </c>
      <c r="J1651">
        <f>(Cocina[[#This Row],[Precio Unitario]]-Cocina[[#This Row],[Costo Unitario]])*Cocina[[#This Row],[Cantidad Ordenada]]</f>
        <v>28</v>
      </c>
      <c r="K1651" s="4">
        <f>Cocina[[#This Row],[Ganancia neta]]/_xlfn.XLOOKUP(Cocina[[#This Row],[Número de Orden]],Sala[Número de Orden],Sala[Monto total],"fracaso",0,1)</f>
        <v>0.15217391304347827</v>
      </c>
      <c r="L1651" t="s">
        <v>608</v>
      </c>
    </row>
    <row r="1652" spans="1:12" x14ac:dyDescent="0.25">
      <c r="A1652">
        <v>671</v>
      </c>
      <c r="B1652">
        <v>17</v>
      </c>
      <c r="C1652" t="s">
        <v>122</v>
      </c>
      <c r="D1652" t="s">
        <v>637</v>
      </c>
      <c r="E1652">
        <v>15</v>
      </c>
      <c r="F1652">
        <v>25</v>
      </c>
      <c r="G1652">
        <v>2</v>
      </c>
      <c r="H1652">
        <v>32</v>
      </c>
      <c r="I1652">
        <f>Cocina[[#This Row],[Precio Unitario]]*Cocina[[#This Row],[Cantidad Ordenada]]</f>
        <v>50</v>
      </c>
      <c r="J1652">
        <f>(Cocina[[#This Row],[Precio Unitario]]-Cocina[[#This Row],[Costo Unitario]])*Cocina[[#This Row],[Cantidad Ordenada]]</f>
        <v>20</v>
      </c>
      <c r="K1652" s="4">
        <f>Cocina[[#This Row],[Ganancia neta]]/_xlfn.XLOOKUP(Cocina[[#This Row],[Número de Orden]],Sala[Número de Orden],Sala[Monto total],"fracaso",0,1)</f>
        <v>0.10869565217391304</v>
      </c>
      <c r="L1652" t="s">
        <v>607</v>
      </c>
    </row>
    <row r="1653" spans="1:12" x14ac:dyDescent="0.25">
      <c r="A1653">
        <v>671</v>
      </c>
      <c r="B1653">
        <v>17</v>
      </c>
      <c r="C1653" t="s">
        <v>247</v>
      </c>
      <c r="D1653" t="s">
        <v>629</v>
      </c>
      <c r="E1653">
        <v>19</v>
      </c>
      <c r="F1653">
        <v>32</v>
      </c>
      <c r="G1653">
        <v>2</v>
      </c>
      <c r="H1653">
        <v>34</v>
      </c>
      <c r="I1653">
        <f>Cocina[[#This Row],[Precio Unitario]]*Cocina[[#This Row],[Cantidad Ordenada]]</f>
        <v>64</v>
      </c>
      <c r="J1653">
        <f>(Cocina[[#This Row],[Precio Unitario]]-Cocina[[#This Row],[Costo Unitario]])*Cocina[[#This Row],[Cantidad Ordenada]]</f>
        <v>26</v>
      </c>
      <c r="K1653" s="4">
        <f>Cocina[[#This Row],[Ganancia neta]]/_xlfn.XLOOKUP(Cocina[[#This Row],[Número de Orden]],Sala[Número de Orden],Sala[Monto total],"fracaso",0,1)</f>
        <v>0.14130434782608695</v>
      </c>
      <c r="L1653" t="s">
        <v>607</v>
      </c>
    </row>
    <row r="1654" spans="1:12" x14ac:dyDescent="0.25">
      <c r="A1654">
        <v>672</v>
      </c>
      <c r="B1654">
        <v>12</v>
      </c>
      <c r="C1654" t="s">
        <v>247</v>
      </c>
      <c r="D1654" t="s">
        <v>629</v>
      </c>
      <c r="E1654">
        <v>19</v>
      </c>
      <c r="F1654">
        <v>32</v>
      </c>
      <c r="G1654">
        <v>3</v>
      </c>
      <c r="H1654">
        <v>21</v>
      </c>
      <c r="I1654">
        <f>Cocina[[#This Row],[Precio Unitario]]*Cocina[[#This Row],[Cantidad Ordenada]]</f>
        <v>96</v>
      </c>
      <c r="J1654">
        <f>(Cocina[[#This Row],[Precio Unitario]]-Cocina[[#This Row],[Costo Unitario]])*Cocina[[#This Row],[Cantidad Ordenada]]</f>
        <v>39</v>
      </c>
      <c r="K1654" s="4">
        <f>Cocina[[#This Row],[Ganancia neta]]/_xlfn.XLOOKUP(Cocina[[#This Row],[Número de Orden]],Sala[Número de Orden],Sala[Monto total],"fracaso",0,1)</f>
        <v>0.24840764331210191</v>
      </c>
      <c r="L1654" t="s">
        <v>608</v>
      </c>
    </row>
    <row r="1655" spans="1:12" x14ac:dyDescent="0.25">
      <c r="A1655">
        <v>672</v>
      </c>
      <c r="B1655">
        <v>12</v>
      </c>
      <c r="C1655" t="s">
        <v>70</v>
      </c>
      <c r="D1655" t="s">
        <v>634</v>
      </c>
      <c r="E1655">
        <v>13</v>
      </c>
      <c r="F1655">
        <v>21</v>
      </c>
      <c r="G1655">
        <v>2</v>
      </c>
      <c r="H1655">
        <v>15</v>
      </c>
      <c r="I1655">
        <f>Cocina[[#This Row],[Precio Unitario]]*Cocina[[#This Row],[Cantidad Ordenada]]</f>
        <v>42</v>
      </c>
      <c r="J1655">
        <f>(Cocina[[#This Row],[Precio Unitario]]-Cocina[[#This Row],[Costo Unitario]])*Cocina[[#This Row],[Cantidad Ordenada]]</f>
        <v>16</v>
      </c>
      <c r="K1655" s="4">
        <f>Cocina[[#This Row],[Ganancia neta]]/_xlfn.XLOOKUP(Cocina[[#This Row],[Número de Orden]],Sala[Número de Orden],Sala[Monto total],"fracaso",0,1)</f>
        <v>0.10191082802547771</v>
      </c>
      <c r="L1655" t="s">
        <v>608</v>
      </c>
    </row>
    <row r="1656" spans="1:12" x14ac:dyDescent="0.25">
      <c r="A1656">
        <v>672</v>
      </c>
      <c r="B1656">
        <v>12</v>
      </c>
      <c r="C1656" t="s">
        <v>112</v>
      </c>
      <c r="D1656" t="s">
        <v>627</v>
      </c>
      <c r="E1656">
        <v>11</v>
      </c>
      <c r="F1656">
        <v>19</v>
      </c>
      <c r="G1656">
        <v>1</v>
      </c>
      <c r="H1656">
        <v>42</v>
      </c>
      <c r="I1656">
        <f>Cocina[[#This Row],[Precio Unitario]]*Cocina[[#This Row],[Cantidad Ordenada]]</f>
        <v>19</v>
      </c>
      <c r="J1656">
        <f>(Cocina[[#This Row],[Precio Unitario]]-Cocina[[#This Row],[Costo Unitario]])*Cocina[[#This Row],[Cantidad Ordenada]]</f>
        <v>8</v>
      </c>
      <c r="K1656" s="4">
        <f>Cocina[[#This Row],[Ganancia neta]]/_xlfn.XLOOKUP(Cocina[[#This Row],[Número de Orden]],Sala[Número de Orden],Sala[Monto total],"fracaso",0,1)</f>
        <v>5.0955414012738856E-2</v>
      </c>
      <c r="L1656" t="s">
        <v>607</v>
      </c>
    </row>
    <row r="1657" spans="1:12" x14ac:dyDescent="0.25">
      <c r="A1657">
        <v>673</v>
      </c>
      <c r="B1657">
        <v>20</v>
      </c>
      <c r="C1657" t="s">
        <v>48</v>
      </c>
      <c r="D1657" t="s">
        <v>622</v>
      </c>
      <c r="E1657">
        <v>25</v>
      </c>
      <c r="F1657">
        <v>40</v>
      </c>
      <c r="G1657">
        <v>2</v>
      </c>
      <c r="H1657">
        <v>13</v>
      </c>
      <c r="I1657">
        <f>Cocina[[#This Row],[Precio Unitario]]*Cocina[[#This Row],[Cantidad Ordenada]]</f>
        <v>80</v>
      </c>
      <c r="J1657">
        <f>(Cocina[[#This Row],[Precio Unitario]]-Cocina[[#This Row],[Costo Unitario]])*Cocina[[#This Row],[Cantidad Ordenada]]</f>
        <v>30</v>
      </c>
      <c r="K1657" s="4">
        <f>Cocina[[#This Row],[Ganancia neta]]/_xlfn.XLOOKUP(Cocina[[#This Row],[Número de Orden]],Sala[Número de Orden],Sala[Monto total],"fracaso",0,1)</f>
        <v>0.11320754716981132</v>
      </c>
      <c r="L1657" t="s">
        <v>607</v>
      </c>
    </row>
    <row r="1658" spans="1:12" x14ac:dyDescent="0.25">
      <c r="A1658">
        <v>673</v>
      </c>
      <c r="B1658">
        <v>20</v>
      </c>
      <c r="C1658" t="s">
        <v>26</v>
      </c>
      <c r="D1658" t="s">
        <v>628</v>
      </c>
      <c r="E1658">
        <v>21</v>
      </c>
      <c r="F1658">
        <v>35</v>
      </c>
      <c r="G1658">
        <v>3</v>
      </c>
      <c r="H1658">
        <v>10</v>
      </c>
      <c r="I1658">
        <f>Cocina[[#This Row],[Precio Unitario]]*Cocina[[#This Row],[Cantidad Ordenada]]</f>
        <v>105</v>
      </c>
      <c r="J1658">
        <f>(Cocina[[#This Row],[Precio Unitario]]-Cocina[[#This Row],[Costo Unitario]])*Cocina[[#This Row],[Cantidad Ordenada]]</f>
        <v>42</v>
      </c>
      <c r="K1658" s="4">
        <f>Cocina[[#This Row],[Ganancia neta]]/_xlfn.XLOOKUP(Cocina[[#This Row],[Número de Orden]],Sala[Número de Orden],Sala[Monto total],"fracaso",0,1)</f>
        <v>0.15849056603773584</v>
      </c>
      <c r="L1658" t="s">
        <v>607</v>
      </c>
    </row>
    <row r="1659" spans="1:12" x14ac:dyDescent="0.25">
      <c r="A1659">
        <v>673</v>
      </c>
      <c r="B1659">
        <v>20</v>
      </c>
      <c r="C1659" t="s">
        <v>68</v>
      </c>
      <c r="D1659" t="s">
        <v>619</v>
      </c>
      <c r="E1659">
        <v>18</v>
      </c>
      <c r="F1659">
        <v>30</v>
      </c>
      <c r="G1659">
        <v>1</v>
      </c>
      <c r="H1659">
        <v>25</v>
      </c>
      <c r="I1659">
        <f>Cocina[[#This Row],[Precio Unitario]]*Cocina[[#This Row],[Cantidad Ordenada]]</f>
        <v>30</v>
      </c>
      <c r="J1659">
        <f>(Cocina[[#This Row],[Precio Unitario]]-Cocina[[#This Row],[Costo Unitario]])*Cocina[[#This Row],[Cantidad Ordenada]]</f>
        <v>12</v>
      </c>
      <c r="K1659" s="4">
        <f>Cocina[[#This Row],[Ganancia neta]]/_xlfn.XLOOKUP(Cocina[[#This Row],[Número de Orden]],Sala[Número de Orden],Sala[Monto total],"fracaso",0,1)</f>
        <v>4.5283018867924525E-2</v>
      </c>
      <c r="L1659" t="s">
        <v>607</v>
      </c>
    </row>
    <row r="1660" spans="1:12" x14ac:dyDescent="0.25">
      <c r="A1660">
        <v>673</v>
      </c>
      <c r="B1660">
        <v>20</v>
      </c>
      <c r="C1660" t="s">
        <v>122</v>
      </c>
      <c r="D1660" t="s">
        <v>637</v>
      </c>
      <c r="E1660">
        <v>15</v>
      </c>
      <c r="F1660">
        <v>25</v>
      </c>
      <c r="G1660">
        <v>2</v>
      </c>
      <c r="H1660">
        <v>45</v>
      </c>
      <c r="I1660">
        <f>Cocina[[#This Row],[Precio Unitario]]*Cocina[[#This Row],[Cantidad Ordenada]]</f>
        <v>50</v>
      </c>
      <c r="J1660">
        <f>(Cocina[[#This Row],[Precio Unitario]]-Cocina[[#This Row],[Costo Unitario]])*Cocina[[#This Row],[Cantidad Ordenada]]</f>
        <v>20</v>
      </c>
      <c r="K1660" s="4">
        <f>Cocina[[#This Row],[Ganancia neta]]/_xlfn.XLOOKUP(Cocina[[#This Row],[Número de Orden]],Sala[Número de Orden],Sala[Monto total],"fracaso",0,1)</f>
        <v>7.5471698113207544E-2</v>
      </c>
      <c r="L1660" t="s">
        <v>608</v>
      </c>
    </row>
    <row r="1661" spans="1:12" x14ac:dyDescent="0.25">
      <c r="A1661">
        <v>674</v>
      </c>
      <c r="B1661">
        <v>1</v>
      </c>
      <c r="C1661" t="s">
        <v>112</v>
      </c>
      <c r="D1661" t="s">
        <v>627</v>
      </c>
      <c r="E1661">
        <v>11</v>
      </c>
      <c r="F1661">
        <v>19</v>
      </c>
      <c r="G1661">
        <v>3</v>
      </c>
      <c r="H1661">
        <v>11</v>
      </c>
      <c r="I1661">
        <f>Cocina[[#This Row],[Precio Unitario]]*Cocina[[#This Row],[Cantidad Ordenada]]</f>
        <v>57</v>
      </c>
      <c r="J1661">
        <f>(Cocina[[#This Row],[Precio Unitario]]-Cocina[[#This Row],[Costo Unitario]])*Cocina[[#This Row],[Cantidad Ordenada]]</f>
        <v>24</v>
      </c>
      <c r="K1661" s="4">
        <f>Cocina[[#This Row],[Ganancia neta]]/_xlfn.XLOOKUP(Cocina[[#This Row],[Número de Orden]],Sala[Número de Orden],Sala[Monto total],"fracaso",0,1)</f>
        <v>0.11594202898550725</v>
      </c>
      <c r="L1661" t="s">
        <v>607</v>
      </c>
    </row>
    <row r="1662" spans="1:12" x14ac:dyDescent="0.25">
      <c r="A1662">
        <v>674</v>
      </c>
      <c r="B1662">
        <v>1</v>
      </c>
      <c r="C1662" t="s">
        <v>79</v>
      </c>
      <c r="D1662" t="s">
        <v>635</v>
      </c>
      <c r="E1662">
        <v>10</v>
      </c>
      <c r="F1662">
        <v>18</v>
      </c>
      <c r="G1662">
        <v>2</v>
      </c>
      <c r="H1662">
        <v>12</v>
      </c>
      <c r="I1662">
        <f>Cocina[[#This Row],[Precio Unitario]]*Cocina[[#This Row],[Cantidad Ordenada]]</f>
        <v>36</v>
      </c>
      <c r="J1662">
        <f>(Cocina[[#This Row],[Precio Unitario]]-Cocina[[#This Row],[Costo Unitario]])*Cocina[[#This Row],[Cantidad Ordenada]]</f>
        <v>16</v>
      </c>
      <c r="K1662" s="4">
        <f>Cocina[[#This Row],[Ganancia neta]]/_xlfn.XLOOKUP(Cocina[[#This Row],[Número de Orden]],Sala[Número de Orden],Sala[Monto total],"fracaso",0,1)</f>
        <v>7.7294685990338161E-2</v>
      </c>
      <c r="L1662" t="s">
        <v>607</v>
      </c>
    </row>
    <row r="1663" spans="1:12" x14ac:dyDescent="0.25">
      <c r="A1663">
        <v>674</v>
      </c>
      <c r="B1663">
        <v>1</v>
      </c>
      <c r="C1663" t="s">
        <v>116</v>
      </c>
      <c r="D1663" t="s">
        <v>620</v>
      </c>
      <c r="E1663">
        <v>19</v>
      </c>
      <c r="F1663">
        <v>31</v>
      </c>
      <c r="G1663">
        <v>3</v>
      </c>
      <c r="H1663">
        <v>7</v>
      </c>
      <c r="I1663">
        <f>Cocina[[#This Row],[Precio Unitario]]*Cocina[[#This Row],[Cantidad Ordenada]]</f>
        <v>93</v>
      </c>
      <c r="J1663">
        <f>(Cocina[[#This Row],[Precio Unitario]]-Cocina[[#This Row],[Costo Unitario]])*Cocina[[#This Row],[Cantidad Ordenada]]</f>
        <v>36</v>
      </c>
      <c r="K1663" s="4">
        <f>Cocina[[#This Row],[Ganancia neta]]/_xlfn.XLOOKUP(Cocina[[#This Row],[Número de Orden]],Sala[Número de Orden],Sala[Monto total],"fracaso",0,1)</f>
        <v>0.17391304347826086</v>
      </c>
      <c r="L1663" t="s">
        <v>608</v>
      </c>
    </row>
    <row r="1664" spans="1:12" x14ac:dyDescent="0.25">
      <c r="A1664">
        <v>674</v>
      </c>
      <c r="B1664">
        <v>1</v>
      </c>
      <c r="C1664" t="s">
        <v>70</v>
      </c>
      <c r="D1664" t="s">
        <v>634</v>
      </c>
      <c r="E1664">
        <v>13</v>
      </c>
      <c r="F1664">
        <v>21</v>
      </c>
      <c r="G1664">
        <v>1</v>
      </c>
      <c r="H1664">
        <v>35</v>
      </c>
      <c r="I1664">
        <f>Cocina[[#This Row],[Precio Unitario]]*Cocina[[#This Row],[Cantidad Ordenada]]</f>
        <v>21</v>
      </c>
      <c r="J1664">
        <f>(Cocina[[#This Row],[Precio Unitario]]-Cocina[[#This Row],[Costo Unitario]])*Cocina[[#This Row],[Cantidad Ordenada]]</f>
        <v>8</v>
      </c>
      <c r="K1664" s="4">
        <f>Cocina[[#This Row],[Ganancia neta]]/_xlfn.XLOOKUP(Cocina[[#This Row],[Número de Orden]],Sala[Número de Orden],Sala[Monto total],"fracaso",0,1)</f>
        <v>3.864734299516908E-2</v>
      </c>
      <c r="L1664" t="s">
        <v>607</v>
      </c>
    </row>
    <row r="1665" spans="1:12" x14ac:dyDescent="0.25">
      <c r="A1665">
        <v>675</v>
      </c>
      <c r="B1665">
        <v>5</v>
      </c>
      <c r="C1665" t="s">
        <v>122</v>
      </c>
      <c r="D1665" t="s">
        <v>637</v>
      </c>
      <c r="E1665">
        <v>15</v>
      </c>
      <c r="F1665">
        <v>25</v>
      </c>
      <c r="G1665">
        <v>1</v>
      </c>
      <c r="H1665">
        <v>8</v>
      </c>
      <c r="I1665">
        <f>Cocina[[#This Row],[Precio Unitario]]*Cocina[[#This Row],[Cantidad Ordenada]]</f>
        <v>25</v>
      </c>
      <c r="J1665">
        <f>(Cocina[[#This Row],[Precio Unitario]]-Cocina[[#This Row],[Costo Unitario]])*Cocina[[#This Row],[Cantidad Ordenada]]</f>
        <v>10</v>
      </c>
      <c r="K1665" s="4">
        <f>Cocina[[#This Row],[Ganancia neta]]/_xlfn.XLOOKUP(Cocina[[#This Row],[Número de Orden]],Sala[Número de Orden],Sala[Monto total],"fracaso",0,1)</f>
        <v>5.181347150259067E-2</v>
      </c>
      <c r="L1665" t="s">
        <v>607</v>
      </c>
    </row>
    <row r="1666" spans="1:12" x14ac:dyDescent="0.25">
      <c r="A1666">
        <v>675</v>
      </c>
      <c r="B1666">
        <v>5</v>
      </c>
      <c r="C1666" t="s">
        <v>146</v>
      </c>
      <c r="D1666" t="s">
        <v>632</v>
      </c>
      <c r="E1666">
        <v>12</v>
      </c>
      <c r="F1666">
        <v>20</v>
      </c>
      <c r="G1666">
        <v>3</v>
      </c>
      <c r="H1666">
        <v>54</v>
      </c>
      <c r="I1666">
        <f>Cocina[[#This Row],[Precio Unitario]]*Cocina[[#This Row],[Cantidad Ordenada]]</f>
        <v>60</v>
      </c>
      <c r="J1666">
        <f>(Cocina[[#This Row],[Precio Unitario]]-Cocina[[#This Row],[Costo Unitario]])*Cocina[[#This Row],[Cantidad Ordenada]]</f>
        <v>24</v>
      </c>
      <c r="K1666" s="4">
        <f>Cocina[[#This Row],[Ganancia neta]]/_xlfn.XLOOKUP(Cocina[[#This Row],[Número de Orden]],Sala[Número de Orden],Sala[Monto total],"fracaso",0,1)</f>
        <v>0.12435233160621761</v>
      </c>
      <c r="L1666" t="s">
        <v>608</v>
      </c>
    </row>
    <row r="1667" spans="1:12" x14ac:dyDescent="0.25">
      <c r="A1667">
        <v>675</v>
      </c>
      <c r="B1667">
        <v>5</v>
      </c>
      <c r="C1667" t="s">
        <v>73</v>
      </c>
      <c r="D1667" t="s">
        <v>623</v>
      </c>
      <c r="E1667">
        <v>22</v>
      </c>
      <c r="F1667">
        <v>36</v>
      </c>
      <c r="G1667">
        <v>3</v>
      </c>
      <c r="H1667">
        <v>59</v>
      </c>
      <c r="I1667">
        <f>Cocina[[#This Row],[Precio Unitario]]*Cocina[[#This Row],[Cantidad Ordenada]]</f>
        <v>108</v>
      </c>
      <c r="J1667">
        <f>(Cocina[[#This Row],[Precio Unitario]]-Cocina[[#This Row],[Costo Unitario]])*Cocina[[#This Row],[Cantidad Ordenada]]</f>
        <v>42</v>
      </c>
      <c r="K1667" s="4">
        <f>Cocina[[#This Row],[Ganancia neta]]/_xlfn.XLOOKUP(Cocina[[#This Row],[Número de Orden]],Sala[Número de Orden],Sala[Monto total],"fracaso",0,1)</f>
        <v>0.21761658031088082</v>
      </c>
      <c r="L1667" t="s">
        <v>607</v>
      </c>
    </row>
    <row r="1668" spans="1:12" x14ac:dyDescent="0.25">
      <c r="A1668">
        <v>676</v>
      </c>
      <c r="B1668">
        <v>7</v>
      </c>
      <c r="C1668" t="s">
        <v>116</v>
      </c>
      <c r="D1668" t="s">
        <v>620</v>
      </c>
      <c r="E1668">
        <v>19</v>
      </c>
      <c r="F1668">
        <v>31</v>
      </c>
      <c r="G1668">
        <v>1</v>
      </c>
      <c r="H1668">
        <v>45</v>
      </c>
      <c r="I1668">
        <f>Cocina[[#This Row],[Precio Unitario]]*Cocina[[#This Row],[Cantidad Ordenada]]</f>
        <v>31</v>
      </c>
      <c r="J1668">
        <f>(Cocina[[#This Row],[Precio Unitario]]-Cocina[[#This Row],[Costo Unitario]])*Cocina[[#This Row],[Cantidad Ordenada]]</f>
        <v>12</v>
      </c>
      <c r="K1668" s="4">
        <f>Cocina[[#This Row],[Ganancia neta]]/_xlfn.XLOOKUP(Cocina[[#This Row],[Número de Orden]],Sala[Número de Orden],Sala[Monto total],"fracaso",0,1)</f>
        <v>9.6774193548387094E-2</v>
      </c>
      <c r="L1668" t="s">
        <v>607</v>
      </c>
    </row>
    <row r="1669" spans="1:12" x14ac:dyDescent="0.25">
      <c r="A1669">
        <v>676</v>
      </c>
      <c r="B1669">
        <v>7</v>
      </c>
      <c r="C1669" t="s">
        <v>200</v>
      </c>
      <c r="D1669" t="s">
        <v>633</v>
      </c>
      <c r="E1669">
        <v>14</v>
      </c>
      <c r="F1669">
        <v>23</v>
      </c>
      <c r="G1669">
        <v>1</v>
      </c>
      <c r="H1669">
        <v>40</v>
      </c>
      <c r="I1669">
        <f>Cocina[[#This Row],[Precio Unitario]]*Cocina[[#This Row],[Cantidad Ordenada]]</f>
        <v>23</v>
      </c>
      <c r="J1669">
        <f>(Cocina[[#This Row],[Precio Unitario]]-Cocina[[#This Row],[Costo Unitario]])*Cocina[[#This Row],[Cantidad Ordenada]]</f>
        <v>9</v>
      </c>
      <c r="K1669" s="4">
        <f>Cocina[[#This Row],[Ganancia neta]]/_xlfn.XLOOKUP(Cocina[[#This Row],[Número de Orden]],Sala[Número de Orden],Sala[Monto total],"fracaso",0,1)</f>
        <v>7.2580645161290328E-2</v>
      </c>
      <c r="L1669" t="s">
        <v>608</v>
      </c>
    </row>
    <row r="1670" spans="1:12" x14ac:dyDescent="0.25">
      <c r="A1670">
        <v>676</v>
      </c>
      <c r="B1670">
        <v>7</v>
      </c>
      <c r="C1670" t="s">
        <v>42</v>
      </c>
      <c r="D1670" t="s">
        <v>626</v>
      </c>
      <c r="E1670">
        <v>16</v>
      </c>
      <c r="F1670">
        <v>28</v>
      </c>
      <c r="G1670">
        <v>1</v>
      </c>
      <c r="H1670">
        <v>12</v>
      </c>
      <c r="I1670">
        <f>Cocina[[#This Row],[Precio Unitario]]*Cocina[[#This Row],[Cantidad Ordenada]]</f>
        <v>28</v>
      </c>
      <c r="J1670">
        <f>(Cocina[[#This Row],[Precio Unitario]]-Cocina[[#This Row],[Costo Unitario]])*Cocina[[#This Row],[Cantidad Ordenada]]</f>
        <v>12</v>
      </c>
      <c r="K1670" s="4">
        <f>Cocina[[#This Row],[Ganancia neta]]/_xlfn.XLOOKUP(Cocina[[#This Row],[Número de Orden]],Sala[Número de Orden],Sala[Monto total],"fracaso",0,1)</f>
        <v>9.6774193548387094E-2</v>
      </c>
      <c r="L1670" t="s">
        <v>608</v>
      </c>
    </row>
    <row r="1671" spans="1:12" x14ac:dyDescent="0.25">
      <c r="A1671">
        <v>676</v>
      </c>
      <c r="B1671">
        <v>7</v>
      </c>
      <c r="C1671" t="s">
        <v>70</v>
      </c>
      <c r="D1671" t="s">
        <v>634</v>
      </c>
      <c r="E1671">
        <v>13</v>
      </c>
      <c r="F1671">
        <v>21</v>
      </c>
      <c r="G1671">
        <v>2</v>
      </c>
      <c r="H1671">
        <v>24</v>
      </c>
      <c r="I1671">
        <f>Cocina[[#This Row],[Precio Unitario]]*Cocina[[#This Row],[Cantidad Ordenada]]</f>
        <v>42</v>
      </c>
      <c r="J1671">
        <f>(Cocina[[#This Row],[Precio Unitario]]-Cocina[[#This Row],[Costo Unitario]])*Cocina[[#This Row],[Cantidad Ordenada]]</f>
        <v>16</v>
      </c>
      <c r="K1671" s="4">
        <f>Cocina[[#This Row],[Ganancia neta]]/_xlfn.XLOOKUP(Cocina[[#This Row],[Número de Orden]],Sala[Número de Orden],Sala[Monto total],"fracaso",0,1)</f>
        <v>0.12903225806451613</v>
      </c>
      <c r="L1671" t="s">
        <v>607</v>
      </c>
    </row>
    <row r="1672" spans="1:12" x14ac:dyDescent="0.25">
      <c r="A1672">
        <v>677</v>
      </c>
      <c r="B1672">
        <v>14</v>
      </c>
      <c r="C1672" t="s">
        <v>146</v>
      </c>
      <c r="D1672" t="s">
        <v>632</v>
      </c>
      <c r="E1672">
        <v>12</v>
      </c>
      <c r="F1672">
        <v>20</v>
      </c>
      <c r="G1672">
        <v>2</v>
      </c>
      <c r="H1672">
        <v>55</v>
      </c>
      <c r="I1672">
        <f>Cocina[[#This Row],[Precio Unitario]]*Cocina[[#This Row],[Cantidad Ordenada]]</f>
        <v>40</v>
      </c>
      <c r="J1672">
        <f>(Cocina[[#This Row],[Precio Unitario]]-Cocina[[#This Row],[Costo Unitario]])*Cocina[[#This Row],[Cantidad Ordenada]]</f>
        <v>16</v>
      </c>
      <c r="K1672" s="4">
        <f>Cocina[[#This Row],[Ganancia neta]]/_xlfn.XLOOKUP(Cocina[[#This Row],[Número de Orden]],Sala[Número de Orden],Sala[Monto total],"fracaso",0,1)</f>
        <v>0.1111111111111111</v>
      </c>
      <c r="L1672" t="s">
        <v>607</v>
      </c>
    </row>
    <row r="1673" spans="1:12" x14ac:dyDescent="0.25">
      <c r="A1673">
        <v>677</v>
      </c>
      <c r="B1673">
        <v>14</v>
      </c>
      <c r="C1673" t="s">
        <v>26</v>
      </c>
      <c r="D1673" t="s">
        <v>628</v>
      </c>
      <c r="E1673">
        <v>21</v>
      </c>
      <c r="F1673">
        <v>35</v>
      </c>
      <c r="G1673">
        <v>2</v>
      </c>
      <c r="H1673">
        <v>59</v>
      </c>
      <c r="I1673">
        <f>Cocina[[#This Row],[Precio Unitario]]*Cocina[[#This Row],[Cantidad Ordenada]]</f>
        <v>70</v>
      </c>
      <c r="J1673">
        <f>(Cocina[[#This Row],[Precio Unitario]]-Cocina[[#This Row],[Costo Unitario]])*Cocina[[#This Row],[Cantidad Ordenada]]</f>
        <v>28</v>
      </c>
      <c r="K1673" s="4">
        <f>Cocina[[#This Row],[Ganancia neta]]/_xlfn.XLOOKUP(Cocina[[#This Row],[Número de Orden]],Sala[Número de Orden],Sala[Monto total],"fracaso",0,1)</f>
        <v>0.19444444444444445</v>
      </c>
      <c r="L1673" t="s">
        <v>608</v>
      </c>
    </row>
    <row r="1674" spans="1:12" x14ac:dyDescent="0.25">
      <c r="A1674">
        <v>677</v>
      </c>
      <c r="B1674">
        <v>14</v>
      </c>
      <c r="C1674" t="s">
        <v>55</v>
      </c>
      <c r="D1674" t="s">
        <v>631</v>
      </c>
      <c r="E1674">
        <v>20</v>
      </c>
      <c r="F1674">
        <v>34</v>
      </c>
      <c r="G1674">
        <v>1</v>
      </c>
      <c r="H1674">
        <v>34</v>
      </c>
      <c r="I1674">
        <f>Cocina[[#This Row],[Precio Unitario]]*Cocina[[#This Row],[Cantidad Ordenada]]</f>
        <v>34</v>
      </c>
      <c r="J1674">
        <f>(Cocina[[#This Row],[Precio Unitario]]-Cocina[[#This Row],[Costo Unitario]])*Cocina[[#This Row],[Cantidad Ordenada]]</f>
        <v>14</v>
      </c>
      <c r="K1674" s="4">
        <f>Cocina[[#This Row],[Ganancia neta]]/_xlfn.XLOOKUP(Cocina[[#This Row],[Número de Orden]],Sala[Número de Orden],Sala[Monto total],"fracaso",0,1)</f>
        <v>9.7222222222222224E-2</v>
      </c>
      <c r="L1674" t="s">
        <v>608</v>
      </c>
    </row>
    <row r="1675" spans="1:12" x14ac:dyDescent="0.25">
      <c r="A1675">
        <v>678</v>
      </c>
      <c r="B1675">
        <v>19</v>
      </c>
      <c r="C1675" t="s">
        <v>38</v>
      </c>
      <c r="D1675" t="s">
        <v>624</v>
      </c>
      <c r="E1675">
        <v>17</v>
      </c>
      <c r="F1675">
        <v>29</v>
      </c>
      <c r="G1675">
        <v>1</v>
      </c>
      <c r="H1675">
        <v>27</v>
      </c>
      <c r="I1675">
        <f>Cocina[[#This Row],[Precio Unitario]]*Cocina[[#This Row],[Cantidad Ordenada]]</f>
        <v>29</v>
      </c>
      <c r="J1675">
        <f>(Cocina[[#This Row],[Precio Unitario]]-Cocina[[#This Row],[Costo Unitario]])*Cocina[[#This Row],[Cantidad Ordenada]]</f>
        <v>12</v>
      </c>
      <c r="K1675" s="4">
        <f>Cocina[[#This Row],[Ganancia neta]]/_xlfn.XLOOKUP(Cocina[[#This Row],[Número de Orden]],Sala[Número de Orden],Sala[Monto total],"fracaso",0,1)</f>
        <v>5.8823529411764705E-2</v>
      </c>
      <c r="L1675" t="s">
        <v>607</v>
      </c>
    </row>
    <row r="1676" spans="1:12" x14ac:dyDescent="0.25">
      <c r="A1676">
        <v>678</v>
      </c>
      <c r="B1676">
        <v>19</v>
      </c>
      <c r="C1676" t="s">
        <v>112</v>
      </c>
      <c r="D1676" t="s">
        <v>627</v>
      </c>
      <c r="E1676">
        <v>11</v>
      </c>
      <c r="F1676">
        <v>19</v>
      </c>
      <c r="G1676">
        <v>3</v>
      </c>
      <c r="H1676">
        <v>37</v>
      </c>
      <c r="I1676">
        <f>Cocina[[#This Row],[Precio Unitario]]*Cocina[[#This Row],[Cantidad Ordenada]]</f>
        <v>57</v>
      </c>
      <c r="J1676">
        <f>(Cocina[[#This Row],[Precio Unitario]]-Cocina[[#This Row],[Costo Unitario]])*Cocina[[#This Row],[Cantidad Ordenada]]</f>
        <v>24</v>
      </c>
      <c r="K1676" s="4">
        <f>Cocina[[#This Row],[Ganancia neta]]/_xlfn.XLOOKUP(Cocina[[#This Row],[Número de Orden]],Sala[Número de Orden],Sala[Monto total],"fracaso",0,1)</f>
        <v>0.11764705882352941</v>
      </c>
      <c r="L1676" t="s">
        <v>608</v>
      </c>
    </row>
    <row r="1677" spans="1:12" x14ac:dyDescent="0.25">
      <c r="A1677">
        <v>678</v>
      </c>
      <c r="B1677">
        <v>19</v>
      </c>
      <c r="C1677" t="s">
        <v>26</v>
      </c>
      <c r="D1677" t="s">
        <v>628</v>
      </c>
      <c r="E1677">
        <v>21</v>
      </c>
      <c r="F1677">
        <v>35</v>
      </c>
      <c r="G1677">
        <v>2</v>
      </c>
      <c r="H1677">
        <v>37</v>
      </c>
      <c r="I1677">
        <f>Cocina[[#This Row],[Precio Unitario]]*Cocina[[#This Row],[Cantidad Ordenada]]</f>
        <v>70</v>
      </c>
      <c r="J1677">
        <f>(Cocina[[#This Row],[Precio Unitario]]-Cocina[[#This Row],[Costo Unitario]])*Cocina[[#This Row],[Cantidad Ordenada]]</f>
        <v>28</v>
      </c>
      <c r="K1677" s="4">
        <f>Cocina[[#This Row],[Ganancia neta]]/_xlfn.XLOOKUP(Cocina[[#This Row],[Número de Orden]],Sala[Número de Orden],Sala[Monto total],"fracaso",0,1)</f>
        <v>0.13725490196078433</v>
      </c>
      <c r="L1677" t="s">
        <v>608</v>
      </c>
    </row>
    <row r="1678" spans="1:12" x14ac:dyDescent="0.25">
      <c r="A1678">
        <v>678</v>
      </c>
      <c r="B1678">
        <v>19</v>
      </c>
      <c r="C1678" t="s">
        <v>158</v>
      </c>
      <c r="D1678" t="s">
        <v>617</v>
      </c>
      <c r="E1678">
        <v>14</v>
      </c>
      <c r="F1678">
        <v>24</v>
      </c>
      <c r="G1678">
        <v>2</v>
      </c>
      <c r="H1678">
        <v>20</v>
      </c>
      <c r="I1678">
        <f>Cocina[[#This Row],[Precio Unitario]]*Cocina[[#This Row],[Cantidad Ordenada]]</f>
        <v>48</v>
      </c>
      <c r="J1678">
        <f>(Cocina[[#This Row],[Precio Unitario]]-Cocina[[#This Row],[Costo Unitario]])*Cocina[[#This Row],[Cantidad Ordenada]]</f>
        <v>20</v>
      </c>
      <c r="K1678" s="4">
        <f>Cocina[[#This Row],[Ganancia neta]]/_xlfn.XLOOKUP(Cocina[[#This Row],[Número de Orden]],Sala[Número de Orden],Sala[Monto total],"fracaso",0,1)</f>
        <v>9.8039215686274508E-2</v>
      </c>
      <c r="L1678" t="s">
        <v>608</v>
      </c>
    </row>
    <row r="1679" spans="1:12" x14ac:dyDescent="0.25">
      <c r="A1679">
        <v>679</v>
      </c>
      <c r="B1679">
        <v>9</v>
      </c>
      <c r="C1679" t="s">
        <v>70</v>
      </c>
      <c r="D1679" t="s">
        <v>634</v>
      </c>
      <c r="E1679">
        <v>13</v>
      </c>
      <c r="F1679">
        <v>21</v>
      </c>
      <c r="G1679">
        <v>2</v>
      </c>
      <c r="H1679">
        <v>27</v>
      </c>
      <c r="I1679">
        <f>Cocina[[#This Row],[Precio Unitario]]*Cocina[[#This Row],[Cantidad Ordenada]]</f>
        <v>42</v>
      </c>
      <c r="J1679">
        <f>(Cocina[[#This Row],[Precio Unitario]]-Cocina[[#This Row],[Costo Unitario]])*Cocina[[#This Row],[Cantidad Ordenada]]</f>
        <v>16</v>
      </c>
      <c r="K1679" s="4">
        <f>Cocina[[#This Row],[Ganancia neta]]/_xlfn.XLOOKUP(Cocina[[#This Row],[Número de Orden]],Sala[Número de Orden],Sala[Monto total],"fracaso",0,1)</f>
        <v>8.0402010050251257E-2</v>
      </c>
      <c r="L1679" t="s">
        <v>608</v>
      </c>
    </row>
    <row r="1680" spans="1:12" x14ac:dyDescent="0.25">
      <c r="A1680">
        <v>679</v>
      </c>
      <c r="B1680">
        <v>9</v>
      </c>
      <c r="C1680" t="s">
        <v>155</v>
      </c>
      <c r="D1680" t="s">
        <v>636</v>
      </c>
      <c r="E1680">
        <v>15</v>
      </c>
      <c r="F1680">
        <v>26</v>
      </c>
      <c r="G1680">
        <v>1</v>
      </c>
      <c r="H1680">
        <v>11</v>
      </c>
      <c r="I1680">
        <f>Cocina[[#This Row],[Precio Unitario]]*Cocina[[#This Row],[Cantidad Ordenada]]</f>
        <v>26</v>
      </c>
      <c r="J1680">
        <f>(Cocina[[#This Row],[Precio Unitario]]-Cocina[[#This Row],[Costo Unitario]])*Cocina[[#This Row],[Cantidad Ordenada]]</f>
        <v>11</v>
      </c>
      <c r="K1680" s="4">
        <f>Cocina[[#This Row],[Ganancia neta]]/_xlfn.XLOOKUP(Cocina[[#This Row],[Número de Orden]],Sala[Número de Orden],Sala[Monto total],"fracaso",0,1)</f>
        <v>5.5276381909547742E-2</v>
      </c>
      <c r="L1680" t="s">
        <v>608</v>
      </c>
    </row>
    <row r="1681" spans="1:12" x14ac:dyDescent="0.25">
      <c r="A1681">
        <v>679</v>
      </c>
      <c r="B1681">
        <v>9</v>
      </c>
      <c r="C1681" t="s">
        <v>42</v>
      </c>
      <c r="D1681" t="s">
        <v>626</v>
      </c>
      <c r="E1681">
        <v>16</v>
      </c>
      <c r="F1681">
        <v>28</v>
      </c>
      <c r="G1681">
        <v>2</v>
      </c>
      <c r="H1681">
        <v>16</v>
      </c>
      <c r="I1681">
        <f>Cocina[[#This Row],[Precio Unitario]]*Cocina[[#This Row],[Cantidad Ordenada]]</f>
        <v>56</v>
      </c>
      <c r="J1681">
        <f>(Cocina[[#This Row],[Precio Unitario]]-Cocina[[#This Row],[Costo Unitario]])*Cocina[[#This Row],[Cantidad Ordenada]]</f>
        <v>24</v>
      </c>
      <c r="K1681" s="4">
        <f>Cocina[[#This Row],[Ganancia neta]]/_xlfn.XLOOKUP(Cocina[[#This Row],[Número de Orden]],Sala[Número de Orden],Sala[Monto total],"fracaso",0,1)</f>
        <v>0.12060301507537688</v>
      </c>
      <c r="L1681" t="s">
        <v>608</v>
      </c>
    </row>
    <row r="1682" spans="1:12" x14ac:dyDescent="0.25">
      <c r="A1682">
        <v>679</v>
      </c>
      <c r="B1682">
        <v>9</v>
      </c>
      <c r="C1682" t="s">
        <v>122</v>
      </c>
      <c r="D1682" t="s">
        <v>637</v>
      </c>
      <c r="E1682">
        <v>15</v>
      </c>
      <c r="F1682">
        <v>25</v>
      </c>
      <c r="G1682">
        <v>3</v>
      </c>
      <c r="H1682">
        <v>52</v>
      </c>
      <c r="I1682">
        <f>Cocina[[#This Row],[Precio Unitario]]*Cocina[[#This Row],[Cantidad Ordenada]]</f>
        <v>75</v>
      </c>
      <c r="J1682">
        <f>(Cocina[[#This Row],[Precio Unitario]]-Cocina[[#This Row],[Costo Unitario]])*Cocina[[#This Row],[Cantidad Ordenada]]</f>
        <v>30</v>
      </c>
      <c r="K1682" s="4">
        <f>Cocina[[#This Row],[Ganancia neta]]/_xlfn.XLOOKUP(Cocina[[#This Row],[Número de Orden]],Sala[Número de Orden],Sala[Monto total],"fracaso",0,1)</f>
        <v>0.15075376884422109</v>
      </c>
      <c r="L1682" t="s">
        <v>608</v>
      </c>
    </row>
    <row r="1683" spans="1:12" x14ac:dyDescent="0.25">
      <c r="A1683">
        <v>680</v>
      </c>
      <c r="B1683">
        <v>5</v>
      </c>
      <c r="C1683" t="s">
        <v>79</v>
      </c>
      <c r="D1683" t="s">
        <v>635</v>
      </c>
      <c r="E1683">
        <v>10</v>
      </c>
      <c r="F1683">
        <v>18</v>
      </c>
      <c r="G1683">
        <v>2</v>
      </c>
      <c r="H1683">
        <v>6</v>
      </c>
      <c r="I1683">
        <f>Cocina[[#This Row],[Precio Unitario]]*Cocina[[#This Row],[Cantidad Ordenada]]</f>
        <v>36</v>
      </c>
      <c r="J1683">
        <f>(Cocina[[#This Row],[Precio Unitario]]-Cocina[[#This Row],[Costo Unitario]])*Cocina[[#This Row],[Cantidad Ordenada]]</f>
        <v>16</v>
      </c>
      <c r="K1683" s="4">
        <f>Cocina[[#This Row],[Ganancia neta]]/_xlfn.XLOOKUP(Cocina[[#This Row],[Número de Orden]],Sala[Número de Orden],Sala[Monto total],"fracaso",0,1)</f>
        <v>9.8765432098765427E-2</v>
      </c>
      <c r="L1683" t="s">
        <v>608</v>
      </c>
    </row>
    <row r="1684" spans="1:12" x14ac:dyDescent="0.25">
      <c r="A1684">
        <v>680</v>
      </c>
      <c r="B1684">
        <v>5</v>
      </c>
      <c r="C1684" t="s">
        <v>146</v>
      </c>
      <c r="D1684" t="s">
        <v>632</v>
      </c>
      <c r="E1684">
        <v>12</v>
      </c>
      <c r="F1684">
        <v>20</v>
      </c>
      <c r="G1684">
        <v>3</v>
      </c>
      <c r="H1684">
        <v>49</v>
      </c>
      <c r="I1684">
        <f>Cocina[[#This Row],[Precio Unitario]]*Cocina[[#This Row],[Cantidad Ordenada]]</f>
        <v>60</v>
      </c>
      <c r="J1684">
        <f>(Cocina[[#This Row],[Precio Unitario]]-Cocina[[#This Row],[Costo Unitario]])*Cocina[[#This Row],[Cantidad Ordenada]]</f>
        <v>24</v>
      </c>
      <c r="K1684" s="4">
        <f>Cocina[[#This Row],[Ganancia neta]]/_xlfn.XLOOKUP(Cocina[[#This Row],[Número de Orden]],Sala[Número de Orden],Sala[Monto total],"fracaso",0,1)</f>
        <v>0.14814814814814814</v>
      </c>
      <c r="L1684" t="s">
        <v>608</v>
      </c>
    </row>
    <row r="1685" spans="1:12" x14ac:dyDescent="0.25">
      <c r="A1685">
        <v>680</v>
      </c>
      <c r="B1685">
        <v>5</v>
      </c>
      <c r="C1685" t="s">
        <v>261</v>
      </c>
      <c r="D1685" t="s">
        <v>625</v>
      </c>
      <c r="E1685">
        <v>20</v>
      </c>
      <c r="F1685">
        <v>33</v>
      </c>
      <c r="G1685">
        <v>2</v>
      </c>
      <c r="H1685">
        <v>56</v>
      </c>
      <c r="I1685">
        <f>Cocina[[#This Row],[Precio Unitario]]*Cocina[[#This Row],[Cantidad Ordenada]]</f>
        <v>66</v>
      </c>
      <c r="J1685">
        <f>(Cocina[[#This Row],[Precio Unitario]]-Cocina[[#This Row],[Costo Unitario]])*Cocina[[#This Row],[Cantidad Ordenada]]</f>
        <v>26</v>
      </c>
      <c r="K1685" s="4">
        <f>Cocina[[#This Row],[Ganancia neta]]/_xlfn.XLOOKUP(Cocina[[#This Row],[Número de Orden]],Sala[Número de Orden],Sala[Monto total],"fracaso",0,1)</f>
        <v>0.16049382716049382</v>
      </c>
      <c r="L1685" t="s">
        <v>607</v>
      </c>
    </row>
    <row r="1686" spans="1:12" x14ac:dyDescent="0.25">
      <c r="A1686">
        <v>681</v>
      </c>
      <c r="B1686">
        <v>2</v>
      </c>
      <c r="C1686" t="s">
        <v>261</v>
      </c>
      <c r="D1686" t="s">
        <v>625</v>
      </c>
      <c r="E1686">
        <v>20</v>
      </c>
      <c r="F1686">
        <v>33</v>
      </c>
      <c r="G1686">
        <v>1</v>
      </c>
      <c r="H1686">
        <v>44</v>
      </c>
      <c r="I1686">
        <f>Cocina[[#This Row],[Precio Unitario]]*Cocina[[#This Row],[Cantidad Ordenada]]</f>
        <v>33</v>
      </c>
      <c r="J1686">
        <f>(Cocina[[#This Row],[Precio Unitario]]-Cocina[[#This Row],[Costo Unitario]])*Cocina[[#This Row],[Cantidad Ordenada]]</f>
        <v>13</v>
      </c>
      <c r="K1686" s="4">
        <f>Cocina[[#This Row],[Ganancia neta]]/_xlfn.XLOOKUP(Cocina[[#This Row],[Número de Orden]],Sala[Número de Orden],Sala[Monto total],"fracaso",0,1)</f>
        <v>0.17333333333333334</v>
      </c>
      <c r="L1686" t="s">
        <v>607</v>
      </c>
    </row>
    <row r="1687" spans="1:12" x14ac:dyDescent="0.25">
      <c r="A1687">
        <v>681</v>
      </c>
      <c r="B1687">
        <v>2</v>
      </c>
      <c r="C1687" t="s">
        <v>70</v>
      </c>
      <c r="D1687" t="s">
        <v>634</v>
      </c>
      <c r="E1687">
        <v>13</v>
      </c>
      <c r="F1687">
        <v>21</v>
      </c>
      <c r="G1687">
        <v>2</v>
      </c>
      <c r="H1687">
        <v>21</v>
      </c>
      <c r="I1687">
        <f>Cocina[[#This Row],[Precio Unitario]]*Cocina[[#This Row],[Cantidad Ordenada]]</f>
        <v>42</v>
      </c>
      <c r="J1687">
        <f>(Cocina[[#This Row],[Precio Unitario]]-Cocina[[#This Row],[Costo Unitario]])*Cocina[[#This Row],[Cantidad Ordenada]]</f>
        <v>16</v>
      </c>
      <c r="K1687" s="4">
        <f>Cocina[[#This Row],[Ganancia neta]]/_xlfn.XLOOKUP(Cocina[[#This Row],[Número de Orden]],Sala[Número de Orden],Sala[Monto total],"fracaso",0,1)</f>
        <v>0.21333333333333335</v>
      </c>
      <c r="L1687" t="s">
        <v>608</v>
      </c>
    </row>
    <row r="1688" spans="1:12" x14ac:dyDescent="0.25">
      <c r="A1688">
        <v>682</v>
      </c>
      <c r="B1688">
        <v>1</v>
      </c>
      <c r="C1688" t="s">
        <v>200</v>
      </c>
      <c r="D1688" t="s">
        <v>633</v>
      </c>
      <c r="E1688">
        <v>14</v>
      </c>
      <c r="F1688">
        <v>23</v>
      </c>
      <c r="G1688">
        <v>1</v>
      </c>
      <c r="H1688">
        <v>43</v>
      </c>
      <c r="I1688">
        <f>Cocina[[#This Row],[Precio Unitario]]*Cocina[[#This Row],[Cantidad Ordenada]]</f>
        <v>23</v>
      </c>
      <c r="J1688">
        <f>(Cocina[[#This Row],[Precio Unitario]]-Cocina[[#This Row],[Costo Unitario]])*Cocina[[#This Row],[Cantidad Ordenada]]</f>
        <v>9</v>
      </c>
      <c r="K1688" s="4">
        <f>Cocina[[#This Row],[Ganancia neta]]/_xlfn.XLOOKUP(Cocina[[#This Row],[Número de Orden]],Sala[Número de Orden],Sala[Monto total],"fracaso",0,1)</f>
        <v>0.39130434782608697</v>
      </c>
      <c r="L1688" t="s">
        <v>607</v>
      </c>
    </row>
    <row r="1689" spans="1:12" x14ac:dyDescent="0.25">
      <c r="A1689">
        <v>683</v>
      </c>
      <c r="B1689">
        <v>2</v>
      </c>
      <c r="C1689" t="s">
        <v>203</v>
      </c>
      <c r="D1689" t="s">
        <v>630</v>
      </c>
      <c r="E1689">
        <v>13</v>
      </c>
      <c r="F1689">
        <v>22</v>
      </c>
      <c r="G1689">
        <v>1</v>
      </c>
      <c r="H1689">
        <v>25</v>
      </c>
      <c r="I1689">
        <f>Cocina[[#This Row],[Precio Unitario]]*Cocina[[#This Row],[Cantidad Ordenada]]</f>
        <v>22</v>
      </c>
      <c r="J1689">
        <f>(Cocina[[#This Row],[Precio Unitario]]-Cocina[[#This Row],[Costo Unitario]])*Cocina[[#This Row],[Cantidad Ordenada]]</f>
        <v>9</v>
      </c>
      <c r="K1689" s="4">
        <f>Cocina[[#This Row],[Ganancia neta]]/_xlfn.XLOOKUP(Cocina[[#This Row],[Número de Orden]],Sala[Número de Orden],Sala[Monto total],"fracaso",0,1)</f>
        <v>5.4878048780487805E-2</v>
      </c>
      <c r="L1689" t="s">
        <v>608</v>
      </c>
    </row>
    <row r="1690" spans="1:12" x14ac:dyDescent="0.25">
      <c r="A1690">
        <v>683</v>
      </c>
      <c r="B1690">
        <v>2</v>
      </c>
      <c r="C1690" t="s">
        <v>146</v>
      </c>
      <c r="D1690" t="s">
        <v>632</v>
      </c>
      <c r="E1690">
        <v>12</v>
      </c>
      <c r="F1690">
        <v>20</v>
      </c>
      <c r="G1690">
        <v>2</v>
      </c>
      <c r="H1690">
        <v>35</v>
      </c>
      <c r="I1690">
        <f>Cocina[[#This Row],[Precio Unitario]]*Cocina[[#This Row],[Cantidad Ordenada]]</f>
        <v>40</v>
      </c>
      <c r="J1690">
        <f>(Cocina[[#This Row],[Precio Unitario]]-Cocina[[#This Row],[Costo Unitario]])*Cocina[[#This Row],[Cantidad Ordenada]]</f>
        <v>16</v>
      </c>
      <c r="K1690" s="4">
        <f>Cocina[[#This Row],[Ganancia neta]]/_xlfn.XLOOKUP(Cocina[[#This Row],[Número de Orden]],Sala[Número de Orden],Sala[Monto total],"fracaso",0,1)</f>
        <v>9.7560975609756101E-2</v>
      </c>
      <c r="L1690" t="s">
        <v>607</v>
      </c>
    </row>
    <row r="1691" spans="1:12" x14ac:dyDescent="0.25">
      <c r="A1691">
        <v>683</v>
      </c>
      <c r="B1691">
        <v>2</v>
      </c>
      <c r="C1691" t="s">
        <v>48</v>
      </c>
      <c r="D1691" t="s">
        <v>622</v>
      </c>
      <c r="E1691">
        <v>25</v>
      </c>
      <c r="F1691">
        <v>40</v>
      </c>
      <c r="G1691">
        <v>1</v>
      </c>
      <c r="H1691">
        <v>6</v>
      </c>
      <c r="I1691">
        <f>Cocina[[#This Row],[Precio Unitario]]*Cocina[[#This Row],[Cantidad Ordenada]]</f>
        <v>40</v>
      </c>
      <c r="J1691">
        <f>(Cocina[[#This Row],[Precio Unitario]]-Cocina[[#This Row],[Costo Unitario]])*Cocina[[#This Row],[Cantidad Ordenada]]</f>
        <v>15</v>
      </c>
      <c r="K1691" s="4">
        <f>Cocina[[#This Row],[Ganancia neta]]/_xlfn.XLOOKUP(Cocina[[#This Row],[Número de Orden]],Sala[Número de Orden],Sala[Monto total],"fracaso",0,1)</f>
        <v>9.1463414634146339E-2</v>
      </c>
      <c r="L1691" t="s">
        <v>608</v>
      </c>
    </row>
    <row r="1692" spans="1:12" x14ac:dyDescent="0.25">
      <c r="A1692">
        <v>683</v>
      </c>
      <c r="B1692">
        <v>2</v>
      </c>
      <c r="C1692" t="s">
        <v>116</v>
      </c>
      <c r="D1692" t="s">
        <v>620</v>
      </c>
      <c r="E1692">
        <v>19</v>
      </c>
      <c r="F1692">
        <v>31</v>
      </c>
      <c r="G1692">
        <v>2</v>
      </c>
      <c r="H1692">
        <v>16</v>
      </c>
      <c r="I1692">
        <f>Cocina[[#This Row],[Precio Unitario]]*Cocina[[#This Row],[Cantidad Ordenada]]</f>
        <v>62</v>
      </c>
      <c r="J1692">
        <f>(Cocina[[#This Row],[Precio Unitario]]-Cocina[[#This Row],[Costo Unitario]])*Cocina[[#This Row],[Cantidad Ordenada]]</f>
        <v>24</v>
      </c>
      <c r="K1692" s="4">
        <f>Cocina[[#This Row],[Ganancia neta]]/_xlfn.XLOOKUP(Cocina[[#This Row],[Número de Orden]],Sala[Número de Orden],Sala[Monto total],"fracaso",0,1)</f>
        <v>0.14634146341463414</v>
      </c>
      <c r="L1692" t="s">
        <v>608</v>
      </c>
    </row>
    <row r="1693" spans="1:12" x14ac:dyDescent="0.25">
      <c r="A1693">
        <v>684</v>
      </c>
      <c r="B1693">
        <v>10</v>
      </c>
      <c r="C1693" t="s">
        <v>73</v>
      </c>
      <c r="D1693" t="s">
        <v>623</v>
      </c>
      <c r="E1693">
        <v>22</v>
      </c>
      <c r="F1693">
        <v>36</v>
      </c>
      <c r="G1693">
        <v>1</v>
      </c>
      <c r="H1693">
        <v>38</v>
      </c>
      <c r="I1693">
        <f>Cocina[[#This Row],[Precio Unitario]]*Cocina[[#This Row],[Cantidad Ordenada]]</f>
        <v>36</v>
      </c>
      <c r="J1693">
        <f>(Cocina[[#This Row],[Precio Unitario]]-Cocina[[#This Row],[Costo Unitario]])*Cocina[[#This Row],[Cantidad Ordenada]]</f>
        <v>14</v>
      </c>
      <c r="K1693" s="4">
        <f>Cocina[[#This Row],[Ganancia neta]]/_xlfn.XLOOKUP(Cocina[[#This Row],[Número de Orden]],Sala[Número de Orden],Sala[Monto total],"fracaso",0,1)</f>
        <v>7.7777777777777779E-2</v>
      </c>
      <c r="L1693" t="s">
        <v>607</v>
      </c>
    </row>
    <row r="1694" spans="1:12" x14ac:dyDescent="0.25">
      <c r="A1694">
        <v>684</v>
      </c>
      <c r="B1694">
        <v>10</v>
      </c>
      <c r="C1694" t="s">
        <v>116</v>
      </c>
      <c r="D1694" t="s">
        <v>620</v>
      </c>
      <c r="E1694">
        <v>19</v>
      </c>
      <c r="F1694">
        <v>31</v>
      </c>
      <c r="G1694">
        <v>1</v>
      </c>
      <c r="H1694">
        <v>10</v>
      </c>
      <c r="I1694">
        <f>Cocina[[#This Row],[Precio Unitario]]*Cocina[[#This Row],[Cantidad Ordenada]]</f>
        <v>31</v>
      </c>
      <c r="J1694">
        <f>(Cocina[[#This Row],[Precio Unitario]]-Cocina[[#This Row],[Costo Unitario]])*Cocina[[#This Row],[Cantidad Ordenada]]</f>
        <v>12</v>
      </c>
      <c r="K1694" s="4">
        <f>Cocina[[#This Row],[Ganancia neta]]/_xlfn.XLOOKUP(Cocina[[#This Row],[Número de Orden]],Sala[Número de Orden],Sala[Monto total],"fracaso",0,1)</f>
        <v>6.6666666666666666E-2</v>
      </c>
      <c r="L1694" t="s">
        <v>608</v>
      </c>
    </row>
    <row r="1695" spans="1:12" x14ac:dyDescent="0.25">
      <c r="A1695">
        <v>684</v>
      </c>
      <c r="B1695">
        <v>10</v>
      </c>
      <c r="C1695" t="s">
        <v>155</v>
      </c>
      <c r="D1695" t="s">
        <v>636</v>
      </c>
      <c r="E1695">
        <v>15</v>
      </c>
      <c r="F1695">
        <v>26</v>
      </c>
      <c r="G1695">
        <v>1</v>
      </c>
      <c r="H1695">
        <v>25</v>
      </c>
      <c r="I1695">
        <f>Cocina[[#This Row],[Precio Unitario]]*Cocina[[#This Row],[Cantidad Ordenada]]</f>
        <v>26</v>
      </c>
      <c r="J1695">
        <f>(Cocina[[#This Row],[Precio Unitario]]-Cocina[[#This Row],[Costo Unitario]])*Cocina[[#This Row],[Cantidad Ordenada]]</f>
        <v>11</v>
      </c>
      <c r="K1695" s="4">
        <f>Cocina[[#This Row],[Ganancia neta]]/_xlfn.XLOOKUP(Cocina[[#This Row],[Número de Orden]],Sala[Número de Orden],Sala[Monto total],"fracaso",0,1)</f>
        <v>6.1111111111111109E-2</v>
      </c>
      <c r="L1695" t="s">
        <v>607</v>
      </c>
    </row>
    <row r="1696" spans="1:12" x14ac:dyDescent="0.25">
      <c r="A1696">
        <v>684</v>
      </c>
      <c r="B1696">
        <v>10</v>
      </c>
      <c r="C1696" t="s">
        <v>38</v>
      </c>
      <c r="D1696" t="s">
        <v>624</v>
      </c>
      <c r="E1696">
        <v>17</v>
      </c>
      <c r="F1696">
        <v>29</v>
      </c>
      <c r="G1696">
        <v>3</v>
      </c>
      <c r="H1696">
        <v>37</v>
      </c>
      <c r="I1696">
        <f>Cocina[[#This Row],[Precio Unitario]]*Cocina[[#This Row],[Cantidad Ordenada]]</f>
        <v>87</v>
      </c>
      <c r="J1696">
        <f>(Cocina[[#This Row],[Precio Unitario]]-Cocina[[#This Row],[Costo Unitario]])*Cocina[[#This Row],[Cantidad Ordenada]]</f>
        <v>36</v>
      </c>
      <c r="K1696" s="4">
        <f>Cocina[[#This Row],[Ganancia neta]]/_xlfn.XLOOKUP(Cocina[[#This Row],[Número de Orden]],Sala[Número de Orden],Sala[Monto total],"fracaso",0,1)</f>
        <v>0.2</v>
      </c>
      <c r="L1696" t="s">
        <v>607</v>
      </c>
    </row>
    <row r="1697" spans="1:12" x14ac:dyDescent="0.25">
      <c r="A1697">
        <v>685</v>
      </c>
      <c r="B1697">
        <v>5</v>
      </c>
      <c r="C1697" t="s">
        <v>106</v>
      </c>
      <c r="D1697" t="s">
        <v>621</v>
      </c>
      <c r="E1697">
        <v>16</v>
      </c>
      <c r="F1697">
        <v>27</v>
      </c>
      <c r="G1697">
        <v>2</v>
      </c>
      <c r="H1697">
        <v>17</v>
      </c>
      <c r="I1697">
        <f>Cocina[[#This Row],[Precio Unitario]]*Cocina[[#This Row],[Cantidad Ordenada]]</f>
        <v>54</v>
      </c>
      <c r="J1697">
        <f>(Cocina[[#This Row],[Precio Unitario]]-Cocina[[#This Row],[Costo Unitario]])*Cocina[[#This Row],[Cantidad Ordenada]]</f>
        <v>22</v>
      </c>
      <c r="K1697" s="4">
        <f>Cocina[[#This Row],[Ganancia neta]]/_xlfn.XLOOKUP(Cocina[[#This Row],[Número de Orden]],Sala[Número de Orden],Sala[Monto total],"fracaso",0,1)</f>
        <v>0.40740740740740738</v>
      </c>
      <c r="L1697" t="s">
        <v>608</v>
      </c>
    </row>
    <row r="1698" spans="1:12" x14ac:dyDescent="0.25">
      <c r="A1698">
        <v>686</v>
      </c>
      <c r="B1698">
        <v>10</v>
      </c>
      <c r="C1698" t="s">
        <v>116</v>
      </c>
      <c r="D1698" t="s">
        <v>620</v>
      </c>
      <c r="E1698">
        <v>19</v>
      </c>
      <c r="F1698">
        <v>31</v>
      </c>
      <c r="G1698">
        <v>2</v>
      </c>
      <c r="H1698">
        <v>37</v>
      </c>
      <c r="I1698">
        <f>Cocina[[#This Row],[Precio Unitario]]*Cocina[[#This Row],[Cantidad Ordenada]]</f>
        <v>62</v>
      </c>
      <c r="J1698">
        <f>(Cocina[[#This Row],[Precio Unitario]]-Cocina[[#This Row],[Costo Unitario]])*Cocina[[#This Row],[Cantidad Ordenada]]</f>
        <v>24</v>
      </c>
      <c r="K1698" s="4">
        <f>Cocina[[#This Row],[Ganancia neta]]/_xlfn.XLOOKUP(Cocina[[#This Row],[Número de Orden]],Sala[Número de Orden],Sala[Monto total],"fracaso",0,1)</f>
        <v>0.23529411764705882</v>
      </c>
      <c r="L1698" t="s">
        <v>607</v>
      </c>
    </row>
    <row r="1699" spans="1:12" x14ac:dyDescent="0.25">
      <c r="A1699">
        <v>686</v>
      </c>
      <c r="B1699">
        <v>10</v>
      </c>
      <c r="C1699" t="s">
        <v>146</v>
      </c>
      <c r="D1699" t="s">
        <v>632</v>
      </c>
      <c r="E1699">
        <v>12</v>
      </c>
      <c r="F1699">
        <v>20</v>
      </c>
      <c r="G1699">
        <v>2</v>
      </c>
      <c r="H1699">
        <v>21</v>
      </c>
      <c r="I1699">
        <f>Cocina[[#This Row],[Precio Unitario]]*Cocina[[#This Row],[Cantidad Ordenada]]</f>
        <v>40</v>
      </c>
      <c r="J1699">
        <f>(Cocina[[#This Row],[Precio Unitario]]-Cocina[[#This Row],[Costo Unitario]])*Cocina[[#This Row],[Cantidad Ordenada]]</f>
        <v>16</v>
      </c>
      <c r="K1699" s="4">
        <f>Cocina[[#This Row],[Ganancia neta]]/_xlfn.XLOOKUP(Cocina[[#This Row],[Número de Orden]],Sala[Número de Orden],Sala[Monto total],"fracaso",0,1)</f>
        <v>0.15686274509803921</v>
      </c>
      <c r="L1699" t="s">
        <v>608</v>
      </c>
    </row>
    <row r="1700" spans="1:12" x14ac:dyDescent="0.25">
      <c r="A1700">
        <v>687</v>
      </c>
      <c r="B1700">
        <v>2</v>
      </c>
      <c r="C1700" t="s">
        <v>73</v>
      </c>
      <c r="D1700" t="s">
        <v>623</v>
      </c>
      <c r="E1700">
        <v>22</v>
      </c>
      <c r="F1700">
        <v>36</v>
      </c>
      <c r="G1700">
        <v>2</v>
      </c>
      <c r="H1700">
        <v>29</v>
      </c>
      <c r="I1700">
        <f>Cocina[[#This Row],[Precio Unitario]]*Cocina[[#This Row],[Cantidad Ordenada]]</f>
        <v>72</v>
      </c>
      <c r="J1700">
        <f>(Cocina[[#This Row],[Precio Unitario]]-Cocina[[#This Row],[Costo Unitario]])*Cocina[[#This Row],[Cantidad Ordenada]]</f>
        <v>28</v>
      </c>
      <c r="K1700" s="4">
        <f>Cocina[[#This Row],[Ganancia neta]]/_xlfn.XLOOKUP(Cocina[[#This Row],[Número de Orden]],Sala[Número de Orden],Sala[Monto total],"fracaso",0,1)</f>
        <v>0.3888888888888889</v>
      </c>
      <c r="L1700" t="s">
        <v>607</v>
      </c>
    </row>
    <row r="1701" spans="1:12" x14ac:dyDescent="0.25">
      <c r="A1701">
        <v>688</v>
      </c>
      <c r="B1701">
        <v>3</v>
      </c>
      <c r="C1701" t="s">
        <v>38</v>
      </c>
      <c r="D1701" t="s">
        <v>624</v>
      </c>
      <c r="E1701">
        <v>17</v>
      </c>
      <c r="F1701">
        <v>29</v>
      </c>
      <c r="G1701">
        <v>1</v>
      </c>
      <c r="H1701">
        <v>14</v>
      </c>
      <c r="I1701">
        <f>Cocina[[#This Row],[Precio Unitario]]*Cocina[[#This Row],[Cantidad Ordenada]]</f>
        <v>29</v>
      </c>
      <c r="J1701">
        <f>(Cocina[[#This Row],[Precio Unitario]]-Cocina[[#This Row],[Costo Unitario]])*Cocina[[#This Row],[Cantidad Ordenada]]</f>
        <v>12</v>
      </c>
      <c r="K1701" s="4">
        <f>Cocina[[#This Row],[Ganancia neta]]/_xlfn.XLOOKUP(Cocina[[#This Row],[Número de Orden]],Sala[Número de Orden],Sala[Monto total],"fracaso",0,1)</f>
        <v>0.41379310344827586</v>
      </c>
      <c r="L1701" t="s">
        <v>608</v>
      </c>
    </row>
    <row r="1702" spans="1:12" x14ac:dyDescent="0.25">
      <c r="A1702">
        <v>689</v>
      </c>
      <c r="B1702">
        <v>14</v>
      </c>
      <c r="C1702" t="s">
        <v>200</v>
      </c>
      <c r="D1702" t="s">
        <v>633</v>
      </c>
      <c r="E1702">
        <v>14</v>
      </c>
      <c r="F1702">
        <v>23</v>
      </c>
      <c r="G1702">
        <v>3</v>
      </c>
      <c r="H1702">
        <v>16</v>
      </c>
      <c r="I1702">
        <f>Cocina[[#This Row],[Precio Unitario]]*Cocina[[#This Row],[Cantidad Ordenada]]</f>
        <v>69</v>
      </c>
      <c r="J1702">
        <f>(Cocina[[#This Row],[Precio Unitario]]-Cocina[[#This Row],[Costo Unitario]])*Cocina[[#This Row],[Cantidad Ordenada]]</f>
        <v>27</v>
      </c>
      <c r="K1702" s="4">
        <f>Cocina[[#This Row],[Ganancia neta]]/_xlfn.XLOOKUP(Cocina[[#This Row],[Número de Orden]],Sala[Número de Orden],Sala[Monto total],"fracaso",0,1)</f>
        <v>0.16363636363636364</v>
      </c>
      <c r="L1702" t="s">
        <v>607</v>
      </c>
    </row>
    <row r="1703" spans="1:12" x14ac:dyDescent="0.25">
      <c r="A1703">
        <v>689</v>
      </c>
      <c r="B1703">
        <v>14</v>
      </c>
      <c r="C1703" t="s">
        <v>122</v>
      </c>
      <c r="D1703" t="s">
        <v>637</v>
      </c>
      <c r="E1703">
        <v>15</v>
      </c>
      <c r="F1703">
        <v>25</v>
      </c>
      <c r="G1703">
        <v>3</v>
      </c>
      <c r="H1703">
        <v>7</v>
      </c>
      <c r="I1703">
        <f>Cocina[[#This Row],[Precio Unitario]]*Cocina[[#This Row],[Cantidad Ordenada]]</f>
        <v>75</v>
      </c>
      <c r="J1703">
        <f>(Cocina[[#This Row],[Precio Unitario]]-Cocina[[#This Row],[Costo Unitario]])*Cocina[[#This Row],[Cantidad Ordenada]]</f>
        <v>30</v>
      </c>
      <c r="K1703" s="4">
        <f>Cocina[[#This Row],[Ganancia neta]]/_xlfn.XLOOKUP(Cocina[[#This Row],[Número de Orden]],Sala[Número de Orden],Sala[Monto total],"fracaso",0,1)</f>
        <v>0.18181818181818182</v>
      </c>
      <c r="L1703" t="s">
        <v>607</v>
      </c>
    </row>
    <row r="1704" spans="1:12" x14ac:dyDescent="0.25">
      <c r="A1704">
        <v>689</v>
      </c>
      <c r="B1704">
        <v>14</v>
      </c>
      <c r="C1704" t="s">
        <v>70</v>
      </c>
      <c r="D1704" t="s">
        <v>634</v>
      </c>
      <c r="E1704">
        <v>13</v>
      </c>
      <c r="F1704">
        <v>21</v>
      </c>
      <c r="G1704">
        <v>1</v>
      </c>
      <c r="H1704">
        <v>6</v>
      </c>
      <c r="I1704">
        <f>Cocina[[#This Row],[Precio Unitario]]*Cocina[[#This Row],[Cantidad Ordenada]]</f>
        <v>21</v>
      </c>
      <c r="J1704">
        <f>(Cocina[[#This Row],[Precio Unitario]]-Cocina[[#This Row],[Costo Unitario]])*Cocina[[#This Row],[Cantidad Ordenada]]</f>
        <v>8</v>
      </c>
      <c r="K1704" s="4">
        <f>Cocina[[#This Row],[Ganancia neta]]/_xlfn.XLOOKUP(Cocina[[#This Row],[Número de Orden]],Sala[Número de Orden],Sala[Monto total],"fracaso",0,1)</f>
        <v>4.8484848484848485E-2</v>
      </c>
      <c r="L1704" t="s">
        <v>608</v>
      </c>
    </row>
    <row r="1705" spans="1:12" x14ac:dyDescent="0.25">
      <c r="A1705">
        <v>690</v>
      </c>
      <c r="B1705">
        <v>15</v>
      </c>
      <c r="C1705" t="s">
        <v>48</v>
      </c>
      <c r="D1705" t="s">
        <v>622</v>
      </c>
      <c r="E1705">
        <v>25</v>
      </c>
      <c r="F1705">
        <v>40</v>
      </c>
      <c r="G1705">
        <v>1</v>
      </c>
      <c r="H1705">
        <v>49</v>
      </c>
      <c r="I1705">
        <f>Cocina[[#This Row],[Precio Unitario]]*Cocina[[#This Row],[Cantidad Ordenada]]</f>
        <v>40</v>
      </c>
      <c r="J1705">
        <f>(Cocina[[#This Row],[Precio Unitario]]-Cocina[[#This Row],[Costo Unitario]])*Cocina[[#This Row],[Cantidad Ordenada]]</f>
        <v>15</v>
      </c>
      <c r="K1705" s="4">
        <f>Cocina[[#This Row],[Ganancia neta]]/_xlfn.XLOOKUP(Cocina[[#This Row],[Número de Orden]],Sala[Número de Orden],Sala[Monto total],"fracaso",0,1)</f>
        <v>7.8534031413612565E-2</v>
      </c>
      <c r="L1705" t="s">
        <v>607</v>
      </c>
    </row>
    <row r="1706" spans="1:12" x14ac:dyDescent="0.25">
      <c r="A1706">
        <v>690</v>
      </c>
      <c r="B1706">
        <v>15</v>
      </c>
      <c r="C1706" t="s">
        <v>116</v>
      </c>
      <c r="D1706" t="s">
        <v>620</v>
      </c>
      <c r="E1706">
        <v>19</v>
      </c>
      <c r="F1706">
        <v>31</v>
      </c>
      <c r="G1706">
        <v>2</v>
      </c>
      <c r="H1706">
        <v>16</v>
      </c>
      <c r="I1706">
        <f>Cocina[[#This Row],[Precio Unitario]]*Cocina[[#This Row],[Cantidad Ordenada]]</f>
        <v>62</v>
      </c>
      <c r="J1706">
        <f>(Cocina[[#This Row],[Precio Unitario]]-Cocina[[#This Row],[Costo Unitario]])*Cocina[[#This Row],[Cantidad Ordenada]]</f>
        <v>24</v>
      </c>
      <c r="K1706" s="4">
        <f>Cocina[[#This Row],[Ganancia neta]]/_xlfn.XLOOKUP(Cocina[[#This Row],[Número de Orden]],Sala[Número de Orden],Sala[Monto total],"fracaso",0,1)</f>
        <v>0.1256544502617801</v>
      </c>
      <c r="L1706" t="s">
        <v>607</v>
      </c>
    </row>
    <row r="1707" spans="1:12" x14ac:dyDescent="0.25">
      <c r="A1707">
        <v>690</v>
      </c>
      <c r="B1707">
        <v>15</v>
      </c>
      <c r="C1707" t="s">
        <v>42</v>
      </c>
      <c r="D1707" t="s">
        <v>626</v>
      </c>
      <c r="E1707">
        <v>16</v>
      </c>
      <c r="F1707">
        <v>28</v>
      </c>
      <c r="G1707">
        <v>2</v>
      </c>
      <c r="H1707">
        <v>54</v>
      </c>
      <c r="I1707">
        <f>Cocina[[#This Row],[Precio Unitario]]*Cocina[[#This Row],[Cantidad Ordenada]]</f>
        <v>56</v>
      </c>
      <c r="J1707">
        <f>(Cocina[[#This Row],[Precio Unitario]]-Cocina[[#This Row],[Costo Unitario]])*Cocina[[#This Row],[Cantidad Ordenada]]</f>
        <v>24</v>
      </c>
      <c r="K1707" s="4">
        <f>Cocina[[#This Row],[Ganancia neta]]/_xlfn.XLOOKUP(Cocina[[#This Row],[Número de Orden]],Sala[Número de Orden],Sala[Monto total],"fracaso",0,1)</f>
        <v>0.1256544502617801</v>
      </c>
      <c r="L1707" t="s">
        <v>607</v>
      </c>
    </row>
    <row r="1708" spans="1:12" x14ac:dyDescent="0.25">
      <c r="A1708">
        <v>690</v>
      </c>
      <c r="B1708">
        <v>15</v>
      </c>
      <c r="C1708" t="s">
        <v>261</v>
      </c>
      <c r="D1708" t="s">
        <v>625</v>
      </c>
      <c r="E1708">
        <v>20</v>
      </c>
      <c r="F1708">
        <v>33</v>
      </c>
      <c r="G1708">
        <v>1</v>
      </c>
      <c r="H1708">
        <v>24</v>
      </c>
      <c r="I1708">
        <f>Cocina[[#This Row],[Precio Unitario]]*Cocina[[#This Row],[Cantidad Ordenada]]</f>
        <v>33</v>
      </c>
      <c r="J1708">
        <f>(Cocina[[#This Row],[Precio Unitario]]-Cocina[[#This Row],[Costo Unitario]])*Cocina[[#This Row],[Cantidad Ordenada]]</f>
        <v>13</v>
      </c>
      <c r="K1708" s="4">
        <f>Cocina[[#This Row],[Ganancia neta]]/_xlfn.XLOOKUP(Cocina[[#This Row],[Número de Orden]],Sala[Número de Orden],Sala[Monto total],"fracaso",0,1)</f>
        <v>6.8062827225130892E-2</v>
      </c>
      <c r="L1708" t="s">
        <v>607</v>
      </c>
    </row>
    <row r="1709" spans="1:12" x14ac:dyDescent="0.25">
      <c r="A1709">
        <v>691</v>
      </c>
      <c r="B1709">
        <v>19</v>
      </c>
      <c r="C1709" t="s">
        <v>203</v>
      </c>
      <c r="D1709" t="s">
        <v>630</v>
      </c>
      <c r="E1709">
        <v>13</v>
      </c>
      <c r="F1709">
        <v>22</v>
      </c>
      <c r="G1709">
        <v>3</v>
      </c>
      <c r="H1709">
        <v>34</v>
      </c>
      <c r="I1709">
        <f>Cocina[[#This Row],[Precio Unitario]]*Cocina[[#This Row],[Cantidad Ordenada]]</f>
        <v>66</v>
      </c>
      <c r="J1709">
        <f>(Cocina[[#This Row],[Precio Unitario]]-Cocina[[#This Row],[Costo Unitario]])*Cocina[[#This Row],[Cantidad Ordenada]]</f>
        <v>27</v>
      </c>
      <c r="K1709" s="4">
        <f>Cocina[[#This Row],[Ganancia neta]]/_xlfn.XLOOKUP(Cocina[[#This Row],[Número de Orden]],Sala[Número de Orden],Sala[Monto total],"fracaso",0,1)</f>
        <v>0.40909090909090912</v>
      </c>
      <c r="L1709" t="s">
        <v>607</v>
      </c>
    </row>
    <row r="1710" spans="1:12" x14ac:dyDescent="0.25">
      <c r="A1710">
        <v>692</v>
      </c>
      <c r="B1710">
        <v>9</v>
      </c>
      <c r="C1710" t="s">
        <v>26</v>
      </c>
      <c r="D1710" t="s">
        <v>628</v>
      </c>
      <c r="E1710">
        <v>21</v>
      </c>
      <c r="F1710">
        <v>35</v>
      </c>
      <c r="G1710">
        <v>3</v>
      </c>
      <c r="H1710">
        <v>33</v>
      </c>
      <c r="I1710">
        <f>Cocina[[#This Row],[Precio Unitario]]*Cocina[[#This Row],[Cantidad Ordenada]]</f>
        <v>105</v>
      </c>
      <c r="J1710">
        <f>(Cocina[[#This Row],[Precio Unitario]]-Cocina[[#This Row],[Costo Unitario]])*Cocina[[#This Row],[Cantidad Ordenada]]</f>
        <v>42</v>
      </c>
      <c r="K1710" s="4">
        <f>Cocina[[#This Row],[Ganancia neta]]/_xlfn.XLOOKUP(Cocina[[#This Row],[Número de Orden]],Sala[Número de Orden],Sala[Monto total],"fracaso",0,1)</f>
        <v>0.24277456647398843</v>
      </c>
      <c r="L1710" t="s">
        <v>608</v>
      </c>
    </row>
    <row r="1711" spans="1:12" x14ac:dyDescent="0.25">
      <c r="A1711">
        <v>692</v>
      </c>
      <c r="B1711">
        <v>9</v>
      </c>
      <c r="C1711" t="s">
        <v>68</v>
      </c>
      <c r="D1711" t="s">
        <v>619</v>
      </c>
      <c r="E1711">
        <v>18</v>
      </c>
      <c r="F1711">
        <v>30</v>
      </c>
      <c r="G1711">
        <v>1</v>
      </c>
      <c r="H1711">
        <v>49</v>
      </c>
      <c r="I1711">
        <f>Cocina[[#This Row],[Precio Unitario]]*Cocina[[#This Row],[Cantidad Ordenada]]</f>
        <v>30</v>
      </c>
      <c r="J1711">
        <f>(Cocina[[#This Row],[Precio Unitario]]-Cocina[[#This Row],[Costo Unitario]])*Cocina[[#This Row],[Cantidad Ordenada]]</f>
        <v>12</v>
      </c>
      <c r="K1711" s="4">
        <f>Cocina[[#This Row],[Ganancia neta]]/_xlfn.XLOOKUP(Cocina[[#This Row],[Número de Orden]],Sala[Número de Orden],Sala[Monto total],"fracaso",0,1)</f>
        <v>6.9364161849710976E-2</v>
      </c>
      <c r="L1711" t="s">
        <v>607</v>
      </c>
    </row>
    <row r="1712" spans="1:12" x14ac:dyDescent="0.25">
      <c r="A1712">
        <v>692</v>
      </c>
      <c r="B1712">
        <v>9</v>
      </c>
      <c r="C1712" t="s">
        <v>79</v>
      </c>
      <c r="D1712" t="s">
        <v>635</v>
      </c>
      <c r="E1712">
        <v>10</v>
      </c>
      <c r="F1712">
        <v>18</v>
      </c>
      <c r="G1712">
        <v>1</v>
      </c>
      <c r="H1712">
        <v>11</v>
      </c>
      <c r="I1712">
        <f>Cocina[[#This Row],[Precio Unitario]]*Cocina[[#This Row],[Cantidad Ordenada]]</f>
        <v>18</v>
      </c>
      <c r="J1712">
        <f>(Cocina[[#This Row],[Precio Unitario]]-Cocina[[#This Row],[Costo Unitario]])*Cocina[[#This Row],[Cantidad Ordenada]]</f>
        <v>8</v>
      </c>
      <c r="K1712" s="4">
        <f>Cocina[[#This Row],[Ganancia neta]]/_xlfn.XLOOKUP(Cocina[[#This Row],[Número de Orden]],Sala[Número de Orden],Sala[Monto total],"fracaso",0,1)</f>
        <v>4.6242774566473986E-2</v>
      </c>
      <c r="L1712" t="s">
        <v>607</v>
      </c>
    </row>
    <row r="1713" spans="1:12" x14ac:dyDescent="0.25">
      <c r="A1713">
        <v>692</v>
      </c>
      <c r="B1713">
        <v>9</v>
      </c>
      <c r="C1713" t="s">
        <v>146</v>
      </c>
      <c r="D1713" t="s">
        <v>632</v>
      </c>
      <c r="E1713">
        <v>12</v>
      </c>
      <c r="F1713">
        <v>20</v>
      </c>
      <c r="G1713">
        <v>1</v>
      </c>
      <c r="H1713">
        <v>7</v>
      </c>
      <c r="I1713">
        <f>Cocina[[#This Row],[Precio Unitario]]*Cocina[[#This Row],[Cantidad Ordenada]]</f>
        <v>20</v>
      </c>
      <c r="J1713">
        <f>(Cocina[[#This Row],[Precio Unitario]]-Cocina[[#This Row],[Costo Unitario]])*Cocina[[#This Row],[Cantidad Ordenada]]</f>
        <v>8</v>
      </c>
      <c r="K1713" s="4">
        <f>Cocina[[#This Row],[Ganancia neta]]/_xlfn.XLOOKUP(Cocina[[#This Row],[Número de Orden]],Sala[Número de Orden],Sala[Monto total],"fracaso",0,1)</f>
        <v>4.6242774566473986E-2</v>
      </c>
      <c r="L1713" t="s">
        <v>607</v>
      </c>
    </row>
    <row r="1714" spans="1:12" x14ac:dyDescent="0.25">
      <c r="A1714">
        <v>693</v>
      </c>
      <c r="B1714">
        <v>15</v>
      </c>
      <c r="C1714" t="s">
        <v>73</v>
      </c>
      <c r="D1714" t="s">
        <v>623</v>
      </c>
      <c r="E1714">
        <v>22</v>
      </c>
      <c r="F1714">
        <v>36</v>
      </c>
      <c r="G1714">
        <v>1</v>
      </c>
      <c r="H1714">
        <v>20</v>
      </c>
      <c r="I1714">
        <f>Cocina[[#This Row],[Precio Unitario]]*Cocina[[#This Row],[Cantidad Ordenada]]</f>
        <v>36</v>
      </c>
      <c r="J1714">
        <f>(Cocina[[#This Row],[Precio Unitario]]-Cocina[[#This Row],[Costo Unitario]])*Cocina[[#This Row],[Cantidad Ordenada]]</f>
        <v>14</v>
      </c>
      <c r="K1714" s="4">
        <f>Cocina[[#This Row],[Ganancia neta]]/_xlfn.XLOOKUP(Cocina[[#This Row],[Número de Orden]],Sala[Número de Orden],Sala[Monto total],"fracaso",0,1)</f>
        <v>0.17948717948717949</v>
      </c>
      <c r="L1714" t="s">
        <v>607</v>
      </c>
    </row>
    <row r="1715" spans="1:12" x14ac:dyDescent="0.25">
      <c r="A1715">
        <v>693</v>
      </c>
      <c r="B1715">
        <v>15</v>
      </c>
      <c r="C1715" t="s">
        <v>70</v>
      </c>
      <c r="D1715" t="s">
        <v>634</v>
      </c>
      <c r="E1715">
        <v>13</v>
      </c>
      <c r="F1715">
        <v>21</v>
      </c>
      <c r="G1715">
        <v>2</v>
      </c>
      <c r="H1715">
        <v>24</v>
      </c>
      <c r="I1715">
        <f>Cocina[[#This Row],[Precio Unitario]]*Cocina[[#This Row],[Cantidad Ordenada]]</f>
        <v>42</v>
      </c>
      <c r="J1715">
        <f>(Cocina[[#This Row],[Precio Unitario]]-Cocina[[#This Row],[Costo Unitario]])*Cocina[[#This Row],[Cantidad Ordenada]]</f>
        <v>16</v>
      </c>
      <c r="K1715" s="4">
        <f>Cocina[[#This Row],[Ganancia neta]]/_xlfn.XLOOKUP(Cocina[[#This Row],[Número de Orden]],Sala[Número de Orden],Sala[Monto total],"fracaso",0,1)</f>
        <v>0.20512820512820512</v>
      </c>
      <c r="L1715" t="s">
        <v>607</v>
      </c>
    </row>
    <row r="1716" spans="1:12" x14ac:dyDescent="0.25">
      <c r="A1716">
        <v>694</v>
      </c>
      <c r="B1716">
        <v>5</v>
      </c>
      <c r="C1716" t="s">
        <v>146</v>
      </c>
      <c r="D1716" t="s">
        <v>632</v>
      </c>
      <c r="E1716">
        <v>12</v>
      </c>
      <c r="F1716">
        <v>20</v>
      </c>
      <c r="G1716">
        <v>3</v>
      </c>
      <c r="H1716">
        <v>20</v>
      </c>
      <c r="I1716">
        <f>Cocina[[#This Row],[Precio Unitario]]*Cocina[[#This Row],[Cantidad Ordenada]]</f>
        <v>60</v>
      </c>
      <c r="J1716">
        <f>(Cocina[[#This Row],[Precio Unitario]]-Cocina[[#This Row],[Costo Unitario]])*Cocina[[#This Row],[Cantidad Ordenada]]</f>
        <v>24</v>
      </c>
      <c r="K1716" s="4">
        <f>Cocina[[#This Row],[Ganancia neta]]/_xlfn.XLOOKUP(Cocina[[#This Row],[Número de Orden]],Sala[Número de Orden],Sala[Monto total],"fracaso",0,1)</f>
        <v>0.15286624203821655</v>
      </c>
      <c r="L1716" t="s">
        <v>607</v>
      </c>
    </row>
    <row r="1717" spans="1:12" x14ac:dyDescent="0.25">
      <c r="A1717">
        <v>694</v>
      </c>
      <c r="B1717">
        <v>5</v>
      </c>
      <c r="C1717" t="s">
        <v>79</v>
      </c>
      <c r="D1717" t="s">
        <v>635</v>
      </c>
      <c r="E1717">
        <v>10</v>
      </c>
      <c r="F1717">
        <v>18</v>
      </c>
      <c r="G1717">
        <v>2</v>
      </c>
      <c r="H1717">
        <v>26</v>
      </c>
      <c r="I1717">
        <f>Cocina[[#This Row],[Precio Unitario]]*Cocina[[#This Row],[Cantidad Ordenada]]</f>
        <v>36</v>
      </c>
      <c r="J1717">
        <f>(Cocina[[#This Row],[Precio Unitario]]-Cocina[[#This Row],[Costo Unitario]])*Cocina[[#This Row],[Cantidad Ordenada]]</f>
        <v>16</v>
      </c>
      <c r="K1717" s="4">
        <f>Cocina[[#This Row],[Ganancia neta]]/_xlfn.XLOOKUP(Cocina[[#This Row],[Número de Orden]],Sala[Número de Orden],Sala[Monto total],"fracaso",0,1)</f>
        <v>0.10191082802547771</v>
      </c>
      <c r="L1717" t="s">
        <v>608</v>
      </c>
    </row>
    <row r="1718" spans="1:12" x14ac:dyDescent="0.25">
      <c r="A1718">
        <v>694</v>
      </c>
      <c r="B1718">
        <v>5</v>
      </c>
      <c r="C1718" t="s">
        <v>48</v>
      </c>
      <c r="D1718" t="s">
        <v>622</v>
      </c>
      <c r="E1718">
        <v>25</v>
      </c>
      <c r="F1718">
        <v>40</v>
      </c>
      <c r="G1718">
        <v>1</v>
      </c>
      <c r="H1718">
        <v>40</v>
      </c>
      <c r="I1718">
        <f>Cocina[[#This Row],[Precio Unitario]]*Cocina[[#This Row],[Cantidad Ordenada]]</f>
        <v>40</v>
      </c>
      <c r="J1718">
        <f>(Cocina[[#This Row],[Precio Unitario]]-Cocina[[#This Row],[Costo Unitario]])*Cocina[[#This Row],[Cantidad Ordenada]]</f>
        <v>15</v>
      </c>
      <c r="K1718" s="4">
        <f>Cocina[[#This Row],[Ganancia neta]]/_xlfn.XLOOKUP(Cocina[[#This Row],[Número de Orden]],Sala[Número de Orden],Sala[Monto total],"fracaso",0,1)</f>
        <v>9.5541401273885357E-2</v>
      </c>
      <c r="L1718" t="s">
        <v>607</v>
      </c>
    </row>
    <row r="1719" spans="1:12" x14ac:dyDescent="0.25">
      <c r="A1719">
        <v>694</v>
      </c>
      <c r="B1719">
        <v>5</v>
      </c>
      <c r="C1719" t="s">
        <v>70</v>
      </c>
      <c r="D1719" t="s">
        <v>634</v>
      </c>
      <c r="E1719">
        <v>13</v>
      </c>
      <c r="F1719">
        <v>21</v>
      </c>
      <c r="G1719">
        <v>1</v>
      </c>
      <c r="H1719">
        <v>42</v>
      </c>
      <c r="I1719">
        <f>Cocina[[#This Row],[Precio Unitario]]*Cocina[[#This Row],[Cantidad Ordenada]]</f>
        <v>21</v>
      </c>
      <c r="J1719">
        <f>(Cocina[[#This Row],[Precio Unitario]]-Cocina[[#This Row],[Costo Unitario]])*Cocina[[#This Row],[Cantidad Ordenada]]</f>
        <v>8</v>
      </c>
      <c r="K1719" s="4">
        <f>Cocina[[#This Row],[Ganancia neta]]/_xlfn.XLOOKUP(Cocina[[#This Row],[Número de Orden]],Sala[Número de Orden],Sala[Monto total],"fracaso",0,1)</f>
        <v>5.0955414012738856E-2</v>
      </c>
      <c r="L1719" t="s">
        <v>608</v>
      </c>
    </row>
    <row r="1720" spans="1:12" x14ac:dyDescent="0.25">
      <c r="A1720">
        <v>695</v>
      </c>
      <c r="B1720">
        <v>9</v>
      </c>
      <c r="C1720" t="s">
        <v>42</v>
      </c>
      <c r="D1720" t="s">
        <v>626</v>
      </c>
      <c r="E1720">
        <v>16</v>
      </c>
      <c r="F1720">
        <v>28</v>
      </c>
      <c r="G1720">
        <v>2</v>
      </c>
      <c r="H1720">
        <v>30</v>
      </c>
      <c r="I1720">
        <f>Cocina[[#This Row],[Precio Unitario]]*Cocina[[#This Row],[Cantidad Ordenada]]</f>
        <v>56</v>
      </c>
      <c r="J1720">
        <f>(Cocina[[#This Row],[Precio Unitario]]-Cocina[[#This Row],[Costo Unitario]])*Cocina[[#This Row],[Cantidad Ordenada]]</f>
        <v>24</v>
      </c>
      <c r="K1720" s="4">
        <f>Cocina[[#This Row],[Ganancia neta]]/_xlfn.XLOOKUP(Cocina[[#This Row],[Número de Orden]],Sala[Número de Orden],Sala[Monto total],"fracaso",0,1)</f>
        <v>0.20689655172413793</v>
      </c>
      <c r="L1720" t="s">
        <v>608</v>
      </c>
    </row>
    <row r="1721" spans="1:12" x14ac:dyDescent="0.25">
      <c r="A1721">
        <v>695</v>
      </c>
      <c r="B1721">
        <v>9</v>
      </c>
      <c r="C1721" t="s">
        <v>68</v>
      </c>
      <c r="D1721" t="s">
        <v>619</v>
      </c>
      <c r="E1721">
        <v>18</v>
      </c>
      <c r="F1721">
        <v>30</v>
      </c>
      <c r="G1721">
        <v>2</v>
      </c>
      <c r="H1721">
        <v>7</v>
      </c>
      <c r="I1721">
        <f>Cocina[[#This Row],[Precio Unitario]]*Cocina[[#This Row],[Cantidad Ordenada]]</f>
        <v>60</v>
      </c>
      <c r="J1721">
        <f>(Cocina[[#This Row],[Precio Unitario]]-Cocina[[#This Row],[Costo Unitario]])*Cocina[[#This Row],[Cantidad Ordenada]]</f>
        <v>24</v>
      </c>
      <c r="K1721" s="4">
        <f>Cocina[[#This Row],[Ganancia neta]]/_xlfn.XLOOKUP(Cocina[[#This Row],[Número de Orden]],Sala[Número de Orden],Sala[Monto total],"fracaso",0,1)</f>
        <v>0.20689655172413793</v>
      </c>
      <c r="L1721" t="s">
        <v>608</v>
      </c>
    </row>
    <row r="1722" spans="1:12" x14ac:dyDescent="0.25">
      <c r="A1722">
        <v>696</v>
      </c>
      <c r="B1722">
        <v>2</v>
      </c>
      <c r="C1722" t="s">
        <v>200</v>
      </c>
      <c r="D1722" t="s">
        <v>633</v>
      </c>
      <c r="E1722">
        <v>14</v>
      </c>
      <c r="F1722">
        <v>23</v>
      </c>
      <c r="G1722">
        <v>2</v>
      </c>
      <c r="H1722">
        <v>23</v>
      </c>
      <c r="I1722">
        <f>Cocina[[#This Row],[Precio Unitario]]*Cocina[[#This Row],[Cantidad Ordenada]]</f>
        <v>46</v>
      </c>
      <c r="J1722">
        <f>(Cocina[[#This Row],[Precio Unitario]]-Cocina[[#This Row],[Costo Unitario]])*Cocina[[#This Row],[Cantidad Ordenada]]</f>
        <v>18</v>
      </c>
      <c r="K1722" s="4">
        <f>Cocina[[#This Row],[Ganancia neta]]/_xlfn.XLOOKUP(Cocina[[#This Row],[Número de Orden]],Sala[Número de Orden],Sala[Monto total],"fracaso",0,1)</f>
        <v>0.39130434782608697</v>
      </c>
      <c r="L1722" t="s">
        <v>607</v>
      </c>
    </row>
    <row r="1723" spans="1:12" x14ac:dyDescent="0.25">
      <c r="A1723">
        <v>697</v>
      </c>
      <c r="B1723">
        <v>4</v>
      </c>
      <c r="C1723" t="s">
        <v>200</v>
      </c>
      <c r="D1723" t="s">
        <v>633</v>
      </c>
      <c r="E1723">
        <v>14</v>
      </c>
      <c r="F1723">
        <v>23</v>
      </c>
      <c r="G1723">
        <v>2</v>
      </c>
      <c r="H1723">
        <v>24</v>
      </c>
      <c r="I1723">
        <f>Cocina[[#This Row],[Precio Unitario]]*Cocina[[#This Row],[Cantidad Ordenada]]</f>
        <v>46</v>
      </c>
      <c r="J1723">
        <f>(Cocina[[#This Row],[Precio Unitario]]-Cocina[[#This Row],[Costo Unitario]])*Cocina[[#This Row],[Cantidad Ordenada]]</f>
        <v>18</v>
      </c>
      <c r="K1723" s="4">
        <f>Cocina[[#This Row],[Ganancia neta]]/_xlfn.XLOOKUP(Cocina[[#This Row],[Número de Orden]],Sala[Número de Orden],Sala[Monto total],"fracaso",0,1)</f>
        <v>9.0452261306532666E-2</v>
      </c>
      <c r="L1723" t="s">
        <v>607</v>
      </c>
    </row>
    <row r="1724" spans="1:12" x14ac:dyDescent="0.25">
      <c r="A1724">
        <v>697</v>
      </c>
      <c r="B1724">
        <v>4</v>
      </c>
      <c r="C1724" t="s">
        <v>261</v>
      </c>
      <c r="D1724" t="s">
        <v>625</v>
      </c>
      <c r="E1724">
        <v>20</v>
      </c>
      <c r="F1724">
        <v>33</v>
      </c>
      <c r="G1724">
        <v>2</v>
      </c>
      <c r="H1724">
        <v>41</v>
      </c>
      <c r="I1724">
        <f>Cocina[[#This Row],[Precio Unitario]]*Cocina[[#This Row],[Cantidad Ordenada]]</f>
        <v>66</v>
      </c>
      <c r="J1724">
        <f>(Cocina[[#This Row],[Precio Unitario]]-Cocina[[#This Row],[Costo Unitario]])*Cocina[[#This Row],[Cantidad Ordenada]]</f>
        <v>26</v>
      </c>
      <c r="K1724" s="4">
        <f>Cocina[[#This Row],[Ganancia neta]]/_xlfn.XLOOKUP(Cocina[[#This Row],[Número de Orden]],Sala[Número de Orden],Sala[Monto total],"fracaso",0,1)</f>
        <v>0.1306532663316583</v>
      </c>
      <c r="L1724" t="s">
        <v>608</v>
      </c>
    </row>
    <row r="1725" spans="1:12" x14ac:dyDescent="0.25">
      <c r="A1725">
        <v>697</v>
      </c>
      <c r="B1725">
        <v>4</v>
      </c>
      <c r="C1725" t="s">
        <v>68</v>
      </c>
      <c r="D1725" t="s">
        <v>619</v>
      </c>
      <c r="E1725">
        <v>18</v>
      </c>
      <c r="F1725">
        <v>30</v>
      </c>
      <c r="G1725">
        <v>2</v>
      </c>
      <c r="H1725">
        <v>35</v>
      </c>
      <c r="I1725">
        <f>Cocina[[#This Row],[Precio Unitario]]*Cocina[[#This Row],[Cantidad Ordenada]]</f>
        <v>60</v>
      </c>
      <c r="J1725">
        <f>(Cocina[[#This Row],[Precio Unitario]]-Cocina[[#This Row],[Costo Unitario]])*Cocina[[#This Row],[Cantidad Ordenada]]</f>
        <v>24</v>
      </c>
      <c r="K1725" s="4">
        <f>Cocina[[#This Row],[Ganancia neta]]/_xlfn.XLOOKUP(Cocina[[#This Row],[Número de Orden]],Sala[Número de Orden],Sala[Monto total],"fracaso",0,1)</f>
        <v>0.12060301507537688</v>
      </c>
      <c r="L1725" t="s">
        <v>608</v>
      </c>
    </row>
    <row r="1726" spans="1:12" x14ac:dyDescent="0.25">
      <c r="A1726">
        <v>697</v>
      </c>
      <c r="B1726">
        <v>4</v>
      </c>
      <c r="C1726" t="s">
        <v>106</v>
      </c>
      <c r="D1726" t="s">
        <v>621</v>
      </c>
      <c r="E1726">
        <v>16</v>
      </c>
      <c r="F1726">
        <v>27</v>
      </c>
      <c r="G1726">
        <v>1</v>
      </c>
      <c r="H1726">
        <v>7</v>
      </c>
      <c r="I1726">
        <f>Cocina[[#This Row],[Precio Unitario]]*Cocina[[#This Row],[Cantidad Ordenada]]</f>
        <v>27</v>
      </c>
      <c r="J1726">
        <f>(Cocina[[#This Row],[Precio Unitario]]-Cocina[[#This Row],[Costo Unitario]])*Cocina[[#This Row],[Cantidad Ordenada]]</f>
        <v>11</v>
      </c>
      <c r="K1726" s="4">
        <f>Cocina[[#This Row],[Ganancia neta]]/_xlfn.XLOOKUP(Cocina[[#This Row],[Número de Orden]],Sala[Número de Orden],Sala[Monto total],"fracaso",0,1)</f>
        <v>5.5276381909547742E-2</v>
      </c>
      <c r="L1726" t="s">
        <v>607</v>
      </c>
    </row>
    <row r="1727" spans="1:12" x14ac:dyDescent="0.25">
      <c r="A1727">
        <v>698</v>
      </c>
      <c r="B1727">
        <v>19</v>
      </c>
      <c r="C1727" t="s">
        <v>106</v>
      </c>
      <c r="D1727" t="s">
        <v>621</v>
      </c>
      <c r="E1727">
        <v>16</v>
      </c>
      <c r="F1727">
        <v>27</v>
      </c>
      <c r="G1727">
        <v>1</v>
      </c>
      <c r="H1727">
        <v>55</v>
      </c>
      <c r="I1727">
        <f>Cocina[[#This Row],[Precio Unitario]]*Cocina[[#This Row],[Cantidad Ordenada]]</f>
        <v>27</v>
      </c>
      <c r="J1727">
        <f>(Cocina[[#This Row],[Precio Unitario]]-Cocina[[#This Row],[Costo Unitario]])*Cocina[[#This Row],[Cantidad Ordenada]]</f>
        <v>11</v>
      </c>
      <c r="K1727" s="4">
        <f>Cocina[[#This Row],[Ganancia neta]]/_xlfn.XLOOKUP(Cocina[[#This Row],[Número de Orden]],Sala[Número de Orden],Sala[Monto total],"fracaso",0,1)</f>
        <v>5.9459459459459463E-2</v>
      </c>
      <c r="L1727" t="s">
        <v>608</v>
      </c>
    </row>
    <row r="1728" spans="1:12" x14ac:dyDescent="0.25">
      <c r="A1728">
        <v>698</v>
      </c>
      <c r="B1728">
        <v>19</v>
      </c>
      <c r="C1728" t="s">
        <v>155</v>
      </c>
      <c r="D1728" t="s">
        <v>636</v>
      </c>
      <c r="E1728">
        <v>15</v>
      </c>
      <c r="F1728">
        <v>26</v>
      </c>
      <c r="G1728">
        <v>1</v>
      </c>
      <c r="H1728">
        <v>12</v>
      </c>
      <c r="I1728">
        <f>Cocina[[#This Row],[Precio Unitario]]*Cocina[[#This Row],[Cantidad Ordenada]]</f>
        <v>26</v>
      </c>
      <c r="J1728">
        <f>(Cocina[[#This Row],[Precio Unitario]]-Cocina[[#This Row],[Costo Unitario]])*Cocina[[#This Row],[Cantidad Ordenada]]</f>
        <v>11</v>
      </c>
      <c r="K1728" s="4">
        <f>Cocina[[#This Row],[Ganancia neta]]/_xlfn.XLOOKUP(Cocina[[#This Row],[Número de Orden]],Sala[Número de Orden],Sala[Monto total],"fracaso",0,1)</f>
        <v>5.9459459459459463E-2</v>
      </c>
      <c r="L1728" t="s">
        <v>608</v>
      </c>
    </row>
    <row r="1729" spans="1:12" x14ac:dyDescent="0.25">
      <c r="A1729">
        <v>698</v>
      </c>
      <c r="B1729">
        <v>19</v>
      </c>
      <c r="C1729" t="s">
        <v>200</v>
      </c>
      <c r="D1729" t="s">
        <v>633</v>
      </c>
      <c r="E1729">
        <v>14</v>
      </c>
      <c r="F1729">
        <v>23</v>
      </c>
      <c r="G1729">
        <v>3</v>
      </c>
      <c r="H1729">
        <v>19</v>
      </c>
      <c r="I1729">
        <f>Cocina[[#This Row],[Precio Unitario]]*Cocina[[#This Row],[Cantidad Ordenada]]</f>
        <v>69</v>
      </c>
      <c r="J1729">
        <f>(Cocina[[#This Row],[Precio Unitario]]-Cocina[[#This Row],[Costo Unitario]])*Cocina[[#This Row],[Cantidad Ordenada]]</f>
        <v>27</v>
      </c>
      <c r="K1729" s="4">
        <f>Cocina[[#This Row],[Ganancia neta]]/_xlfn.XLOOKUP(Cocina[[#This Row],[Número de Orden]],Sala[Número de Orden],Sala[Monto total],"fracaso",0,1)</f>
        <v>0.14594594594594595</v>
      </c>
      <c r="L1729" t="s">
        <v>608</v>
      </c>
    </row>
    <row r="1730" spans="1:12" x14ac:dyDescent="0.25">
      <c r="A1730">
        <v>698</v>
      </c>
      <c r="B1730">
        <v>19</v>
      </c>
      <c r="C1730" t="s">
        <v>70</v>
      </c>
      <c r="D1730" t="s">
        <v>634</v>
      </c>
      <c r="E1730">
        <v>13</v>
      </c>
      <c r="F1730">
        <v>21</v>
      </c>
      <c r="G1730">
        <v>3</v>
      </c>
      <c r="H1730">
        <v>15</v>
      </c>
      <c r="I1730">
        <f>Cocina[[#This Row],[Precio Unitario]]*Cocina[[#This Row],[Cantidad Ordenada]]</f>
        <v>63</v>
      </c>
      <c r="J1730">
        <f>(Cocina[[#This Row],[Precio Unitario]]-Cocina[[#This Row],[Costo Unitario]])*Cocina[[#This Row],[Cantidad Ordenada]]</f>
        <v>24</v>
      </c>
      <c r="K1730" s="4">
        <f>Cocina[[#This Row],[Ganancia neta]]/_xlfn.XLOOKUP(Cocina[[#This Row],[Número de Orden]],Sala[Número de Orden],Sala[Monto total],"fracaso",0,1)</f>
        <v>0.12972972972972974</v>
      </c>
      <c r="L1730" t="s">
        <v>608</v>
      </c>
    </row>
    <row r="1731" spans="1:12" x14ac:dyDescent="0.25">
      <c r="A1731">
        <v>699</v>
      </c>
      <c r="B1731">
        <v>8</v>
      </c>
      <c r="C1731" t="s">
        <v>38</v>
      </c>
      <c r="D1731" t="s">
        <v>624</v>
      </c>
      <c r="E1731">
        <v>17</v>
      </c>
      <c r="F1731">
        <v>29</v>
      </c>
      <c r="G1731">
        <v>2</v>
      </c>
      <c r="H1731">
        <v>11</v>
      </c>
      <c r="I1731">
        <f>Cocina[[#This Row],[Precio Unitario]]*Cocina[[#This Row],[Cantidad Ordenada]]</f>
        <v>58</v>
      </c>
      <c r="J1731">
        <f>(Cocina[[#This Row],[Precio Unitario]]-Cocina[[#This Row],[Costo Unitario]])*Cocina[[#This Row],[Cantidad Ordenada]]</f>
        <v>24</v>
      </c>
      <c r="K1731" s="4">
        <f>Cocina[[#This Row],[Ganancia neta]]/_xlfn.XLOOKUP(Cocina[[#This Row],[Número de Orden]],Sala[Número de Orden],Sala[Monto total],"fracaso",0,1)</f>
        <v>0.41379310344827586</v>
      </c>
      <c r="L1731" t="s">
        <v>608</v>
      </c>
    </row>
    <row r="1732" spans="1:12" x14ac:dyDescent="0.25">
      <c r="A1732">
        <v>700</v>
      </c>
      <c r="B1732">
        <v>8</v>
      </c>
      <c r="C1732" t="s">
        <v>55</v>
      </c>
      <c r="D1732" t="s">
        <v>631</v>
      </c>
      <c r="E1732">
        <v>20</v>
      </c>
      <c r="F1732">
        <v>34</v>
      </c>
      <c r="G1732">
        <v>3</v>
      </c>
      <c r="H1732">
        <v>37</v>
      </c>
      <c r="I1732">
        <f>Cocina[[#This Row],[Precio Unitario]]*Cocina[[#This Row],[Cantidad Ordenada]]</f>
        <v>102</v>
      </c>
      <c r="J1732">
        <f>(Cocina[[#This Row],[Precio Unitario]]-Cocina[[#This Row],[Costo Unitario]])*Cocina[[#This Row],[Cantidad Ordenada]]</f>
        <v>42</v>
      </c>
      <c r="K1732" s="4">
        <f>Cocina[[#This Row],[Ganancia neta]]/_xlfn.XLOOKUP(Cocina[[#This Row],[Número de Orden]],Sala[Número de Orden],Sala[Monto total],"fracaso",0,1)</f>
        <v>0.17948717948717949</v>
      </c>
      <c r="L1732" t="s">
        <v>608</v>
      </c>
    </row>
    <row r="1733" spans="1:12" x14ac:dyDescent="0.25">
      <c r="A1733">
        <v>700</v>
      </c>
      <c r="B1733">
        <v>8</v>
      </c>
      <c r="C1733" t="s">
        <v>155</v>
      </c>
      <c r="D1733" t="s">
        <v>636</v>
      </c>
      <c r="E1733">
        <v>15</v>
      </c>
      <c r="F1733">
        <v>26</v>
      </c>
      <c r="G1733">
        <v>3</v>
      </c>
      <c r="H1733">
        <v>35</v>
      </c>
      <c r="I1733">
        <f>Cocina[[#This Row],[Precio Unitario]]*Cocina[[#This Row],[Cantidad Ordenada]]</f>
        <v>78</v>
      </c>
      <c r="J1733">
        <f>(Cocina[[#This Row],[Precio Unitario]]-Cocina[[#This Row],[Costo Unitario]])*Cocina[[#This Row],[Cantidad Ordenada]]</f>
        <v>33</v>
      </c>
      <c r="K1733" s="4">
        <f>Cocina[[#This Row],[Ganancia neta]]/_xlfn.XLOOKUP(Cocina[[#This Row],[Número de Orden]],Sala[Número de Orden],Sala[Monto total],"fracaso",0,1)</f>
        <v>0.14102564102564102</v>
      </c>
      <c r="L1733" t="s">
        <v>608</v>
      </c>
    </row>
    <row r="1734" spans="1:12" x14ac:dyDescent="0.25">
      <c r="A1734">
        <v>700</v>
      </c>
      <c r="B1734">
        <v>8</v>
      </c>
      <c r="C1734" t="s">
        <v>106</v>
      </c>
      <c r="D1734" t="s">
        <v>621</v>
      </c>
      <c r="E1734">
        <v>16</v>
      </c>
      <c r="F1734">
        <v>27</v>
      </c>
      <c r="G1734">
        <v>2</v>
      </c>
      <c r="H1734">
        <v>14</v>
      </c>
      <c r="I1734">
        <f>Cocina[[#This Row],[Precio Unitario]]*Cocina[[#This Row],[Cantidad Ordenada]]</f>
        <v>54</v>
      </c>
      <c r="J1734">
        <f>(Cocina[[#This Row],[Precio Unitario]]-Cocina[[#This Row],[Costo Unitario]])*Cocina[[#This Row],[Cantidad Ordenada]]</f>
        <v>22</v>
      </c>
      <c r="K1734" s="4">
        <f>Cocina[[#This Row],[Ganancia neta]]/_xlfn.XLOOKUP(Cocina[[#This Row],[Número de Orden]],Sala[Número de Orden],Sala[Monto total],"fracaso",0,1)</f>
        <v>9.4017094017094016E-2</v>
      </c>
      <c r="L1734" t="s">
        <v>608</v>
      </c>
    </row>
    <row r="1735" spans="1:12" x14ac:dyDescent="0.25">
      <c r="A1735">
        <v>701</v>
      </c>
      <c r="B1735">
        <v>19</v>
      </c>
      <c r="C1735" t="s">
        <v>261</v>
      </c>
      <c r="D1735" t="s">
        <v>625</v>
      </c>
      <c r="E1735">
        <v>20</v>
      </c>
      <c r="F1735">
        <v>33</v>
      </c>
      <c r="G1735">
        <v>2</v>
      </c>
      <c r="H1735">
        <v>42</v>
      </c>
      <c r="I1735">
        <f>Cocina[[#This Row],[Precio Unitario]]*Cocina[[#This Row],[Cantidad Ordenada]]</f>
        <v>66</v>
      </c>
      <c r="J1735">
        <f>(Cocina[[#This Row],[Precio Unitario]]-Cocina[[#This Row],[Costo Unitario]])*Cocina[[#This Row],[Cantidad Ordenada]]</f>
        <v>26</v>
      </c>
      <c r="K1735" s="4">
        <f>Cocina[[#This Row],[Ganancia neta]]/_xlfn.XLOOKUP(Cocina[[#This Row],[Número de Orden]],Sala[Número de Orden],Sala[Monto total],"fracaso",0,1)</f>
        <v>0.25490196078431371</v>
      </c>
      <c r="L1735" t="s">
        <v>608</v>
      </c>
    </row>
    <row r="1736" spans="1:12" x14ac:dyDescent="0.25">
      <c r="A1736">
        <v>701</v>
      </c>
      <c r="B1736">
        <v>19</v>
      </c>
      <c r="C1736" t="s">
        <v>79</v>
      </c>
      <c r="D1736" t="s">
        <v>635</v>
      </c>
      <c r="E1736">
        <v>10</v>
      </c>
      <c r="F1736">
        <v>18</v>
      </c>
      <c r="G1736">
        <v>2</v>
      </c>
      <c r="H1736">
        <v>55</v>
      </c>
      <c r="I1736">
        <f>Cocina[[#This Row],[Precio Unitario]]*Cocina[[#This Row],[Cantidad Ordenada]]</f>
        <v>36</v>
      </c>
      <c r="J1736">
        <f>(Cocina[[#This Row],[Precio Unitario]]-Cocina[[#This Row],[Costo Unitario]])*Cocina[[#This Row],[Cantidad Ordenada]]</f>
        <v>16</v>
      </c>
      <c r="K1736" s="4">
        <f>Cocina[[#This Row],[Ganancia neta]]/_xlfn.XLOOKUP(Cocina[[#This Row],[Número de Orden]],Sala[Número de Orden],Sala[Monto total],"fracaso",0,1)</f>
        <v>0.15686274509803921</v>
      </c>
      <c r="L1736" t="s">
        <v>608</v>
      </c>
    </row>
    <row r="1737" spans="1:12" x14ac:dyDescent="0.25">
      <c r="A1737">
        <v>702</v>
      </c>
      <c r="B1737">
        <v>13</v>
      </c>
      <c r="C1737" t="s">
        <v>79</v>
      </c>
      <c r="D1737" t="s">
        <v>635</v>
      </c>
      <c r="E1737">
        <v>10</v>
      </c>
      <c r="F1737">
        <v>18</v>
      </c>
      <c r="G1737">
        <v>2</v>
      </c>
      <c r="H1737">
        <v>59</v>
      </c>
      <c r="I1737">
        <f>Cocina[[#This Row],[Precio Unitario]]*Cocina[[#This Row],[Cantidad Ordenada]]</f>
        <v>36</v>
      </c>
      <c r="J1737">
        <f>(Cocina[[#This Row],[Precio Unitario]]-Cocina[[#This Row],[Costo Unitario]])*Cocina[[#This Row],[Cantidad Ordenada]]</f>
        <v>16</v>
      </c>
      <c r="K1737" s="4">
        <f>Cocina[[#This Row],[Ganancia neta]]/_xlfn.XLOOKUP(Cocina[[#This Row],[Número de Orden]],Sala[Número de Orden],Sala[Monto total],"fracaso",0,1)</f>
        <v>8.2051282051282051E-2</v>
      </c>
      <c r="L1737" t="s">
        <v>607</v>
      </c>
    </row>
    <row r="1738" spans="1:12" x14ac:dyDescent="0.25">
      <c r="A1738">
        <v>702</v>
      </c>
      <c r="B1738">
        <v>13</v>
      </c>
      <c r="C1738" t="s">
        <v>70</v>
      </c>
      <c r="D1738" t="s">
        <v>634</v>
      </c>
      <c r="E1738">
        <v>13</v>
      </c>
      <c r="F1738">
        <v>21</v>
      </c>
      <c r="G1738">
        <v>1</v>
      </c>
      <c r="H1738">
        <v>36</v>
      </c>
      <c r="I1738">
        <f>Cocina[[#This Row],[Precio Unitario]]*Cocina[[#This Row],[Cantidad Ordenada]]</f>
        <v>21</v>
      </c>
      <c r="J1738">
        <f>(Cocina[[#This Row],[Precio Unitario]]-Cocina[[#This Row],[Costo Unitario]])*Cocina[[#This Row],[Cantidad Ordenada]]</f>
        <v>8</v>
      </c>
      <c r="K1738" s="4">
        <f>Cocina[[#This Row],[Ganancia neta]]/_xlfn.XLOOKUP(Cocina[[#This Row],[Número de Orden]],Sala[Número de Orden],Sala[Monto total],"fracaso",0,1)</f>
        <v>4.1025641025641026E-2</v>
      </c>
      <c r="L1738" t="s">
        <v>607</v>
      </c>
    </row>
    <row r="1739" spans="1:12" x14ac:dyDescent="0.25">
      <c r="A1739">
        <v>702</v>
      </c>
      <c r="B1739">
        <v>13</v>
      </c>
      <c r="C1739" t="s">
        <v>106</v>
      </c>
      <c r="D1739" t="s">
        <v>621</v>
      </c>
      <c r="E1739">
        <v>16</v>
      </c>
      <c r="F1739">
        <v>27</v>
      </c>
      <c r="G1739">
        <v>2</v>
      </c>
      <c r="H1739">
        <v>29</v>
      </c>
      <c r="I1739">
        <f>Cocina[[#This Row],[Precio Unitario]]*Cocina[[#This Row],[Cantidad Ordenada]]</f>
        <v>54</v>
      </c>
      <c r="J1739">
        <f>(Cocina[[#This Row],[Precio Unitario]]-Cocina[[#This Row],[Costo Unitario]])*Cocina[[#This Row],[Cantidad Ordenada]]</f>
        <v>22</v>
      </c>
      <c r="K1739" s="4">
        <f>Cocina[[#This Row],[Ganancia neta]]/_xlfn.XLOOKUP(Cocina[[#This Row],[Número de Orden]],Sala[Número de Orden],Sala[Monto total],"fracaso",0,1)</f>
        <v>0.11282051282051282</v>
      </c>
      <c r="L1739" t="s">
        <v>608</v>
      </c>
    </row>
    <row r="1740" spans="1:12" x14ac:dyDescent="0.25">
      <c r="A1740">
        <v>702</v>
      </c>
      <c r="B1740">
        <v>13</v>
      </c>
      <c r="C1740" t="s">
        <v>42</v>
      </c>
      <c r="D1740" t="s">
        <v>626</v>
      </c>
      <c r="E1740">
        <v>16</v>
      </c>
      <c r="F1740">
        <v>28</v>
      </c>
      <c r="G1740">
        <v>3</v>
      </c>
      <c r="H1740">
        <v>31</v>
      </c>
      <c r="I1740">
        <f>Cocina[[#This Row],[Precio Unitario]]*Cocina[[#This Row],[Cantidad Ordenada]]</f>
        <v>84</v>
      </c>
      <c r="J1740">
        <f>(Cocina[[#This Row],[Precio Unitario]]-Cocina[[#This Row],[Costo Unitario]])*Cocina[[#This Row],[Cantidad Ordenada]]</f>
        <v>36</v>
      </c>
      <c r="K1740" s="4">
        <f>Cocina[[#This Row],[Ganancia neta]]/_xlfn.XLOOKUP(Cocina[[#This Row],[Número de Orden]],Sala[Número de Orden],Sala[Monto total],"fracaso",0,1)</f>
        <v>0.18461538461538463</v>
      </c>
      <c r="L1740" t="s">
        <v>607</v>
      </c>
    </row>
    <row r="1741" spans="1:12" x14ac:dyDescent="0.25">
      <c r="A1741">
        <v>703</v>
      </c>
      <c r="B1741">
        <v>9</v>
      </c>
      <c r="C1741" t="s">
        <v>70</v>
      </c>
      <c r="D1741" t="s">
        <v>634</v>
      </c>
      <c r="E1741">
        <v>13</v>
      </c>
      <c r="F1741">
        <v>21</v>
      </c>
      <c r="G1741">
        <v>3</v>
      </c>
      <c r="H1741">
        <v>29</v>
      </c>
      <c r="I1741">
        <f>Cocina[[#This Row],[Precio Unitario]]*Cocina[[#This Row],[Cantidad Ordenada]]</f>
        <v>63</v>
      </c>
      <c r="J1741">
        <f>(Cocina[[#This Row],[Precio Unitario]]-Cocina[[#This Row],[Costo Unitario]])*Cocina[[#This Row],[Cantidad Ordenada]]</f>
        <v>24</v>
      </c>
      <c r="K1741" s="4">
        <f>Cocina[[#This Row],[Ganancia neta]]/_xlfn.XLOOKUP(Cocina[[#This Row],[Número de Orden]],Sala[Número de Orden],Sala[Monto total],"fracaso",0,1)</f>
        <v>0.38095238095238093</v>
      </c>
      <c r="L1741" t="s">
        <v>608</v>
      </c>
    </row>
    <row r="1742" spans="1:12" x14ac:dyDescent="0.25">
      <c r="A1742">
        <v>704</v>
      </c>
      <c r="B1742">
        <v>13</v>
      </c>
      <c r="C1742" t="s">
        <v>79</v>
      </c>
      <c r="D1742" t="s">
        <v>635</v>
      </c>
      <c r="E1742">
        <v>10</v>
      </c>
      <c r="F1742">
        <v>18</v>
      </c>
      <c r="G1742">
        <v>1</v>
      </c>
      <c r="H1742">
        <v>38</v>
      </c>
      <c r="I1742">
        <f>Cocina[[#This Row],[Precio Unitario]]*Cocina[[#This Row],[Cantidad Ordenada]]</f>
        <v>18</v>
      </c>
      <c r="J1742">
        <f>(Cocina[[#This Row],[Precio Unitario]]-Cocina[[#This Row],[Costo Unitario]])*Cocina[[#This Row],[Cantidad Ordenada]]</f>
        <v>8</v>
      </c>
      <c r="K1742" s="4">
        <f>Cocina[[#This Row],[Ganancia neta]]/_xlfn.XLOOKUP(Cocina[[#This Row],[Número de Orden]],Sala[Número de Orden],Sala[Monto total],"fracaso",0,1)</f>
        <v>0.44444444444444442</v>
      </c>
      <c r="L1742" t="s">
        <v>607</v>
      </c>
    </row>
    <row r="1743" spans="1:12" x14ac:dyDescent="0.25">
      <c r="A1743">
        <v>705</v>
      </c>
      <c r="B1743">
        <v>12</v>
      </c>
      <c r="C1743" t="s">
        <v>146</v>
      </c>
      <c r="D1743" t="s">
        <v>632</v>
      </c>
      <c r="E1743">
        <v>12</v>
      </c>
      <c r="F1743">
        <v>20</v>
      </c>
      <c r="G1743">
        <v>3</v>
      </c>
      <c r="H1743">
        <v>25</v>
      </c>
      <c r="I1743">
        <f>Cocina[[#This Row],[Precio Unitario]]*Cocina[[#This Row],[Cantidad Ordenada]]</f>
        <v>60</v>
      </c>
      <c r="J1743">
        <f>(Cocina[[#This Row],[Precio Unitario]]-Cocina[[#This Row],[Costo Unitario]])*Cocina[[#This Row],[Cantidad Ordenada]]</f>
        <v>24</v>
      </c>
      <c r="K1743" s="4">
        <f>Cocina[[#This Row],[Ganancia neta]]/_xlfn.XLOOKUP(Cocina[[#This Row],[Número de Orden]],Sala[Número de Orden],Sala[Monto total],"fracaso",0,1)</f>
        <v>0.21428571428571427</v>
      </c>
      <c r="L1743" t="s">
        <v>608</v>
      </c>
    </row>
    <row r="1744" spans="1:12" x14ac:dyDescent="0.25">
      <c r="A1744">
        <v>705</v>
      </c>
      <c r="B1744">
        <v>12</v>
      </c>
      <c r="C1744" t="s">
        <v>155</v>
      </c>
      <c r="D1744" t="s">
        <v>636</v>
      </c>
      <c r="E1744">
        <v>15</v>
      </c>
      <c r="F1744">
        <v>26</v>
      </c>
      <c r="G1744">
        <v>2</v>
      </c>
      <c r="H1744">
        <v>8</v>
      </c>
      <c r="I1744">
        <f>Cocina[[#This Row],[Precio Unitario]]*Cocina[[#This Row],[Cantidad Ordenada]]</f>
        <v>52</v>
      </c>
      <c r="J1744">
        <f>(Cocina[[#This Row],[Precio Unitario]]-Cocina[[#This Row],[Costo Unitario]])*Cocina[[#This Row],[Cantidad Ordenada]]</f>
        <v>22</v>
      </c>
      <c r="K1744" s="4">
        <f>Cocina[[#This Row],[Ganancia neta]]/_xlfn.XLOOKUP(Cocina[[#This Row],[Número de Orden]],Sala[Número de Orden],Sala[Monto total],"fracaso",0,1)</f>
        <v>0.19642857142857142</v>
      </c>
      <c r="L1744" t="s">
        <v>607</v>
      </c>
    </row>
    <row r="1745" spans="1:12" x14ac:dyDescent="0.25">
      <c r="A1745">
        <v>706</v>
      </c>
      <c r="B1745">
        <v>20</v>
      </c>
      <c r="C1745" t="s">
        <v>79</v>
      </c>
      <c r="D1745" t="s">
        <v>635</v>
      </c>
      <c r="E1745">
        <v>10</v>
      </c>
      <c r="F1745">
        <v>18</v>
      </c>
      <c r="G1745">
        <v>3</v>
      </c>
      <c r="H1745">
        <v>33</v>
      </c>
      <c r="I1745">
        <f>Cocina[[#This Row],[Precio Unitario]]*Cocina[[#This Row],[Cantidad Ordenada]]</f>
        <v>54</v>
      </c>
      <c r="J1745">
        <f>(Cocina[[#This Row],[Precio Unitario]]-Cocina[[#This Row],[Costo Unitario]])*Cocina[[#This Row],[Cantidad Ordenada]]</f>
        <v>24</v>
      </c>
      <c r="K1745" s="4">
        <f>Cocina[[#This Row],[Ganancia neta]]/_xlfn.XLOOKUP(Cocina[[#This Row],[Número de Orden]],Sala[Número de Orden],Sala[Monto total],"fracaso",0,1)</f>
        <v>0.44444444444444442</v>
      </c>
      <c r="L1745" t="s">
        <v>608</v>
      </c>
    </row>
    <row r="1746" spans="1:12" x14ac:dyDescent="0.25">
      <c r="A1746">
        <v>707</v>
      </c>
      <c r="B1746">
        <v>15</v>
      </c>
      <c r="C1746" t="s">
        <v>247</v>
      </c>
      <c r="D1746" t="s">
        <v>629</v>
      </c>
      <c r="E1746">
        <v>19</v>
      </c>
      <c r="F1746">
        <v>32</v>
      </c>
      <c r="G1746">
        <v>1</v>
      </c>
      <c r="H1746">
        <v>31</v>
      </c>
      <c r="I1746">
        <f>Cocina[[#This Row],[Precio Unitario]]*Cocina[[#This Row],[Cantidad Ordenada]]</f>
        <v>32</v>
      </c>
      <c r="J1746">
        <f>(Cocina[[#This Row],[Precio Unitario]]-Cocina[[#This Row],[Costo Unitario]])*Cocina[[#This Row],[Cantidad Ordenada]]</f>
        <v>13</v>
      </c>
      <c r="K1746" s="4">
        <f>Cocina[[#This Row],[Ganancia neta]]/_xlfn.XLOOKUP(Cocina[[#This Row],[Número de Orden]],Sala[Número de Orden],Sala[Monto total],"fracaso",0,1)</f>
        <v>7.0270270270270274E-2</v>
      </c>
      <c r="L1746" t="s">
        <v>607</v>
      </c>
    </row>
    <row r="1747" spans="1:12" x14ac:dyDescent="0.25">
      <c r="A1747">
        <v>707</v>
      </c>
      <c r="B1747">
        <v>15</v>
      </c>
      <c r="C1747" t="s">
        <v>70</v>
      </c>
      <c r="D1747" t="s">
        <v>634</v>
      </c>
      <c r="E1747">
        <v>13</v>
      </c>
      <c r="F1747">
        <v>21</v>
      </c>
      <c r="G1747">
        <v>1</v>
      </c>
      <c r="H1747">
        <v>42</v>
      </c>
      <c r="I1747">
        <f>Cocina[[#This Row],[Precio Unitario]]*Cocina[[#This Row],[Cantidad Ordenada]]</f>
        <v>21</v>
      </c>
      <c r="J1747">
        <f>(Cocina[[#This Row],[Precio Unitario]]-Cocina[[#This Row],[Costo Unitario]])*Cocina[[#This Row],[Cantidad Ordenada]]</f>
        <v>8</v>
      </c>
      <c r="K1747" s="4">
        <f>Cocina[[#This Row],[Ganancia neta]]/_xlfn.XLOOKUP(Cocina[[#This Row],[Número de Orden]],Sala[Número de Orden],Sala[Monto total],"fracaso",0,1)</f>
        <v>4.3243243243243246E-2</v>
      </c>
      <c r="L1747" t="s">
        <v>608</v>
      </c>
    </row>
    <row r="1748" spans="1:12" x14ac:dyDescent="0.25">
      <c r="A1748">
        <v>707</v>
      </c>
      <c r="B1748">
        <v>15</v>
      </c>
      <c r="C1748" t="s">
        <v>68</v>
      </c>
      <c r="D1748" t="s">
        <v>619</v>
      </c>
      <c r="E1748">
        <v>18</v>
      </c>
      <c r="F1748">
        <v>30</v>
      </c>
      <c r="G1748">
        <v>2</v>
      </c>
      <c r="H1748">
        <v>53</v>
      </c>
      <c r="I1748">
        <f>Cocina[[#This Row],[Precio Unitario]]*Cocina[[#This Row],[Cantidad Ordenada]]</f>
        <v>60</v>
      </c>
      <c r="J1748">
        <f>(Cocina[[#This Row],[Precio Unitario]]-Cocina[[#This Row],[Costo Unitario]])*Cocina[[#This Row],[Cantidad Ordenada]]</f>
        <v>24</v>
      </c>
      <c r="K1748" s="4">
        <f>Cocina[[#This Row],[Ganancia neta]]/_xlfn.XLOOKUP(Cocina[[#This Row],[Número de Orden]],Sala[Número de Orden],Sala[Monto total],"fracaso",0,1)</f>
        <v>0.12972972972972974</v>
      </c>
      <c r="L1748" t="s">
        <v>607</v>
      </c>
    </row>
    <row r="1749" spans="1:12" x14ac:dyDescent="0.25">
      <c r="A1749">
        <v>707</v>
      </c>
      <c r="B1749">
        <v>15</v>
      </c>
      <c r="C1749" t="s">
        <v>73</v>
      </c>
      <c r="D1749" t="s">
        <v>623</v>
      </c>
      <c r="E1749">
        <v>22</v>
      </c>
      <c r="F1749">
        <v>36</v>
      </c>
      <c r="G1749">
        <v>2</v>
      </c>
      <c r="H1749">
        <v>11</v>
      </c>
      <c r="I1749">
        <f>Cocina[[#This Row],[Precio Unitario]]*Cocina[[#This Row],[Cantidad Ordenada]]</f>
        <v>72</v>
      </c>
      <c r="J1749">
        <f>(Cocina[[#This Row],[Precio Unitario]]-Cocina[[#This Row],[Costo Unitario]])*Cocina[[#This Row],[Cantidad Ordenada]]</f>
        <v>28</v>
      </c>
      <c r="K1749" s="4">
        <f>Cocina[[#This Row],[Ganancia neta]]/_xlfn.XLOOKUP(Cocina[[#This Row],[Número de Orden]],Sala[Número de Orden],Sala[Monto total],"fracaso",0,1)</f>
        <v>0.15135135135135136</v>
      </c>
      <c r="L1749" t="s">
        <v>607</v>
      </c>
    </row>
    <row r="1750" spans="1:12" x14ac:dyDescent="0.25">
      <c r="A1750">
        <v>708</v>
      </c>
      <c r="B1750">
        <v>5</v>
      </c>
      <c r="C1750" t="s">
        <v>106</v>
      </c>
      <c r="D1750" t="s">
        <v>621</v>
      </c>
      <c r="E1750">
        <v>16</v>
      </c>
      <c r="F1750">
        <v>27</v>
      </c>
      <c r="G1750">
        <v>2</v>
      </c>
      <c r="H1750">
        <v>24</v>
      </c>
      <c r="I1750">
        <f>Cocina[[#This Row],[Precio Unitario]]*Cocina[[#This Row],[Cantidad Ordenada]]</f>
        <v>54</v>
      </c>
      <c r="J1750">
        <f>(Cocina[[#This Row],[Precio Unitario]]-Cocina[[#This Row],[Costo Unitario]])*Cocina[[#This Row],[Cantidad Ordenada]]</f>
        <v>22</v>
      </c>
      <c r="K1750" s="4">
        <f>Cocina[[#This Row],[Ganancia neta]]/_xlfn.XLOOKUP(Cocina[[#This Row],[Número de Orden]],Sala[Número de Orden],Sala[Monto total],"fracaso",0,1)</f>
        <v>0.40740740740740738</v>
      </c>
      <c r="L1750" t="s">
        <v>608</v>
      </c>
    </row>
    <row r="1751" spans="1:12" x14ac:dyDescent="0.25">
      <c r="A1751">
        <v>709</v>
      </c>
      <c r="B1751">
        <v>8</v>
      </c>
      <c r="C1751" t="s">
        <v>70</v>
      </c>
      <c r="D1751" t="s">
        <v>634</v>
      </c>
      <c r="E1751">
        <v>13</v>
      </c>
      <c r="F1751">
        <v>21</v>
      </c>
      <c r="G1751">
        <v>2</v>
      </c>
      <c r="H1751">
        <v>7</v>
      </c>
      <c r="I1751">
        <f>Cocina[[#This Row],[Precio Unitario]]*Cocina[[#This Row],[Cantidad Ordenada]]</f>
        <v>42</v>
      </c>
      <c r="J1751">
        <f>(Cocina[[#This Row],[Precio Unitario]]-Cocina[[#This Row],[Costo Unitario]])*Cocina[[#This Row],[Cantidad Ordenada]]</f>
        <v>16</v>
      </c>
      <c r="K1751" s="4">
        <f>Cocina[[#This Row],[Ganancia neta]]/_xlfn.XLOOKUP(Cocina[[#This Row],[Número de Orden]],Sala[Número de Orden],Sala[Monto total],"fracaso",0,1)</f>
        <v>8.2901554404145081E-2</v>
      </c>
      <c r="L1751" t="s">
        <v>607</v>
      </c>
    </row>
    <row r="1752" spans="1:12" x14ac:dyDescent="0.25">
      <c r="A1752">
        <v>709</v>
      </c>
      <c r="B1752">
        <v>8</v>
      </c>
      <c r="C1752" t="s">
        <v>26</v>
      </c>
      <c r="D1752" t="s">
        <v>628</v>
      </c>
      <c r="E1752">
        <v>21</v>
      </c>
      <c r="F1752">
        <v>35</v>
      </c>
      <c r="G1752">
        <v>1</v>
      </c>
      <c r="H1752">
        <v>33</v>
      </c>
      <c r="I1752">
        <f>Cocina[[#This Row],[Precio Unitario]]*Cocina[[#This Row],[Cantidad Ordenada]]</f>
        <v>35</v>
      </c>
      <c r="J1752">
        <f>(Cocina[[#This Row],[Precio Unitario]]-Cocina[[#This Row],[Costo Unitario]])*Cocina[[#This Row],[Cantidad Ordenada]]</f>
        <v>14</v>
      </c>
      <c r="K1752" s="4">
        <f>Cocina[[#This Row],[Ganancia neta]]/_xlfn.XLOOKUP(Cocina[[#This Row],[Número de Orden]],Sala[Número de Orden],Sala[Monto total],"fracaso",0,1)</f>
        <v>7.2538860103626937E-2</v>
      </c>
      <c r="L1752" t="s">
        <v>608</v>
      </c>
    </row>
    <row r="1753" spans="1:12" x14ac:dyDescent="0.25">
      <c r="A1753">
        <v>709</v>
      </c>
      <c r="B1753">
        <v>8</v>
      </c>
      <c r="C1753" t="s">
        <v>261</v>
      </c>
      <c r="D1753" t="s">
        <v>625</v>
      </c>
      <c r="E1753">
        <v>20</v>
      </c>
      <c r="F1753">
        <v>33</v>
      </c>
      <c r="G1753">
        <v>2</v>
      </c>
      <c r="H1753">
        <v>27</v>
      </c>
      <c r="I1753">
        <f>Cocina[[#This Row],[Precio Unitario]]*Cocina[[#This Row],[Cantidad Ordenada]]</f>
        <v>66</v>
      </c>
      <c r="J1753">
        <f>(Cocina[[#This Row],[Precio Unitario]]-Cocina[[#This Row],[Costo Unitario]])*Cocina[[#This Row],[Cantidad Ordenada]]</f>
        <v>26</v>
      </c>
      <c r="K1753" s="4">
        <f>Cocina[[#This Row],[Ganancia neta]]/_xlfn.XLOOKUP(Cocina[[#This Row],[Número de Orden]],Sala[Número de Orden],Sala[Monto total],"fracaso",0,1)</f>
        <v>0.13471502590673576</v>
      </c>
      <c r="L1753" t="s">
        <v>608</v>
      </c>
    </row>
    <row r="1754" spans="1:12" x14ac:dyDescent="0.25">
      <c r="A1754">
        <v>709</v>
      </c>
      <c r="B1754">
        <v>8</v>
      </c>
      <c r="C1754" t="s">
        <v>122</v>
      </c>
      <c r="D1754" t="s">
        <v>637</v>
      </c>
      <c r="E1754">
        <v>15</v>
      </c>
      <c r="F1754">
        <v>25</v>
      </c>
      <c r="G1754">
        <v>2</v>
      </c>
      <c r="H1754">
        <v>31</v>
      </c>
      <c r="I1754">
        <f>Cocina[[#This Row],[Precio Unitario]]*Cocina[[#This Row],[Cantidad Ordenada]]</f>
        <v>50</v>
      </c>
      <c r="J1754">
        <f>(Cocina[[#This Row],[Precio Unitario]]-Cocina[[#This Row],[Costo Unitario]])*Cocina[[#This Row],[Cantidad Ordenada]]</f>
        <v>20</v>
      </c>
      <c r="K1754" s="4">
        <f>Cocina[[#This Row],[Ganancia neta]]/_xlfn.XLOOKUP(Cocina[[#This Row],[Número de Orden]],Sala[Número de Orden],Sala[Monto total],"fracaso",0,1)</f>
        <v>0.10362694300518134</v>
      </c>
      <c r="L1754" t="s">
        <v>607</v>
      </c>
    </row>
    <row r="1755" spans="1:12" x14ac:dyDescent="0.25">
      <c r="A1755">
        <v>710</v>
      </c>
      <c r="B1755">
        <v>18</v>
      </c>
      <c r="C1755" t="s">
        <v>146</v>
      </c>
      <c r="D1755" t="s">
        <v>632</v>
      </c>
      <c r="E1755">
        <v>12</v>
      </c>
      <c r="F1755">
        <v>20</v>
      </c>
      <c r="G1755">
        <v>2</v>
      </c>
      <c r="H1755">
        <v>32</v>
      </c>
      <c r="I1755">
        <f>Cocina[[#This Row],[Precio Unitario]]*Cocina[[#This Row],[Cantidad Ordenada]]</f>
        <v>40</v>
      </c>
      <c r="J1755">
        <f>(Cocina[[#This Row],[Precio Unitario]]-Cocina[[#This Row],[Costo Unitario]])*Cocina[[#This Row],[Cantidad Ordenada]]</f>
        <v>16</v>
      </c>
      <c r="K1755" s="4">
        <f>Cocina[[#This Row],[Ganancia neta]]/_xlfn.XLOOKUP(Cocina[[#This Row],[Número de Orden]],Sala[Número de Orden],Sala[Monto total],"fracaso",0,1)</f>
        <v>0.11594202898550725</v>
      </c>
      <c r="L1755" t="s">
        <v>607</v>
      </c>
    </row>
    <row r="1756" spans="1:12" x14ac:dyDescent="0.25">
      <c r="A1756">
        <v>710</v>
      </c>
      <c r="B1756">
        <v>18</v>
      </c>
      <c r="C1756" t="s">
        <v>112</v>
      </c>
      <c r="D1756" t="s">
        <v>627</v>
      </c>
      <c r="E1756">
        <v>11</v>
      </c>
      <c r="F1756">
        <v>19</v>
      </c>
      <c r="G1756">
        <v>3</v>
      </c>
      <c r="H1756">
        <v>45</v>
      </c>
      <c r="I1756">
        <f>Cocina[[#This Row],[Precio Unitario]]*Cocina[[#This Row],[Cantidad Ordenada]]</f>
        <v>57</v>
      </c>
      <c r="J1756">
        <f>(Cocina[[#This Row],[Precio Unitario]]-Cocina[[#This Row],[Costo Unitario]])*Cocina[[#This Row],[Cantidad Ordenada]]</f>
        <v>24</v>
      </c>
      <c r="K1756" s="4">
        <f>Cocina[[#This Row],[Ganancia neta]]/_xlfn.XLOOKUP(Cocina[[#This Row],[Número de Orden]],Sala[Número de Orden],Sala[Monto total],"fracaso",0,1)</f>
        <v>0.17391304347826086</v>
      </c>
      <c r="L1756" t="s">
        <v>608</v>
      </c>
    </row>
    <row r="1757" spans="1:12" x14ac:dyDescent="0.25">
      <c r="A1757">
        <v>710</v>
      </c>
      <c r="B1757">
        <v>18</v>
      </c>
      <c r="C1757" t="s">
        <v>79</v>
      </c>
      <c r="D1757" t="s">
        <v>635</v>
      </c>
      <c r="E1757">
        <v>10</v>
      </c>
      <c r="F1757">
        <v>18</v>
      </c>
      <c r="G1757">
        <v>1</v>
      </c>
      <c r="H1757">
        <v>20</v>
      </c>
      <c r="I1757">
        <f>Cocina[[#This Row],[Precio Unitario]]*Cocina[[#This Row],[Cantidad Ordenada]]</f>
        <v>18</v>
      </c>
      <c r="J1757">
        <f>(Cocina[[#This Row],[Precio Unitario]]-Cocina[[#This Row],[Costo Unitario]])*Cocina[[#This Row],[Cantidad Ordenada]]</f>
        <v>8</v>
      </c>
      <c r="K1757" s="4">
        <f>Cocina[[#This Row],[Ganancia neta]]/_xlfn.XLOOKUP(Cocina[[#This Row],[Número de Orden]],Sala[Número de Orden],Sala[Monto total],"fracaso",0,1)</f>
        <v>5.7971014492753624E-2</v>
      </c>
      <c r="L1757" t="s">
        <v>608</v>
      </c>
    </row>
    <row r="1758" spans="1:12" x14ac:dyDescent="0.25">
      <c r="A1758">
        <v>710</v>
      </c>
      <c r="B1758">
        <v>18</v>
      </c>
      <c r="C1758" t="s">
        <v>200</v>
      </c>
      <c r="D1758" t="s">
        <v>633</v>
      </c>
      <c r="E1758">
        <v>14</v>
      </c>
      <c r="F1758">
        <v>23</v>
      </c>
      <c r="G1758">
        <v>1</v>
      </c>
      <c r="H1758">
        <v>43</v>
      </c>
      <c r="I1758">
        <f>Cocina[[#This Row],[Precio Unitario]]*Cocina[[#This Row],[Cantidad Ordenada]]</f>
        <v>23</v>
      </c>
      <c r="J1758">
        <f>(Cocina[[#This Row],[Precio Unitario]]-Cocina[[#This Row],[Costo Unitario]])*Cocina[[#This Row],[Cantidad Ordenada]]</f>
        <v>9</v>
      </c>
      <c r="K1758" s="4">
        <f>Cocina[[#This Row],[Ganancia neta]]/_xlfn.XLOOKUP(Cocina[[#This Row],[Número de Orden]],Sala[Número de Orden],Sala[Monto total],"fracaso",0,1)</f>
        <v>6.5217391304347824E-2</v>
      </c>
      <c r="L1758" t="s">
        <v>608</v>
      </c>
    </row>
    <row r="1759" spans="1:12" x14ac:dyDescent="0.25">
      <c r="A1759">
        <v>711</v>
      </c>
      <c r="B1759">
        <v>20</v>
      </c>
      <c r="C1759" t="s">
        <v>55</v>
      </c>
      <c r="D1759" t="s">
        <v>631</v>
      </c>
      <c r="E1759">
        <v>20</v>
      </c>
      <c r="F1759">
        <v>34</v>
      </c>
      <c r="G1759">
        <v>3</v>
      </c>
      <c r="H1759">
        <v>43</v>
      </c>
      <c r="I1759">
        <f>Cocina[[#This Row],[Precio Unitario]]*Cocina[[#This Row],[Cantidad Ordenada]]</f>
        <v>102</v>
      </c>
      <c r="J1759">
        <f>(Cocina[[#This Row],[Precio Unitario]]-Cocina[[#This Row],[Costo Unitario]])*Cocina[[#This Row],[Cantidad Ordenada]]</f>
        <v>42</v>
      </c>
      <c r="K1759" s="4">
        <f>Cocina[[#This Row],[Ganancia neta]]/_xlfn.XLOOKUP(Cocina[[#This Row],[Número de Orden]],Sala[Número de Orden],Sala[Monto total],"fracaso",0,1)</f>
        <v>0.25301204819277107</v>
      </c>
      <c r="L1759" t="s">
        <v>607</v>
      </c>
    </row>
    <row r="1760" spans="1:12" x14ac:dyDescent="0.25">
      <c r="A1760">
        <v>711</v>
      </c>
      <c r="B1760">
        <v>20</v>
      </c>
      <c r="C1760" t="s">
        <v>247</v>
      </c>
      <c r="D1760" t="s">
        <v>629</v>
      </c>
      <c r="E1760">
        <v>19</v>
      </c>
      <c r="F1760">
        <v>32</v>
      </c>
      <c r="G1760">
        <v>2</v>
      </c>
      <c r="H1760">
        <v>16</v>
      </c>
      <c r="I1760">
        <f>Cocina[[#This Row],[Precio Unitario]]*Cocina[[#This Row],[Cantidad Ordenada]]</f>
        <v>64</v>
      </c>
      <c r="J1760">
        <f>(Cocina[[#This Row],[Precio Unitario]]-Cocina[[#This Row],[Costo Unitario]])*Cocina[[#This Row],[Cantidad Ordenada]]</f>
        <v>26</v>
      </c>
      <c r="K1760" s="4">
        <f>Cocina[[#This Row],[Ganancia neta]]/_xlfn.XLOOKUP(Cocina[[#This Row],[Número de Orden]],Sala[Número de Orden],Sala[Monto total],"fracaso",0,1)</f>
        <v>0.15662650602409639</v>
      </c>
      <c r="L1760" t="s">
        <v>608</v>
      </c>
    </row>
    <row r="1761" spans="1:12" x14ac:dyDescent="0.25">
      <c r="A1761">
        <v>712</v>
      </c>
      <c r="B1761">
        <v>10</v>
      </c>
      <c r="C1761" t="s">
        <v>158</v>
      </c>
      <c r="D1761" t="s">
        <v>617</v>
      </c>
      <c r="E1761">
        <v>14</v>
      </c>
      <c r="F1761">
        <v>24</v>
      </c>
      <c r="G1761">
        <v>2</v>
      </c>
      <c r="H1761">
        <v>49</v>
      </c>
      <c r="I1761">
        <f>Cocina[[#This Row],[Precio Unitario]]*Cocina[[#This Row],[Cantidad Ordenada]]</f>
        <v>48</v>
      </c>
      <c r="J1761">
        <f>(Cocina[[#This Row],[Precio Unitario]]-Cocina[[#This Row],[Costo Unitario]])*Cocina[[#This Row],[Cantidad Ordenada]]</f>
        <v>20</v>
      </c>
      <c r="K1761" s="4">
        <f>Cocina[[#This Row],[Ganancia neta]]/_xlfn.XLOOKUP(Cocina[[#This Row],[Número de Orden]],Sala[Número de Orden],Sala[Monto total],"fracaso",0,1)</f>
        <v>0.41666666666666669</v>
      </c>
      <c r="L1761" t="s">
        <v>607</v>
      </c>
    </row>
    <row r="1762" spans="1:12" x14ac:dyDescent="0.25">
      <c r="A1762">
        <v>713</v>
      </c>
      <c r="B1762">
        <v>6</v>
      </c>
      <c r="C1762" t="s">
        <v>261</v>
      </c>
      <c r="D1762" t="s">
        <v>625</v>
      </c>
      <c r="E1762">
        <v>20</v>
      </c>
      <c r="F1762">
        <v>33</v>
      </c>
      <c r="G1762">
        <v>3</v>
      </c>
      <c r="H1762">
        <v>41</v>
      </c>
      <c r="I1762">
        <f>Cocina[[#This Row],[Precio Unitario]]*Cocina[[#This Row],[Cantidad Ordenada]]</f>
        <v>99</v>
      </c>
      <c r="J1762">
        <f>(Cocina[[#This Row],[Precio Unitario]]-Cocina[[#This Row],[Costo Unitario]])*Cocina[[#This Row],[Cantidad Ordenada]]</f>
        <v>39</v>
      </c>
      <c r="K1762" s="4">
        <f>Cocina[[#This Row],[Ganancia neta]]/_xlfn.XLOOKUP(Cocina[[#This Row],[Número de Orden]],Sala[Número de Orden],Sala[Monto total],"fracaso",0,1)</f>
        <v>0.10833333333333334</v>
      </c>
      <c r="L1762" t="s">
        <v>608</v>
      </c>
    </row>
    <row r="1763" spans="1:12" x14ac:dyDescent="0.25">
      <c r="A1763">
        <v>713</v>
      </c>
      <c r="B1763">
        <v>6</v>
      </c>
      <c r="C1763" t="s">
        <v>38</v>
      </c>
      <c r="D1763" t="s">
        <v>624</v>
      </c>
      <c r="E1763">
        <v>17</v>
      </c>
      <c r="F1763">
        <v>29</v>
      </c>
      <c r="G1763">
        <v>3</v>
      </c>
      <c r="H1763">
        <v>14</v>
      </c>
      <c r="I1763">
        <f>Cocina[[#This Row],[Precio Unitario]]*Cocina[[#This Row],[Cantidad Ordenada]]</f>
        <v>87</v>
      </c>
      <c r="J1763">
        <f>(Cocina[[#This Row],[Precio Unitario]]-Cocina[[#This Row],[Costo Unitario]])*Cocina[[#This Row],[Cantidad Ordenada]]</f>
        <v>36</v>
      </c>
      <c r="K1763" s="4">
        <f>Cocina[[#This Row],[Ganancia neta]]/_xlfn.XLOOKUP(Cocina[[#This Row],[Número de Orden]],Sala[Número de Orden],Sala[Monto total],"fracaso",0,1)</f>
        <v>0.1</v>
      </c>
      <c r="L1763" t="s">
        <v>608</v>
      </c>
    </row>
    <row r="1764" spans="1:12" x14ac:dyDescent="0.25">
      <c r="A1764">
        <v>713</v>
      </c>
      <c r="B1764">
        <v>6</v>
      </c>
      <c r="C1764" t="s">
        <v>247</v>
      </c>
      <c r="D1764" t="s">
        <v>629</v>
      </c>
      <c r="E1764">
        <v>19</v>
      </c>
      <c r="F1764">
        <v>32</v>
      </c>
      <c r="G1764">
        <v>3</v>
      </c>
      <c r="H1764">
        <v>45</v>
      </c>
      <c r="I1764">
        <f>Cocina[[#This Row],[Precio Unitario]]*Cocina[[#This Row],[Cantidad Ordenada]]</f>
        <v>96</v>
      </c>
      <c r="J1764">
        <f>(Cocina[[#This Row],[Precio Unitario]]-Cocina[[#This Row],[Costo Unitario]])*Cocina[[#This Row],[Cantidad Ordenada]]</f>
        <v>39</v>
      </c>
      <c r="K1764" s="4">
        <f>Cocina[[#This Row],[Ganancia neta]]/_xlfn.XLOOKUP(Cocina[[#This Row],[Número de Orden]],Sala[Número de Orden],Sala[Monto total],"fracaso",0,1)</f>
        <v>0.10833333333333334</v>
      </c>
      <c r="L1764" t="s">
        <v>607</v>
      </c>
    </row>
    <row r="1765" spans="1:12" x14ac:dyDescent="0.25">
      <c r="A1765">
        <v>713</v>
      </c>
      <c r="B1765">
        <v>6</v>
      </c>
      <c r="C1765" t="s">
        <v>155</v>
      </c>
      <c r="D1765" t="s">
        <v>636</v>
      </c>
      <c r="E1765">
        <v>15</v>
      </c>
      <c r="F1765">
        <v>26</v>
      </c>
      <c r="G1765">
        <v>3</v>
      </c>
      <c r="H1765">
        <v>25</v>
      </c>
      <c r="I1765">
        <f>Cocina[[#This Row],[Precio Unitario]]*Cocina[[#This Row],[Cantidad Ordenada]]</f>
        <v>78</v>
      </c>
      <c r="J1765">
        <f>(Cocina[[#This Row],[Precio Unitario]]-Cocina[[#This Row],[Costo Unitario]])*Cocina[[#This Row],[Cantidad Ordenada]]</f>
        <v>33</v>
      </c>
      <c r="K1765" s="4">
        <f>Cocina[[#This Row],[Ganancia neta]]/_xlfn.XLOOKUP(Cocina[[#This Row],[Número de Orden]],Sala[Número de Orden],Sala[Monto total],"fracaso",0,1)</f>
        <v>9.166666666666666E-2</v>
      </c>
      <c r="L1765" t="s">
        <v>607</v>
      </c>
    </row>
    <row r="1766" spans="1:12" x14ac:dyDescent="0.25">
      <c r="A1766">
        <v>714</v>
      </c>
      <c r="B1766">
        <v>19</v>
      </c>
      <c r="C1766" t="s">
        <v>55</v>
      </c>
      <c r="D1766" t="s">
        <v>631</v>
      </c>
      <c r="E1766">
        <v>20</v>
      </c>
      <c r="F1766">
        <v>34</v>
      </c>
      <c r="G1766">
        <v>3</v>
      </c>
      <c r="H1766">
        <v>17</v>
      </c>
      <c r="I1766">
        <f>Cocina[[#This Row],[Precio Unitario]]*Cocina[[#This Row],[Cantidad Ordenada]]</f>
        <v>102</v>
      </c>
      <c r="J1766">
        <f>(Cocina[[#This Row],[Precio Unitario]]-Cocina[[#This Row],[Costo Unitario]])*Cocina[[#This Row],[Cantidad Ordenada]]</f>
        <v>42</v>
      </c>
      <c r="K1766" s="4">
        <f>Cocina[[#This Row],[Ganancia neta]]/_xlfn.XLOOKUP(Cocina[[#This Row],[Número de Orden]],Sala[Número de Orden],Sala[Monto total],"fracaso",0,1)</f>
        <v>0.18666666666666668</v>
      </c>
      <c r="L1766" t="s">
        <v>608</v>
      </c>
    </row>
    <row r="1767" spans="1:12" x14ac:dyDescent="0.25">
      <c r="A1767">
        <v>714</v>
      </c>
      <c r="B1767">
        <v>19</v>
      </c>
      <c r="C1767" t="s">
        <v>68</v>
      </c>
      <c r="D1767" t="s">
        <v>619</v>
      </c>
      <c r="E1767">
        <v>18</v>
      </c>
      <c r="F1767">
        <v>30</v>
      </c>
      <c r="G1767">
        <v>3</v>
      </c>
      <c r="H1767">
        <v>17</v>
      </c>
      <c r="I1767">
        <f>Cocina[[#This Row],[Precio Unitario]]*Cocina[[#This Row],[Cantidad Ordenada]]</f>
        <v>90</v>
      </c>
      <c r="J1767">
        <f>(Cocina[[#This Row],[Precio Unitario]]-Cocina[[#This Row],[Costo Unitario]])*Cocina[[#This Row],[Cantidad Ordenada]]</f>
        <v>36</v>
      </c>
      <c r="K1767" s="4">
        <f>Cocina[[#This Row],[Ganancia neta]]/_xlfn.XLOOKUP(Cocina[[#This Row],[Número de Orden]],Sala[Número de Orden],Sala[Monto total],"fracaso",0,1)</f>
        <v>0.16</v>
      </c>
      <c r="L1767" t="s">
        <v>608</v>
      </c>
    </row>
    <row r="1768" spans="1:12" x14ac:dyDescent="0.25">
      <c r="A1768">
        <v>714</v>
      </c>
      <c r="B1768">
        <v>19</v>
      </c>
      <c r="C1768" t="s">
        <v>261</v>
      </c>
      <c r="D1768" t="s">
        <v>625</v>
      </c>
      <c r="E1768">
        <v>20</v>
      </c>
      <c r="F1768">
        <v>33</v>
      </c>
      <c r="G1768">
        <v>1</v>
      </c>
      <c r="H1768">
        <v>29</v>
      </c>
      <c r="I1768">
        <f>Cocina[[#This Row],[Precio Unitario]]*Cocina[[#This Row],[Cantidad Ordenada]]</f>
        <v>33</v>
      </c>
      <c r="J1768">
        <f>(Cocina[[#This Row],[Precio Unitario]]-Cocina[[#This Row],[Costo Unitario]])*Cocina[[#This Row],[Cantidad Ordenada]]</f>
        <v>13</v>
      </c>
      <c r="K1768" s="4">
        <f>Cocina[[#This Row],[Ganancia neta]]/_xlfn.XLOOKUP(Cocina[[#This Row],[Número de Orden]],Sala[Número de Orden],Sala[Monto total],"fracaso",0,1)</f>
        <v>5.7777777777777775E-2</v>
      </c>
      <c r="L1768" t="s">
        <v>608</v>
      </c>
    </row>
    <row r="1769" spans="1:12" x14ac:dyDescent="0.25">
      <c r="A1769">
        <v>715</v>
      </c>
      <c r="B1769">
        <v>12</v>
      </c>
      <c r="C1769" t="s">
        <v>68</v>
      </c>
      <c r="D1769" t="s">
        <v>619</v>
      </c>
      <c r="E1769">
        <v>18</v>
      </c>
      <c r="F1769">
        <v>30</v>
      </c>
      <c r="G1769">
        <v>3</v>
      </c>
      <c r="H1769">
        <v>35</v>
      </c>
      <c r="I1769">
        <f>Cocina[[#This Row],[Precio Unitario]]*Cocina[[#This Row],[Cantidad Ordenada]]</f>
        <v>90</v>
      </c>
      <c r="J1769">
        <f>(Cocina[[#This Row],[Precio Unitario]]-Cocina[[#This Row],[Costo Unitario]])*Cocina[[#This Row],[Cantidad Ordenada]]</f>
        <v>36</v>
      </c>
      <c r="K1769" s="4">
        <f>Cocina[[#This Row],[Ganancia neta]]/_xlfn.XLOOKUP(Cocina[[#This Row],[Número de Orden]],Sala[Número de Orden],Sala[Monto total],"fracaso",0,1)</f>
        <v>0.14634146341463414</v>
      </c>
      <c r="L1769" t="s">
        <v>607</v>
      </c>
    </row>
    <row r="1770" spans="1:12" x14ac:dyDescent="0.25">
      <c r="A1770">
        <v>715</v>
      </c>
      <c r="B1770">
        <v>12</v>
      </c>
      <c r="C1770" t="s">
        <v>106</v>
      </c>
      <c r="D1770" t="s">
        <v>621</v>
      </c>
      <c r="E1770">
        <v>16</v>
      </c>
      <c r="F1770">
        <v>27</v>
      </c>
      <c r="G1770">
        <v>1</v>
      </c>
      <c r="H1770">
        <v>14</v>
      </c>
      <c r="I1770">
        <f>Cocina[[#This Row],[Precio Unitario]]*Cocina[[#This Row],[Cantidad Ordenada]]</f>
        <v>27</v>
      </c>
      <c r="J1770">
        <f>(Cocina[[#This Row],[Precio Unitario]]-Cocina[[#This Row],[Costo Unitario]])*Cocina[[#This Row],[Cantidad Ordenada]]</f>
        <v>11</v>
      </c>
      <c r="K1770" s="4">
        <f>Cocina[[#This Row],[Ganancia neta]]/_xlfn.XLOOKUP(Cocina[[#This Row],[Número de Orden]],Sala[Número de Orden],Sala[Monto total],"fracaso",0,1)</f>
        <v>4.4715447154471545E-2</v>
      </c>
      <c r="L1770" t="s">
        <v>607</v>
      </c>
    </row>
    <row r="1771" spans="1:12" x14ac:dyDescent="0.25">
      <c r="A1771">
        <v>715</v>
      </c>
      <c r="B1771">
        <v>12</v>
      </c>
      <c r="C1771" t="s">
        <v>122</v>
      </c>
      <c r="D1771" t="s">
        <v>637</v>
      </c>
      <c r="E1771">
        <v>15</v>
      </c>
      <c r="F1771">
        <v>25</v>
      </c>
      <c r="G1771">
        <v>3</v>
      </c>
      <c r="H1771">
        <v>38</v>
      </c>
      <c r="I1771">
        <f>Cocina[[#This Row],[Precio Unitario]]*Cocina[[#This Row],[Cantidad Ordenada]]</f>
        <v>75</v>
      </c>
      <c r="J1771">
        <f>(Cocina[[#This Row],[Precio Unitario]]-Cocina[[#This Row],[Costo Unitario]])*Cocina[[#This Row],[Cantidad Ordenada]]</f>
        <v>30</v>
      </c>
      <c r="K1771" s="4">
        <f>Cocina[[#This Row],[Ganancia neta]]/_xlfn.XLOOKUP(Cocina[[#This Row],[Número de Orden]],Sala[Número de Orden],Sala[Monto total],"fracaso",0,1)</f>
        <v>0.12195121951219512</v>
      </c>
      <c r="L1771" t="s">
        <v>607</v>
      </c>
    </row>
    <row r="1772" spans="1:12" x14ac:dyDescent="0.25">
      <c r="A1772">
        <v>715</v>
      </c>
      <c r="B1772">
        <v>12</v>
      </c>
      <c r="C1772" t="s">
        <v>79</v>
      </c>
      <c r="D1772" t="s">
        <v>635</v>
      </c>
      <c r="E1772">
        <v>10</v>
      </c>
      <c r="F1772">
        <v>18</v>
      </c>
      <c r="G1772">
        <v>3</v>
      </c>
      <c r="H1772">
        <v>49</v>
      </c>
      <c r="I1772">
        <f>Cocina[[#This Row],[Precio Unitario]]*Cocina[[#This Row],[Cantidad Ordenada]]</f>
        <v>54</v>
      </c>
      <c r="J1772">
        <f>(Cocina[[#This Row],[Precio Unitario]]-Cocina[[#This Row],[Costo Unitario]])*Cocina[[#This Row],[Cantidad Ordenada]]</f>
        <v>24</v>
      </c>
      <c r="K1772" s="4">
        <f>Cocina[[#This Row],[Ganancia neta]]/_xlfn.XLOOKUP(Cocina[[#This Row],[Número de Orden]],Sala[Número de Orden],Sala[Monto total],"fracaso",0,1)</f>
        <v>9.7560975609756101E-2</v>
      </c>
      <c r="L1772" t="s">
        <v>608</v>
      </c>
    </row>
    <row r="1773" spans="1:12" x14ac:dyDescent="0.25">
      <c r="A1773">
        <v>716</v>
      </c>
      <c r="B1773">
        <v>12</v>
      </c>
      <c r="C1773" t="s">
        <v>70</v>
      </c>
      <c r="D1773" t="s">
        <v>634</v>
      </c>
      <c r="E1773">
        <v>13</v>
      </c>
      <c r="F1773">
        <v>21</v>
      </c>
      <c r="G1773">
        <v>3</v>
      </c>
      <c r="H1773">
        <v>12</v>
      </c>
      <c r="I1773">
        <f>Cocina[[#This Row],[Precio Unitario]]*Cocina[[#This Row],[Cantidad Ordenada]]</f>
        <v>63</v>
      </c>
      <c r="J1773">
        <f>(Cocina[[#This Row],[Precio Unitario]]-Cocina[[#This Row],[Costo Unitario]])*Cocina[[#This Row],[Cantidad Ordenada]]</f>
        <v>24</v>
      </c>
      <c r="K1773" s="4">
        <f>Cocina[[#This Row],[Ganancia neta]]/_xlfn.XLOOKUP(Cocina[[#This Row],[Número de Orden]],Sala[Número de Orden],Sala[Monto total],"fracaso",0,1)</f>
        <v>0.1038961038961039</v>
      </c>
      <c r="L1773" t="s">
        <v>607</v>
      </c>
    </row>
    <row r="1774" spans="1:12" x14ac:dyDescent="0.25">
      <c r="A1774">
        <v>716</v>
      </c>
      <c r="B1774">
        <v>12</v>
      </c>
      <c r="C1774" t="s">
        <v>122</v>
      </c>
      <c r="D1774" t="s">
        <v>637</v>
      </c>
      <c r="E1774">
        <v>15</v>
      </c>
      <c r="F1774">
        <v>25</v>
      </c>
      <c r="G1774">
        <v>3</v>
      </c>
      <c r="H1774">
        <v>48</v>
      </c>
      <c r="I1774">
        <f>Cocina[[#This Row],[Precio Unitario]]*Cocina[[#This Row],[Cantidad Ordenada]]</f>
        <v>75</v>
      </c>
      <c r="J1774">
        <f>(Cocina[[#This Row],[Precio Unitario]]-Cocina[[#This Row],[Costo Unitario]])*Cocina[[#This Row],[Cantidad Ordenada]]</f>
        <v>30</v>
      </c>
      <c r="K1774" s="4">
        <f>Cocina[[#This Row],[Ganancia neta]]/_xlfn.XLOOKUP(Cocina[[#This Row],[Número de Orden]],Sala[Número de Orden],Sala[Monto total],"fracaso",0,1)</f>
        <v>0.12987012987012986</v>
      </c>
      <c r="L1774" t="s">
        <v>607</v>
      </c>
    </row>
    <row r="1775" spans="1:12" x14ac:dyDescent="0.25">
      <c r="A1775">
        <v>716</v>
      </c>
      <c r="B1775">
        <v>12</v>
      </c>
      <c r="C1775" t="s">
        <v>116</v>
      </c>
      <c r="D1775" t="s">
        <v>620</v>
      </c>
      <c r="E1775">
        <v>19</v>
      </c>
      <c r="F1775">
        <v>31</v>
      </c>
      <c r="G1775">
        <v>3</v>
      </c>
      <c r="H1775">
        <v>30</v>
      </c>
      <c r="I1775">
        <f>Cocina[[#This Row],[Precio Unitario]]*Cocina[[#This Row],[Cantidad Ordenada]]</f>
        <v>93</v>
      </c>
      <c r="J1775">
        <f>(Cocina[[#This Row],[Precio Unitario]]-Cocina[[#This Row],[Costo Unitario]])*Cocina[[#This Row],[Cantidad Ordenada]]</f>
        <v>36</v>
      </c>
      <c r="K1775" s="4">
        <f>Cocina[[#This Row],[Ganancia neta]]/_xlfn.XLOOKUP(Cocina[[#This Row],[Número de Orden]],Sala[Número de Orden],Sala[Monto total],"fracaso",0,1)</f>
        <v>0.15584415584415584</v>
      </c>
      <c r="L1775" t="s">
        <v>608</v>
      </c>
    </row>
    <row r="1776" spans="1:12" x14ac:dyDescent="0.25">
      <c r="A1776">
        <v>717</v>
      </c>
      <c r="B1776">
        <v>8</v>
      </c>
      <c r="C1776" t="s">
        <v>203</v>
      </c>
      <c r="D1776" t="s">
        <v>630</v>
      </c>
      <c r="E1776">
        <v>13</v>
      </c>
      <c r="F1776">
        <v>22</v>
      </c>
      <c r="G1776">
        <v>2</v>
      </c>
      <c r="H1776">
        <v>23</v>
      </c>
      <c r="I1776">
        <f>Cocina[[#This Row],[Precio Unitario]]*Cocina[[#This Row],[Cantidad Ordenada]]</f>
        <v>44</v>
      </c>
      <c r="J1776">
        <f>(Cocina[[#This Row],[Precio Unitario]]-Cocina[[#This Row],[Costo Unitario]])*Cocina[[#This Row],[Cantidad Ordenada]]</f>
        <v>18</v>
      </c>
      <c r="K1776" s="4">
        <f>Cocina[[#This Row],[Ganancia neta]]/_xlfn.XLOOKUP(Cocina[[#This Row],[Número de Orden]],Sala[Número de Orden],Sala[Monto total],"fracaso",0,1)</f>
        <v>0.11612903225806452</v>
      </c>
      <c r="L1776" t="s">
        <v>608</v>
      </c>
    </row>
    <row r="1777" spans="1:12" x14ac:dyDescent="0.25">
      <c r="A1777">
        <v>717</v>
      </c>
      <c r="B1777">
        <v>8</v>
      </c>
      <c r="C1777" t="s">
        <v>68</v>
      </c>
      <c r="D1777" t="s">
        <v>619</v>
      </c>
      <c r="E1777">
        <v>18</v>
      </c>
      <c r="F1777">
        <v>30</v>
      </c>
      <c r="G1777">
        <v>1</v>
      </c>
      <c r="H1777">
        <v>36</v>
      </c>
      <c r="I1777">
        <f>Cocina[[#This Row],[Precio Unitario]]*Cocina[[#This Row],[Cantidad Ordenada]]</f>
        <v>30</v>
      </c>
      <c r="J1777">
        <f>(Cocina[[#This Row],[Precio Unitario]]-Cocina[[#This Row],[Costo Unitario]])*Cocina[[#This Row],[Cantidad Ordenada]]</f>
        <v>12</v>
      </c>
      <c r="K1777" s="4">
        <f>Cocina[[#This Row],[Ganancia neta]]/_xlfn.XLOOKUP(Cocina[[#This Row],[Número de Orden]],Sala[Número de Orden],Sala[Monto total],"fracaso",0,1)</f>
        <v>7.7419354838709681E-2</v>
      </c>
      <c r="L1777" t="s">
        <v>608</v>
      </c>
    </row>
    <row r="1778" spans="1:12" x14ac:dyDescent="0.25">
      <c r="A1778">
        <v>717</v>
      </c>
      <c r="B1778">
        <v>8</v>
      </c>
      <c r="C1778" t="s">
        <v>106</v>
      </c>
      <c r="D1778" t="s">
        <v>621</v>
      </c>
      <c r="E1778">
        <v>16</v>
      </c>
      <c r="F1778">
        <v>27</v>
      </c>
      <c r="G1778">
        <v>3</v>
      </c>
      <c r="H1778">
        <v>13</v>
      </c>
      <c r="I1778">
        <f>Cocina[[#This Row],[Precio Unitario]]*Cocina[[#This Row],[Cantidad Ordenada]]</f>
        <v>81</v>
      </c>
      <c r="J1778">
        <f>(Cocina[[#This Row],[Precio Unitario]]-Cocina[[#This Row],[Costo Unitario]])*Cocina[[#This Row],[Cantidad Ordenada]]</f>
        <v>33</v>
      </c>
      <c r="K1778" s="4">
        <f>Cocina[[#This Row],[Ganancia neta]]/_xlfn.XLOOKUP(Cocina[[#This Row],[Número de Orden]],Sala[Número de Orden],Sala[Monto total],"fracaso",0,1)</f>
        <v>0.2129032258064516</v>
      </c>
      <c r="L1778" t="s">
        <v>608</v>
      </c>
    </row>
    <row r="1779" spans="1:12" x14ac:dyDescent="0.25">
      <c r="A1779">
        <v>718</v>
      </c>
      <c r="B1779">
        <v>7</v>
      </c>
      <c r="C1779" t="s">
        <v>146</v>
      </c>
      <c r="D1779" t="s">
        <v>632</v>
      </c>
      <c r="E1779">
        <v>12</v>
      </c>
      <c r="F1779">
        <v>20</v>
      </c>
      <c r="G1779">
        <v>1</v>
      </c>
      <c r="H1779">
        <v>58</v>
      </c>
      <c r="I1779">
        <f>Cocina[[#This Row],[Precio Unitario]]*Cocina[[#This Row],[Cantidad Ordenada]]</f>
        <v>20</v>
      </c>
      <c r="J1779">
        <f>(Cocina[[#This Row],[Precio Unitario]]-Cocina[[#This Row],[Costo Unitario]])*Cocina[[#This Row],[Cantidad Ordenada]]</f>
        <v>8</v>
      </c>
      <c r="K1779" s="4">
        <f>Cocina[[#This Row],[Ganancia neta]]/_xlfn.XLOOKUP(Cocina[[#This Row],[Número de Orden]],Sala[Número de Orden],Sala[Monto total],"fracaso",0,1)</f>
        <v>0.4</v>
      </c>
      <c r="L1779" t="s">
        <v>608</v>
      </c>
    </row>
    <row r="1780" spans="1:12" x14ac:dyDescent="0.25">
      <c r="A1780">
        <v>719</v>
      </c>
      <c r="B1780">
        <v>16</v>
      </c>
      <c r="C1780" t="s">
        <v>48</v>
      </c>
      <c r="D1780" t="s">
        <v>622</v>
      </c>
      <c r="E1780">
        <v>25</v>
      </c>
      <c r="F1780">
        <v>40</v>
      </c>
      <c r="G1780">
        <v>1</v>
      </c>
      <c r="H1780">
        <v>15</v>
      </c>
      <c r="I1780">
        <f>Cocina[[#This Row],[Precio Unitario]]*Cocina[[#This Row],[Cantidad Ordenada]]</f>
        <v>40</v>
      </c>
      <c r="J1780">
        <f>(Cocina[[#This Row],[Precio Unitario]]-Cocina[[#This Row],[Costo Unitario]])*Cocina[[#This Row],[Cantidad Ordenada]]</f>
        <v>15</v>
      </c>
      <c r="K1780" s="4">
        <f>Cocina[[#This Row],[Ganancia neta]]/_xlfn.XLOOKUP(Cocina[[#This Row],[Número de Orden]],Sala[Número de Orden],Sala[Monto total],"fracaso",0,1)</f>
        <v>0.14018691588785046</v>
      </c>
      <c r="L1780" t="s">
        <v>607</v>
      </c>
    </row>
    <row r="1781" spans="1:12" x14ac:dyDescent="0.25">
      <c r="A1781">
        <v>719</v>
      </c>
      <c r="B1781">
        <v>16</v>
      </c>
      <c r="C1781" t="s">
        <v>112</v>
      </c>
      <c r="D1781" t="s">
        <v>627</v>
      </c>
      <c r="E1781">
        <v>11</v>
      </c>
      <c r="F1781">
        <v>19</v>
      </c>
      <c r="G1781">
        <v>2</v>
      </c>
      <c r="H1781">
        <v>34</v>
      </c>
      <c r="I1781">
        <f>Cocina[[#This Row],[Precio Unitario]]*Cocina[[#This Row],[Cantidad Ordenada]]</f>
        <v>38</v>
      </c>
      <c r="J1781">
        <f>(Cocina[[#This Row],[Precio Unitario]]-Cocina[[#This Row],[Costo Unitario]])*Cocina[[#This Row],[Cantidad Ordenada]]</f>
        <v>16</v>
      </c>
      <c r="K1781" s="4">
        <f>Cocina[[#This Row],[Ganancia neta]]/_xlfn.XLOOKUP(Cocina[[#This Row],[Número de Orden]],Sala[Número de Orden],Sala[Monto total],"fracaso",0,1)</f>
        <v>0.14953271028037382</v>
      </c>
      <c r="L1781" t="s">
        <v>607</v>
      </c>
    </row>
    <row r="1782" spans="1:12" x14ac:dyDescent="0.25">
      <c r="A1782">
        <v>719</v>
      </c>
      <c r="B1782">
        <v>16</v>
      </c>
      <c r="C1782" t="s">
        <v>38</v>
      </c>
      <c r="D1782" t="s">
        <v>624</v>
      </c>
      <c r="E1782">
        <v>17</v>
      </c>
      <c r="F1782">
        <v>29</v>
      </c>
      <c r="G1782">
        <v>1</v>
      </c>
      <c r="H1782">
        <v>21</v>
      </c>
      <c r="I1782">
        <f>Cocina[[#This Row],[Precio Unitario]]*Cocina[[#This Row],[Cantidad Ordenada]]</f>
        <v>29</v>
      </c>
      <c r="J1782">
        <f>(Cocina[[#This Row],[Precio Unitario]]-Cocina[[#This Row],[Costo Unitario]])*Cocina[[#This Row],[Cantidad Ordenada]]</f>
        <v>12</v>
      </c>
      <c r="K1782" s="4">
        <f>Cocina[[#This Row],[Ganancia neta]]/_xlfn.XLOOKUP(Cocina[[#This Row],[Número de Orden]],Sala[Número de Orden],Sala[Monto total],"fracaso",0,1)</f>
        <v>0.11214953271028037</v>
      </c>
      <c r="L1782" t="s">
        <v>607</v>
      </c>
    </row>
    <row r="1783" spans="1:12" x14ac:dyDescent="0.25">
      <c r="A1783">
        <v>720</v>
      </c>
      <c r="B1783">
        <v>4</v>
      </c>
      <c r="C1783" t="s">
        <v>261</v>
      </c>
      <c r="D1783" t="s">
        <v>625</v>
      </c>
      <c r="E1783">
        <v>20</v>
      </c>
      <c r="F1783">
        <v>33</v>
      </c>
      <c r="G1783">
        <v>1</v>
      </c>
      <c r="H1783">
        <v>36</v>
      </c>
      <c r="I1783">
        <f>Cocina[[#This Row],[Precio Unitario]]*Cocina[[#This Row],[Cantidad Ordenada]]</f>
        <v>33</v>
      </c>
      <c r="J1783">
        <f>(Cocina[[#This Row],[Precio Unitario]]-Cocina[[#This Row],[Costo Unitario]])*Cocina[[#This Row],[Cantidad Ordenada]]</f>
        <v>13</v>
      </c>
      <c r="K1783" s="4">
        <f>Cocina[[#This Row],[Ganancia neta]]/_xlfn.XLOOKUP(Cocina[[#This Row],[Número de Orden]],Sala[Número de Orden],Sala[Monto total],"fracaso",0,1)</f>
        <v>7.7380952380952384E-2</v>
      </c>
      <c r="L1783" t="s">
        <v>607</v>
      </c>
    </row>
    <row r="1784" spans="1:12" x14ac:dyDescent="0.25">
      <c r="A1784">
        <v>720</v>
      </c>
      <c r="B1784">
        <v>4</v>
      </c>
      <c r="C1784" t="s">
        <v>38</v>
      </c>
      <c r="D1784" t="s">
        <v>624</v>
      </c>
      <c r="E1784">
        <v>17</v>
      </c>
      <c r="F1784">
        <v>29</v>
      </c>
      <c r="G1784">
        <v>3</v>
      </c>
      <c r="H1784">
        <v>44</v>
      </c>
      <c r="I1784">
        <f>Cocina[[#This Row],[Precio Unitario]]*Cocina[[#This Row],[Cantidad Ordenada]]</f>
        <v>87</v>
      </c>
      <c r="J1784">
        <f>(Cocina[[#This Row],[Precio Unitario]]-Cocina[[#This Row],[Costo Unitario]])*Cocina[[#This Row],[Cantidad Ordenada]]</f>
        <v>36</v>
      </c>
      <c r="K1784" s="4">
        <f>Cocina[[#This Row],[Ganancia neta]]/_xlfn.XLOOKUP(Cocina[[#This Row],[Número de Orden]],Sala[Número de Orden],Sala[Monto total],"fracaso",0,1)</f>
        <v>0.21428571428571427</v>
      </c>
      <c r="L1784" t="s">
        <v>608</v>
      </c>
    </row>
    <row r="1785" spans="1:12" x14ac:dyDescent="0.25">
      <c r="A1785">
        <v>720</v>
      </c>
      <c r="B1785">
        <v>4</v>
      </c>
      <c r="C1785" t="s">
        <v>158</v>
      </c>
      <c r="D1785" t="s">
        <v>617</v>
      </c>
      <c r="E1785">
        <v>14</v>
      </c>
      <c r="F1785">
        <v>24</v>
      </c>
      <c r="G1785">
        <v>2</v>
      </c>
      <c r="H1785">
        <v>53</v>
      </c>
      <c r="I1785">
        <f>Cocina[[#This Row],[Precio Unitario]]*Cocina[[#This Row],[Cantidad Ordenada]]</f>
        <v>48</v>
      </c>
      <c r="J1785">
        <f>(Cocina[[#This Row],[Precio Unitario]]-Cocina[[#This Row],[Costo Unitario]])*Cocina[[#This Row],[Cantidad Ordenada]]</f>
        <v>20</v>
      </c>
      <c r="K1785" s="4">
        <f>Cocina[[#This Row],[Ganancia neta]]/_xlfn.XLOOKUP(Cocina[[#This Row],[Número de Orden]],Sala[Número de Orden],Sala[Monto total],"fracaso",0,1)</f>
        <v>0.11904761904761904</v>
      </c>
      <c r="L1785" t="s">
        <v>608</v>
      </c>
    </row>
    <row r="1786" spans="1:12" x14ac:dyDescent="0.25">
      <c r="A1786">
        <v>721</v>
      </c>
      <c r="B1786">
        <v>6</v>
      </c>
      <c r="C1786" t="s">
        <v>38</v>
      </c>
      <c r="D1786" t="s">
        <v>624</v>
      </c>
      <c r="E1786">
        <v>17</v>
      </c>
      <c r="F1786">
        <v>29</v>
      </c>
      <c r="G1786">
        <v>1</v>
      </c>
      <c r="H1786">
        <v>20</v>
      </c>
      <c r="I1786">
        <f>Cocina[[#This Row],[Precio Unitario]]*Cocina[[#This Row],[Cantidad Ordenada]]</f>
        <v>29</v>
      </c>
      <c r="J1786">
        <f>(Cocina[[#This Row],[Precio Unitario]]-Cocina[[#This Row],[Costo Unitario]])*Cocina[[#This Row],[Cantidad Ordenada]]</f>
        <v>12</v>
      </c>
      <c r="K1786" s="4">
        <f>Cocina[[#This Row],[Ganancia neta]]/_xlfn.XLOOKUP(Cocina[[#This Row],[Número de Orden]],Sala[Número de Orden],Sala[Monto total],"fracaso",0,1)</f>
        <v>5.5045871559633031E-2</v>
      </c>
      <c r="L1786" t="s">
        <v>608</v>
      </c>
    </row>
    <row r="1787" spans="1:12" x14ac:dyDescent="0.25">
      <c r="A1787">
        <v>721</v>
      </c>
      <c r="B1787">
        <v>6</v>
      </c>
      <c r="C1787" t="s">
        <v>73</v>
      </c>
      <c r="D1787" t="s">
        <v>623</v>
      </c>
      <c r="E1787">
        <v>22</v>
      </c>
      <c r="F1787">
        <v>36</v>
      </c>
      <c r="G1787">
        <v>1</v>
      </c>
      <c r="H1787">
        <v>15</v>
      </c>
      <c r="I1787">
        <f>Cocina[[#This Row],[Precio Unitario]]*Cocina[[#This Row],[Cantidad Ordenada]]</f>
        <v>36</v>
      </c>
      <c r="J1787">
        <f>(Cocina[[#This Row],[Precio Unitario]]-Cocina[[#This Row],[Costo Unitario]])*Cocina[[#This Row],[Cantidad Ordenada]]</f>
        <v>14</v>
      </c>
      <c r="K1787" s="4">
        <f>Cocina[[#This Row],[Ganancia neta]]/_xlfn.XLOOKUP(Cocina[[#This Row],[Número de Orden]],Sala[Número de Orden],Sala[Monto total],"fracaso",0,1)</f>
        <v>6.4220183486238536E-2</v>
      </c>
      <c r="L1787" t="s">
        <v>608</v>
      </c>
    </row>
    <row r="1788" spans="1:12" x14ac:dyDescent="0.25">
      <c r="A1788">
        <v>721</v>
      </c>
      <c r="B1788">
        <v>6</v>
      </c>
      <c r="C1788" t="s">
        <v>158</v>
      </c>
      <c r="D1788" t="s">
        <v>617</v>
      </c>
      <c r="E1788">
        <v>14</v>
      </c>
      <c r="F1788">
        <v>24</v>
      </c>
      <c r="G1788">
        <v>3</v>
      </c>
      <c r="H1788">
        <v>44</v>
      </c>
      <c r="I1788">
        <f>Cocina[[#This Row],[Precio Unitario]]*Cocina[[#This Row],[Cantidad Ordenada]]</f>
        <v>72</v>
      </c>
      <c r="J1788">
        <f>(Cocina[[#This Row],[Precio Unitario]]-Cocina[[#This Row],[Costo Unitario]])*Cocina[[#This Row],[Cantidad Ordenada]]</f>
        <v>30</v>
      </c>
      <c r="K1788" s="4">
        <f>Cocina[[#This Row],[Ganancia neta]]/_xlfn.XLOOKUP(Cocina[[#This Row],[Número de Orden]],Sala[Número de Orden],Sala[Monto total],"fracaso",0,1)</f>
        <v>0.13761467889908258</v>
      </c>
      <c r="L1788" t="s">
        <v>607</v>
      </c>
    </row>
    <row r="1789" spans="1:12" x14ac:dyDescent="0.25">
      <c r="A1789">
        <v>721</v>
      </c>
      <c r="B1789">
        <v>6</v>
      </c>
      <c r="C1789" t="s">
        <v>106</v>
      </c>
      <c r="D1789" t="s">
        <v>621</v>
      </c>
      <c r="E1789">
        <v>16</v>
      </c>
      <c r="F1789">
        <v>27</v>
      </c>
      <c r="G1789">
        <v>3</v>
      </c>
      <c r="H1789">
        <v>54</v>
      </c>
      <c r="I1789">
        <f>Cocina[[#This Row],[Precio Unitario]]*Cocina[[#This Row],[Cantidad Ordenada]]</f>
        <v>81</v>
      </c>
      <c r="J1789">
        <f>(Cocina[[#This Row],[Precio Unitario]]-Cocina[[#This Row],[Costo Unitario]])*Cocina[[#This Row],[Cantidad Ordenada]]</f>
        <v>33</v>
      </c>
      <c r="K1789" s="4">
        <f>Cocina[[#This Row],[Ganancia neta]]/_xlfn.XLOOKUP(Cocina[[#This Row],[Número de Orden]],Sala[Número de Orden],Sala[Monto total],"fracaso",0,1)</f>
        <v>0.15137614678899083</v>
      </c>
      <c r="L1789" t="s">
        <v>608</v>
      </c>
    </row>
    <row r="1790" spans="1:12" x14ac:dyDescent="0.25">
      <c r="A1790">
        <v>722</v>
      </c>
      <c r="B1790">
        <v>13</v>
      </c>
      <c r="C1790" t="s">
        <v>70</v>
      </c>
      <c r="D1790" t="s">
        <v>634</v>
      </c>
      <c r="E1790">
        <v>13</v>
      </c>
      <c r="F1790">
        <v>21</v>
      </c>
      <c r="G1790">
        <v>3</v>
      </c>
      <c r="H1790">
        <v>43</v>
      </c>
      <c r="I1790">
        <f>Cocina[[#This Row],[Precio Unitario]]*Cocina[[#This Row],[Cantidad Ordenada]]</f>
        <v>63</v>
      </c>
      <c r="J1790">
        <f>(Cocina[[#This Row],[Precio Unitario]]-Cocina[[#This Row],[Costo Unitario]])*Cocina[[#This Row],[Cantidad Ordenada]]</f>
        <v>24</v>
      </c>
      <c r="K1790" s="4">
        <f>Cocina[[#This Row],[Ganancia neta]]/_xlfn.XLOOKUP(Cocina[[#This Row],[Número de Orden]],Sala[Número de Orden],Sala[Monto total],"fracaso",0,1)</f>
        <v>0.28235294117647058</v>
      </c>
      <c r="L1790" t="s">
        <v>607</v>
      </c>
    </row>
    <row r="1791" spans="1:12" x14ac:dyDescent="0.25">
      <c r="A1791">
        <v>722</v>
      </c>
      <c r="B1791">
        <v>13</v>
      </c>
      <c r="C1791" t="s">
        <v>203</v>
      </c>
      <c r="D1791" t="s">
        <v>630</v>
      </c>
      <c r="E1791">
        <v>13</v>
      </c>
      <c r="F1791">
        <v>22</v>
      </c>
      <c r="G1791">
        <v>1</v>
      </c>
      <c r="H1791">
        <v>16</v>
      </c>
      <c r="I1791">
        <f>Cocina[[#This Row],[Precio Unitario]]*Cocina[[#This Row],[Cantidad Ordenada]]</f>
        <v>22</v>
      </c>
      <c r="J1791">
        <f>(Cocina[[#This Row],[Precio Unitario]]-Cocina[[#This Row],[Costo Unitario]])*Cocina[[#This Row],[Cantidad Ordenada]]</f>
        <v>9</v>
      </c>
      <c r="K1791" s="4">
        <f>Cocina[[#This Row],[Ganancia neta]]/_xlfn.XLOOKUP(Cocina[[#This Row],[Número de Orden]],Sala[Número de Orden],Sala[Monto total],"fracaso",0,1)</f>
        <v>0.10588235294117647</v>
      </c>
      <c r="L1791" t="s">
        <v>607</v>
      </c>
    </row>
    <row r="1792" spans="1:12" x14ac:dyDescent="0.25">
      <c r="A1792">
        <v>723</v>
      </c>
      <c r="B1792">
        <v>12</v>
      </c>
      <c r="C1792" t="s">
        <v>42</v>
      </c>
      <c r="D1792" t="s">
        <v>626</v>
      </c>
      <c r="E1792">
        <v>16</v>
      </c>
      <c r="F1792">
        <v>28</v>
      </c>
      <c r="G1792">
        <v>2</v>
      </c>
      <c r="H1792">
        <v>22</v>
      </c>
      <c r="I1792">
        <f>Cocina[[#This Row],[Precio Unitario]]*Cocina[[#This Row],[Cantidad Ordenada]]</f>
        <v>56</v>
      </c>
      <c r="J1792">
        <f>(Cocina[[#This Row],[Precio Unitario]]-Cocina[[#This Row],[Costo Unitario]])*Cocina[[#This Row],[Cantidad Ordenada]]</f>
        <v>24</v>
      </c>
      <c r="K1792" s="4">
        <f>Cocina[[#This Row],[Ganancia neta]]/_xlfn.XLOOKUP(Cocina[[#This Row],[Número de Orden]],Sala[Número de Orden],Sala[Monto total],"fracaso",0,1)</f>
        <v>0.19047619047619047</v>
      </c>
      <c r="L1792" t="s">
        <v>607</v>
      </c>
    </row>
    <row r="1793" spans="1:12" x14ac:dyDescent="0.25">
      <c r="A1793">
        <v>723</v>
      </c>
      <c r="B1793">
        <v>12</v>
      </c>
      <c r="C1793" t="s">
        <v>26</v>
      </c>
      <c r="D1793" t="s">
        <v>628</v>
      </c>
      <c r="E1793">
        <v>21</v>
      </c>
      <c r="F1793">
        <v>35</v>
      </c>
      <c r="G1793">
        <v>2</v>
      </c>
      <c r="H1793">
        <v>9</v>
      </c>
      <c r="I1793">
        <f>Cocina[[#This Row],[Precio Unitario]]*Cocina[[#This Row],[Cantidad Ordenada]]</f>
        <v>70</v>
      </c>
      <c r="J1793">
        <f>(Cocina[[#This Row],[Precio Unitario]]-Cocina[[#This Row],[Costo Unitario]])*Cocina[[#This Row],[Cantidad Ordenada]]</f>
        <v>28</v>
      </c>
      <c r="K1793" s="4">
        <f>Cocina[[#This Row],[Ganancia neta]]/_xlfn.XLOOKUP(Cocina[[#This Row],[Número de Orden]],Sala[Número de Orden],Sala[Monto total],"fracaso",0,1)</f>
        <v>0.22222222222222221</v>
      </c>
      <c r="L1793" t="s">
        <v>607</v>
      </c>
    </row>
    <row r="1794" spans="1:12" x14ac:dyDescent="0.25">
      <c r="A1794">
        <v>724</v>
      </c>
      <c r="B1794">
        <v>8</v>
      </c>
      <c r="C1794" t="s">
        <v>203</v>
      </c>
      <c r="D1794" t="s">
        <v>630</v>
      </c>
      <c r="E1794">
        <v>13</v>
      </c>
      <c r="F1794">
        <v>22</v>
      </c>
      <c r="G1794">
        <v>3</v>
      </c>
      <c r="H1794">
        <v>56</v>
      </c>
      <c r="I1794">
        <f>Cocina[[#This Row],[Precio Unitario]]*Cocina[[#This Row],[Cantidad Ordenada]]</f>
        <v>66</v>
      </c>
      <c r="J1794">
        <f>(Cocina[[#This Row],[Precio Unitario]]-Cocina[[#This Row],[Costo Unitario]])*Cocina[[#This Row],[Cantidad Ordenada]]</f>
        <v>27</v>
      </c>
      <c r="K1794" s="4">
        <f>Cocina[[#This Row],[Ganancia neta]]/_xlfn.XLOOKUP(Cocina[[#This Row],[Número de Orden]],Sala[Número de Orden],Sala[Monto total],"fracaso",0,1)</f>
        <v>0.40909090909090912</v>
      </c>
      <c r="L1794" t="s">
        <v>607</v>
      </c>
    </row>
    <row r="1795" spans="1:12" x14ac:dyDescent="0.25">
      <c r="A1795">
        <v>725</v>
      </c>
      <c r="B1795">
        <v>10</v>
      </c>
      <c r="C1795" t="s">
        <v>55</v>
      </c>
      <c r="D1795" t="s">
        <v>631</v>
      </c>
      <c r="E1795">
        <v>20</v>
      </c>
      <c r="F1795">
        <v>34</v>
      </c>
      <c r="G1795">
        <v>3</v>
      </c>
      <c r="H1795">
        <v>30</v>
      </c>
      <c r="I1795">
        <f>Cocina[[#This Row],[Precio Unitario]]*Cocina[[#This Row],[Cantidad Ordenada]]</f>
        <v>102</v>
      </c>
      <c r="J1795">
        <f>(Cocina[[#This Row],[Precio Unitario]]-Cocina[[#This Row],[Costo Unitario]])*Cocina[[#This Row],[Cantidad Ordenada]]</f>
        <v>42</v>
      </c>
      <c r="K1795" s="4">
        <f>Cocina[[#This Row],[Ganancia neta]]/_xlfn.XLOOKUP(Cocina[[#This Row],[Número de Orden]],Sala[Número de Orden],Sala[Monto total],"fracaso",0,1)</f>
        <v>0.25</v>
      </c>
      <c r="L1795" t="s">
        <v>607</v>
      </c>
    </row>
    <row r="1796" spans="1:12" x14ac:dyDescent="0.25">
      <c r="A1796">
        <v>725</v>
      </c>
      <c r="B1796">
        <v>10</v>
      </c>
      <c r="C1796" t="s">
        <v>203</v>
      </c>
      <c r="D1796" t="s">
        <v>630</v>
      </c>
      <c r="E1796">
        <v>13</v>
      </c>
      <c r="F1796">
        <v>22</v>
      </c>
      <c r="G1796">
        <v>3</v>
      </c>
      <c r="H1796">
        <v>55</v>
      </c>
      <c r="I1796">
        <f>Cocina[[#This Row],[Precio Unitario]]*Cocina[[#This Row],[Cantidad Ordenada]]</f>
        <v>66</v>
      </c>
      <c r="J1796">
        <f>(Cocina[[#This Row],[Precio Unitario]]-Cocina[[#This Row],[Costo Unitario]])*Cocina[[#This Row],[Cantidad Ordenada]]</f>
        <v>27</v>
      </c>
      <c r="K1796" s="4">
        <f>Cocina[[#This Row],[Ganancia neta]]/_xlfn.XLOOKUP(Cocina[[#This Row],[Número de Orden]],Sala[Número de Orden],Sala[Monto total],"fracaso",0,1)</f>
        <v>0.16071428571428573</v>
      </c>
      <c r="L1796" t="s">
        <v>607</v>
      </c>
    </row>
    <row r="1797" spans="1:12" x14ac:dyDescent="0.25">
      <c r="A1797">
        <v>726</v>
      </c>
      <c r="B1797">
        <v>11</v>
      </c>
      <c r="C1797" t="s">
        <v>203</v>
      </c>
      <c r="D1797" t="s">
        <v>630</v>
      </c>
      <c r="E1797">
        <v>13</v>
      </c>
      <c r="F1797">
        <v>22</v>
      </c>
      <c r="G1797">
        <v>2</v>
      </c>
      <c r="H1797">
        <v>6</v>
      </c>
      <c r="I1797">
        <f>Cocina[[#This Row],[Precio Unitario]]*Cocina[[#This Row],[Cantidad Ordenada]]</f>
        <v>44</v>
      </c>
      <c r="J1797">
        <f>(Cocina[[#This Row],[Precio Unitario]]-Cocina[[#This Row],[Costo Unitario]])*Cocina[[#This Row],[Cantidad Ordenada]]</f>
        <v>18</v>
      </c>
      <c r="K1797" s="4">
        <f>Cocina[[#This Row],[Ganancia neta]]/_xlfn.XLOOKUP(Cocina[[#This Row],[Número de Orden]],Sala[Número de Orden],Sala[Monto total],"fracaso",0,1)</f>
        <v>0.14285714285714285</v>
      </c>
      <c r="L1797" t="s">
        <v>607</v>
      </c>
    </row>
    <row r="1798" spans="1:12" x14ac:dyDescent="0.25">
      <c r="A1798">
        <v>726</v>
      </c>
      <c r="B1798">
        <v>11</v>
      </c>
      <c r="C1798" t="s">
        <v>73</v>
      </c>
      <c r="D1798" t="s">
        <v>623</v>
      </c>
      <c r="E1798">
        <v>22</v>
      </c>
      <c r="F1798">
        <v>36</v>
      </c>
      <c r="G1798">
        <v>1</v>
      </c>
      <c r="H1798">
        <v>13</v>
      </c>
      <c r="I1798">
        <f>Cocina[[#This Row],[Precio Unitario]]*Cocina[[#This Row],[Cantidad Ordenada]]</f>
        <v>36</v>
      </c>
      <c r="J1798">
        <f>(Cocina[[#This Row],[Precio Unitario]]-Cocina[[#This Row],[Costo Unitario]])*Cocina[[#This Row],[Cantidad Ordenada]]</f>
        <v>14</v>
      </c>
      <c r="K1798" s="4">
        <f>Cocina[[#This Row],[Ganancia neta]]/_xlfn.XLOOKUP(Cocina[[#This Row],[Número de Orden]],Sala[Número de Orden],Sala[Monto total],"fracaso",0,1)</f>
        <v>0.1111111111111111</v>
      </c>
      <c r="L1798" t="s">
        <v>607</v>
      </c>
    </row>
    <row r="1799" spans="1:12" x14ac:dyDescent="0.25">
      <c r="A1799">
        <v>726</v>
      </c>
      <c r="B1799">
        <v>11</v>
      </c>
      <c r="C1799" t="s">
        <v>200</v>
      </c>
      <c r="D1799" t="s">
        <v>633</v>
      </c>
      <c r="E1799">
        <v>14</v>
      </c>
      <c r="F1799">
        <v>23</v>
      </c>
      <c r="G1799">
        <v>2</v>
      </c>
      <c r="H1799">
        <v>55</v>
      </c>
      <c r="I1799">
        <f>Cocina[[#This Row],[Precio Unitario]]*Cocina[[#This Row],[Cantidad Ordenada]]</f>
        <v>46</v>
      </c>
      <c r="J1799">
        <f>(Cocina[[#This Row],[Precio Unitario]]-Cocina[[#This Row],[Costo Unitario]])*Cocina[[#This Row],[Cantidad Ordenada]]</f>
        <v>18</v>
      </c>
      <c r="K1799" s="4">
        <f>Cocina[[#This Row],[Ganancia neta]]/_xlfn.XLOOKUP(Cocina[[#This Row],[Número de Orden]],Sala[Número de Orden],Sala[Monto total],"fracaso",0,1)</f>
        <v>0.14285714285714285</v>
      </c>
      <c r="L1799" t="s">
        <v>607</v>
      </c>
    </row>
    <row r="1800" spans="1:12" x14ac:dyDescent="0.25">
      <c r="A1800">
        <v>727</v>
      </c>
      <c r="B1800">
        <v>17</v>
      </c>
      <c r="C1800" t="s">
        <v>146</v>
      </c>
      <c r="D1800" t="s">
        <v>632</v>
      </c>
      <c r="E1800">
        <v>12</v>
      </c>
      <c r="F1800">
        <v>20</v>
      </c>
      <c r="G1800">
        <v>2</v>
      </c>
      <c r="H1800">
        <v>21</v>
      </c>
      <c r="I1800">
        <f>Cocina[[#This Row],[Precio Unitario]]*Cocina[[#This Row],[Cantidad Ordenada]]</f>
        <v>40</v>
      </c>
      <c r="J1800">
        <f>(Cocina[[#This Row],[Precio Unitario]]-Cocina[[#This Row],[Costo Unitario]])*Cocina[[#This Row],[Cantidad Ordenada]]</f>
        <v>16</v>
      </c>
      <c r="K1800" s="4">
        <f>Cocina[[#This Row],[Ganancia neta]]/_xlfn.XLOOKUP(Cocina[[#This Row],[Número de Orden]],Sala[Número de Orden],Sala[Monto total],"fracaso",0,1)</f>
        <v>0.4</v>
      </c>
      <c r="L1800" t="s">
        <v>608</v>
      </c>
    </row>
    <row r="1801" spans="1:12" x14ac:dyDescent="0.25">
      <c r="A1801">
        <v>728</v>
      </c>
      <c r="B1801">
        <v>9</v>
      </c>
      <c r="C1801" t="s">
        <v>79</v>
      </c>
      <c r="D1801" t="s">
        <v>635</v>
      </c>
      <c r="E1801">
        <v>10</v>
      </c>
      <c r="F1801">
        <v>18</v>
      </c>
      <c r="G1801">
        <v>1</v>
      </c>
      <c r="H1801">
        <v>42</v>
      </c>
      <c r="I1801">
        <f>Cocina[[#This Row],[Precio Unitario]]*Cocina[[#This Row],[Cantidad Ordenada]]</f>
        <v>18</v>
      </c>
      <c r="J1801">
        <f>(Cocina[[#This Row],[Precio Unitario]]-Cocina[[#This Row],[Costo Unitario]])*Cocina[[#This Row],[Cantidad Ordenada]]</f>
        <v>8</v>
      </c>
      <c r="K1801" s="4">
        <f>Cocina[[#This Row],[Ganancia neta]]/_xlfn.XLOOKUP(Cocina[[#This Row],[Número de Orden]],Sala[Número de Orden],Sala[Monto total],"fracaso",0,1)</f>
        <v>4.1025641025641026E-2</v>
      </c>
      <c r="L1801" t="s">
        <v>607</v>
      </c>
    </row>
    <row r="1802" spans="1:12" x14ac:dyDescent="0.25">
      <c r="A1802">
        <v>728</v>
      </c>
      <c r="B1802">
        <v>9</v>
      </c>
      <c r="C1802" t="s">
        <v>106</v>
      </c>
      <c r="D1802" t="s">
        <v>621</v>
      </c>
      <c r="E1802">
        <v>16</v>
      </c>
      <c r="F1802">
        <v>27</v>
      </c>
      <c r="G1802">
        <v>3</v>
      </c>
      <c r="H1802">
        <v>8</v>
      </c>
      <c r="I1802">
        <f>Cocina[[#This Row],[Precio Unitario]]*Cocina[[#This Row],[Cantidad Ordenada]]</f>
        <v>81</v>
      </c>
      <c r="J1802">
        <f>(Cocina[[#This Row],[Precio Unitario]]-Cocina[[#This Row],[Costo Unitario]])*Cocina[[#This Row],[Cantidad Ordenada]]</f>
        <v>33</v>
      </c>
      <c r="K1802" s="4">
        <f>Cocina[[#This Row],[Ganancia neta]]/_xlfn.XLOOKUP(Cocina[[#This Row],[Número de Orden]],Sala[Número de Orden],Sala[Monto total],"fracaso",0,1)</f>
        <v>0.16923076923076924</v>
      </c>
      <c r="L1802" t="s">
        <v>607</v>
      </c>
    </row>
    <row r="1803" spans="1:12" x14ac:dyDescent="0.25">
      <c r="A1803">
        <v>728</v>
      </c>
      <c r="B1803">
        <v>9</v>
      </c>
      <c r="C1803" t="s">
        <v>247</v>
      </c>
      <c r="D1803" t="s">
        <v>629</v>
      </c>
      <c r="E1803">
        <v>19</v>
      </c>
      <c r="F1803">
        <v>32</v>
      </c>
      <c r="G1803">
        <v>3</v>
      </c>
      <c r="H1803">
        <v>22</v>
      </c>
      <c r="I1803">
        <f>Cocina[[#This Row],[Precio Unitario]]*Cocina[[#This Row],[Cantidad Ordenada]]</f>
        <v>96</v>
      </c>
      <c r="J1803">
        <f>(Cocina[[#This Row],[Precio Unitario]]-Cocina[[#This Row],[Costo Unitario]])*Cocina[[#This Row],[Cantidad Ordenada]]</f>
        <v>39</v>
      </c>
      <c r="K1803" s="4">
        <f>Cocina[[#This Row],[Ganancia neta]]/_xlfn.XLOOKUP(Cocina[[#This Row],[Número de Orden]],Sala[Número de Orden],Sala[Monto total],"fracaso",0,1)</f>
        <v>0.2</v>
      </c>
      <c r="L1803" t="s">
        <v>607</v>
      </c>
    </row>
    <row r="1804" spans="1:12" x14ac:dyDescent="0.25">
      <c r="A1804">
        <v>729</v>
      </c>
      <c r="B1804">
        <v>20</v>
      </c>
      <c r="C1804" t="s">
        <v>55</v>
      </c>
      <c r="D1804" t="s">
        <v>631</v>
      </c>
      <c r="E1804">
        <v>20</v>
      </c>
      <c r="F1804">
        <v>34</v>
      </c>
      <c r="G1804">
        <v>2</v>
      </c>
      <c r="H1804">
        <v>57</v>
      </c>
      <c r="I1804">
        <f>Cocina[[#This Row],[Precio Unitario]]*Cocina[[#This Row],[Cantidad Ordenada]]</f>
        <v>68</v>
      </c>
      <c r="J1804">
        <f>(Cocina[[#This Row],[Precio Unitario]]-Cocina[[#This Row],[Costo Unitario]])*Cocina[[#This Row],[Cantidad Ordenada]]</f>
        <v>28</v>
      </c>
      <c r="K1804" s="4">
        <f>Cocina[[#This Row],[Ganancia neta]]/_xlfn.XLOOKUP(Cocina[[#This Row],[Número de Orden]],Sala[Número de Orden],Sala[Monto total],"fracaso",0,1)</f>
        <v>0.21875</v>
      </c>
      <c r="L1804" t="s">
        <v>607</v>
      </c>
    </row>
    <row r="1805" spans="1:12" x14ac:dyDescent="0.25">
      <c r="A1805">
        <v>729</v>
      </c>
      <c r="B1805">
        <v>20</v>
      </c>
      <c r="C1805" t="s">
        <v>146</v>
      </c>
      <c r="D1805" t="s">
        <v>632</v>
      </c>
      <c r="E1805">
        <v>12</v>
      </c>
      <c r="F1805">
        <v>20</v>
      </c>
      <c r="G1805">
        <v>3</v>
      </c>
      <c r="H1805">
        <v>8</v>
      </c>
      <c r="I1805">
        <f>Cocina[[#This Row],[Precio Unitario]]*Cocina[[#This Row],[Cantidad Ordenada]]</f>
        <v>60</v>
      </c>
      <c r="J1805">
        <f>(Cocina[[#This Row],[Precio Unitario]]-Cocina[[#This Row],[Costo Unitario]])*Cocina[[#This Row],[Cantidad Ordenada]]</f>
        <v>24</v>
      </c>
      <c r="K1805" s="4">
        <f>Cocina[[#This Row],[Ganancia neta]]/_xlfn.XLOOKUP(Cocina[[#This Row],[Número de Orden]],Sala[Número de Orden],Sala[Monto total],"fracaso",0,1)</f>
        <v>0.1875</v>
      </c>
      <c r="L1805" t="s">
        <v>608</v>
      </c>
    </row>
    <row r="1806" spans="1:12" x14ac:dyDescent="0.25">
      <c r="A1806">
        <v>730</v>
      </c>
      <c r="B1806">
        <v>8</v>
      </c>
      <c r="C1806" t="s">
        <v>68</v>
      </c>
      <c r="D1806" t="s">
        <v>619</v>
      </c>
      <c r="E1806">
        <v>18</v>
      </c>
      <c r="F1806">
        <v>30</v>
      </c>
      <c r="G1806">
        <v>3</v>
      </c>
      <c r="H1806">
        <v>32</v>
      </c>
      <c r="I1806">
        <f>Cocina[[#This Row],[Precio Unitario]]*Cocina[[#This Row],[Cantidad Ordenada]]</f>
        <v>90</v>
      </c>
      <c r="J1806">
        <f>(Cocina[[#This Row],[Precio Unitario]]-Cocina[[#This Row],[Costo Unitario]])*Cocina[[#This Row],[Cantidad Ordenada]]</f>
        <v>36</v>
      </c>
      <c r="K1806" s="4">
        <f>Cocina[[#This Row],[Ganancia neta]]/_xlfn.XLOOKUP(Cocina[[#This Row],[Número de Orden]],Sala[Número de Orden],Sala[Monto total],"fracaso",0,1)</f>
        <v>0.31578947368421051</v>
      </c>
      <c r="L1806" t="s">
        <v>608</v>
      </c>
    </row>
    <row r="1807" spans="1:12" x14ac:dyDescent="0.25">
      <c r="A1807">
        <v>730</v>
      </c>
      <c r="B1807">
        <v>8</v>
      </c>
      <c r="C1807" t="s">
        <v>158</v>
      </c>
      <c r="D1807" t="s">
        <v>617</v>
      </c>
      <c r="E1807">
        <v>14</v>
      </c>
      <c r="F1807">
        <v>24</v>
      </c>
      <c r="G1807">
        <v>1</v>
      </c>
      <c r="H1807">
        <v>47</v>
      </c>
      <c r="I1807">
        <f>Cocina[[#This Row],[Precio Unitario]]*Cocina[[#This Row],[Cantidad Ordenada]]</f>
        <v>24</v>
      </c>
      <c r="J1807">
        <f>(Cocina[[#This Row],[Precio Unitario]]-Cocina[[#This Row],[Costo Unitario]])*Cocina[[#This Row],[Cantidad Ordenada]]</f>
        <v>10</v>
      </c>
      <c r="K1807" s="4">
        <f>Cocina[[#This Row],[Ganancia neta]]/_xlfn.XLOOKUP(Cocina[[#This Row],[Número de Orden]],Sala[Número de Orden],Sala[Monto total],"fracaso",0,1)</f>
        <v>8.771929824561403E-2</v>
      </c>
      <c r="L1807" t="s">
        <v>608</v>
      </c>
    </row>
    <row r="1808" spans="1:12" x14ac:dyDescent="0.25">
      <c r="A1808">
        <v>731</v>
      </c>
      <c r="B1808">
        <v>17</v>
      </c>
      <c r="C1808" t="s">
        <v>247</v>
      </c>
      <c r="D1808" t="s">
        <v>629</v>
      </c>
      <c r="E1808">
        <v>19</v>
      </c>
      <c r="F1808">
        <v>32</v>
      </c>
      <c r="G1808">
        <v>2</v>
      </c>
      <c r="H1808">
        <v>47</v>
      </c>
      <c r="I1808">
        <f>Cocina[[#This Row],[Precio Unitario]]*Cocina[[#This Row],[Cantidad Ordenada]]</f>
        <v>64</v>
      </c>
      <c r="J1808">
        <f>(Cocina[[#This Row],[Precio Unitario]]-Cocina[[#This Row],[Costo Unitario]])*Cocina[[#This Row],[Cantidad Ordenada]]</f>
        <v>26</v>
      </c>
      <c r="K1808" s="4">
        <f>Cocina[[#This Row],[Ganancia neta]]/_xlfn.XLOOKUP(Cocina[[#This Row],[Número de Orden]],Sala[Número de Orden],Sala[Monto total],"fracaso",0,1)</f>
        <v>0.40625</v>
      </c>
      <c r="L1808" t="s">
        <v>608</v>
      </c>
    </row>
    <row r="1809" spans="1:12" x14ac:dyDescent="0.25">
      <c r="A1809">
        <v>732</v>
      </c>
      <c r="B1809">
        <v>12</v>
      </c>
      <c r="C1809" t="s">
        <v>48</v>
      </c>
      <c r="D1809" t="s">
        <v>622</v>
      </c>
      <c r="E1809">
        <v>25</v>
      </c>
      <c r="F1809">
        <v>40</v>
      </c>
      <c r="G1809">
        <v>3</v>
      </c>
      <c r="H1809">
        <v>29</v>
      </c>
      <c r="I1809">
        <f>Cocina[[#This Row],[Precio Unitario]]*Cocina[[#This Row],[Cantidad Ordenada]]</f>
        <v>120</v>
      </c>
      <c r="J1809">
        <f>(Cocina[[#This Row],[Precio Unitario]]-Cocina[[#This Row],[Costo Unitario]])*Cocina[[#This Row],[Cantidad Ordenada]]</f>
        <v>45</v>
      </c>
      <c r="K1809" s="4">
        <f>Cocina[[#This Row],[Ganancia neta]]/_xlfn.XLOOKUP(Cocina[[#This Row],[Número de Orden]],Sala[Número de Orden],Sala[Monto total],"fracaso",0,1)</f>
        <v>0.14705882352941177</v>
      </c>
      <c r="L1809" t="s">
        <v>607</v>
      </c>
    </row>
    <row r="1810" spans="1:12" x14ac:dyDescent="0.25">
      <c r="A1810">
        <v>732</v>
      </c>
      <c r="B1810">
        <v>12</v>
      </c>
      <c r="C1810" t="s">
        <v>155</v>
      </c>
      <c r="D1810" t="s">
        <v>636</v>
      </c>
      <c r="E1810">
        <v>15</v>
      </c>
      <c r="F1810">
        <v>26</v>
      </c>
      <c r="G1810">
        <v>3</v>
      </c>
      <c r="H1810">
        <v>36</v>
      </c>
      <c r="I1810">
        <f>Cocina[[#This Row],[Precio Unitario]]*Cocina[[#This Row],[Cantidad Ordenada]]</f>
        <v>78</v>
      </c>
      <c r="J1810">
        <f>(Cocina[[#This Row],[Precio Unitario]]-Cocina[[#This Row],[Costo Unitario]])*Cocina[[#This Row],[Cantidad Ordenada]]</f>
        <v>33</v>
      </c>
      <c r="K1810" s="4">
        <f>Cocina[[#This Row],[Ganancia neta]]/_xlfn.XLOOKUP(Cocina[[#This Row],[Número de Orden]],Sala[Número de Orden],Sala[Monto total],"fracaso",0,1)</f>
        <v>0.10784313725490197</v>
      </c>
      <c r="L1810" t="s">
        <v>608</v>
      </c>
    </row>
    <row r="1811" spans="1:12" x14ac:dyDescent="0.25">
      <c r="A1811">
        <v>732</v>
      </c>
      <c r="B1811">
        <v>12</v>
      </c>
      <c r="C1811" t="s">
        <v>73</v>
      </c>
      <c r="D1811" t="s">
        <v>623</v>
      </c>
      <c r="E1811">
        <v>22</v>
      </c>
      <c r="F1811">
        <v>36</v>
      </c>
      <c r="G1811">
        <v>3</v>
      </c>
      <c r="H1811">
        <v>56</v>
      </c>
      <c r="I1811">
        <f>Cocina[[#This Row],[Precio Unitario]]*Cocina[[#This Row],[Cantidad Ordenada]]</f>
        <v>108</v>
      </c>
      <c r="J1811">
        <f>(Cocina[[#This Row],[Precio Unitario]]-Cocina[[#This Row],[Costo Unitario]])*Cocina[[#This Row],[Cantidad Ordenada]]</f>
        <v>42</v>
      </c>
      <c r="K1811" s="4">
        <f>Cocina[[#This Row],[Ganancia neta]]/_xlfn.XLOOKUP(Cocina[[#This Row],[Número de Orden]],Sala[Número de Orden],Sala[Monto total],"fracaso",0,1)</f>
        <v>0.13725490196078433</v>
      </c>
      <c r="L1811" t="s">
        <v>608</v>
      </c>
    </row>
    <row r="1812" spans="1:12" x14ac:dyDescent="0.25">
      <c r="A1812">
        <v>733</v>
      </c>
      <c r="B1812">
        <v>14</v>
      </c>
      <c r="C1812" t="s">
        <v>73</v>
      </c>
      <c r="D1812" t="s">
        <v>623</v>
      </c>
      <c r="E1812">
        <v>22</v>
      </c>
      <c r="F1812">
        <v>36</v>
      </c>
      <c r="G1812">
        <v>3</v>
      </c>
      <c r="H1812">
        <v>31</v>
      </c>
      <c r="I1812">
        <f>Cocina[[#This Row],[Precio Unitario]]*Cocina[[#This Row],[Cantidad Ordenada]]</f>
        <v>108</v>
      </c>
      <c r="J1812">
        <f>(Cocina[[#This Row],[Precio Unitario]]-Cocina[[#This Row],[Costo Unitario]])*Cocina[[#This Row],[Cantidad Ordenada]]</f>
        <v>42</v>
      </c>
      <c r="K1812" s="4">
        <f>Cocina[[#This Row],[Ganancia neta]]/_xlfn.XLOOKUP(Cocina[[#This Row],[Número de Orden]],Sala[Número de Orden],Sala[Monto total],"fracaso",0,1)</f>
        <v>0.22580645161290322</v>
      </c>
      <c r="L1812" t="s">
        <v>608</v>
      </c>
    </row>
    <row r="1813" spans="1:12" x14ac:dyDescent="0.25">
      <c r="A1813">
        <v>733</v>
      </c>
      <c r="B1813">
        <v>14</v>
      </c>
      <c r="C1813" t="s">
        <v>158</v>
      </c>
      <c r="D1813" t="s">
        <v>617</v>
      </c>
      <c r="E1813">
        <v>14</v>
      </c>
      <c r="F1813">
        <v>24</v>
      </c>
      <c r="G1813">
        <v>1</v>
      </c>
      <c r="H1813">
        <v>34</v>
      </c>
      <c r="I1813">
        <f>Cocina[[#This Row],[Precio Unitario]]*Cocina[[#This Row],[Cantidad Ordenada]]</f>
        <v>24</v>
      </c>
      <c r="J1813">
        <f>(Cocina[[#This Row],[Precio Unitario]]-Cocina[[#This Row],[Costo Unitario]])*Cocina[[#This Row],[Cantidad Ordenada]]</f>
        <v>10</v>
      </c>
      <c r="K1813" s="4">
        <f>Cocina[[#This Row],[Ganancia neta]]/_xlfn.XLOOKUP(Cocina[[#This Row],[Número de Orden]],Sala[Número de Orden],Sala[Monto total],"fracaso",0,1)</f>
        <v>5.3763440860215055E-2</v>
      </c>
      <c r="L1813" t="s">
        <v>607</v>
      </c>
    </row>
    <row r="1814" spans="1:12" x14ac:dyDescent="0.25">
      <c r="A1814">
        <v>733</v>
      </c>
      <c r="B1814">
        <v>14</v>
      </c>
      <c r="C1814" t="s">
        <v>106</v>
      </c>
      <c r="D1814" t="s">
        <v>621</v>
      </c>
      <c r="E1814">
        <v>16</v>
      </c>
      <c r="F1814">
        <v>27</v>
      </c>
      <c r="G1814">
        <v>2</v>
      </c>
      <c r="H1814">
        <v>9</v>
      </c>
      <c r="I1814">
        <f>Cocina[[#This Row],[Precio Unitario]]*Cocina[[#This Row],[Cantidad Ordenada]]</f>
        <v>54</v>
      </c>
      <c r="J1814">
        <f>(Cocina[[#This Row],[Precio Unitario]]-Cocina[[#This Row],[Costo Unitario]])*Cocina[[#This Row],[Cantidad Ordenada]]</f>
        <v>22</v>
      </c>
      <c r="K1814" s="4">
        <f>Cocina[[#This Row],[Ganancia neta]]/_xlfn.XLOOKUP(Cocina[[#This Row],[Número de Orden]],Sala[Número de Orden],Sala[Monto total],"fracaso",0,1)</f>
        <v>0.11827956989247312</v>
      </c>
      <c r="L1814" t="s">
        <v>608</v>
      </c>
    </row>
    <row r="1815" spans="1:12" x14ac:dyDescent="0.25">
      <c r="A1815">
        <v>734</v>
      </c>
      <c r="B1815">
        <v>14</v>
      </c>
      <c r="C1815" t="s">
        <v>247</v>
      </c>
      <c r="D1815" t="s">
        <v>629</v>
      </c>
      <c r="E1815">
        <v>19</v>
      </c>
      <c r="F1815">
        <v>32</v>
      </c>
      <c r="G1815">
        <v>3</v>
      </c>
      <c r="H1815">
        <v>11</v>
      </c>
      <c r="I1815">
        <f>Cocina[[#This Row],[Precio Unitario]]*Cocina[[#This Row],[Cantidad Ordenada]]</f>
        <v>96</v>
      </c>
      <c r="J1815">
        <f>(Cocina[[#This Row],[Precio Unitario]]-Cocina[[#This Row],[Costo Unitario]])*Cocina[[#This Row],[Cantidad Ordenada]]</f>
        <v>39</v>
      </c>
      <c r="K1815" s="4">
        <f>Cocina[[#This Row],[Ganancia neta]]/_xlfn.XLOOKUP(Cocina[[#This Row],[Número de Orden]],Sala[Número de Orden],Sala[Monto total],"fracaso",0,1)</f>
        <v>0.2805755395683453</v>
      </c>
      <c r="L1815" t="s">
        <v>608</v>
      </c>
    </row>
    <row r="1816" spans="1:12" x14ac:dyDescent="0.25">
      <c r="A1816">
        <v>734</v>
      </c>
      <c r="B1816">
        <v>14</v>
      </c>
      <c r="C1816" t="s">
        <v>158</v>
      </c>
      <c r="D1816" t="s">
        <v>617</v>
      </c>
      <c r="E1816">
        <v>14</v>
      </c>
      <c r="F1816">
        <v>24</v>
      </c>
      <c r="G1816">
        <v>1</v>
      </c>
      <c r="H1816">
        <v>16</v>
      </c>
      <c r="I1816">
        <f>Cocina[[#This Row],[Precio Unitario]]*Cocina[[#This Row],[Cantidad Ordenada]]</f>
        <v>24</v>
      </c>
      <c r="J1816">
        <f>(Cocina[[#This Row],[Precio Unitario]]-Cocina[[#This Row],[Costo Unitario]])*Cocina[[#This Row],[Cantidad Ordenada]]</f>
        <v>10</v>
      </c>
      <c r="K1816" s="4">
        <f>Cocina[[#This Row],[Ganancia neta]]/_xlfn.XLOOKUP(Cocina[[#This Row],[Número de Orden]],Sala[Número de Orden],Sala[Monto total],"fracaso",0,1)</f>
        <v>7.1942446043165464E-2</v>
      </c>
      <c r="L1816" t="s">
        <v>607</v>
      </c>
    </row>
    <row r="1817" spans="1:12" x14ac:dyDescent="0.25">
      <c r="A1817">
        <v>734</v>
      </c>
      <c r="B1817">
        <v>14</v>
      </c>
      <c r="C1817" t="s">
        <v>112</v>
      </c>
      <c r="D1817" t="s">
        <v>627</v>
      </c>
      <c r="E1817">
        <v>11</v>
      </c>
      <c r="F1817">
        <v>19</v>
      </c>
      <c r="G1817">
        <v>1</v>
      </c>
      <c r="H1817">
        <v>25</v>
      </c>
      <c r="I1817">
        <f>Cocina[[#This Row],[Precio Unitario]]*Cocina[[#This Row],[Cantidad Ordenada]]</f>
        <v>19</v>
      </c>
      <c r="J1817">
        <f>(Cocina[[#This Row],[Precio Unitario]]-Cocina[[#This Row],[Costo Unitario]])*Cocina[[#This Row],[Cantidad Ordenada]]</f>
        <v>8</v>
      </c>
      <c r="K1817" s="4">
        <f>Cocina[[#This Row],[Ganancia neta]]/_xlfn.XLOOKUP(Cocina[[#This Row],[Número de Orden]],Sala[Número de Orden],Sala[Monto total],"fracaso",0,1)</f>
        <v>5.7553956834532377E-2</v>
      </c>
      <c r="L1817" t="s">
        <v>607</v>
      </c>
    </row>
    <row r="1818" spans="1:12" x14ac:dyDescent="0.25">
      <c r="A1818">
        <v>735</v>
      </c>
      <c r="B1818">
        <v>20</v>
      </c>
      <c r="C1818" t="s">
        <v>200</v>
      </c>
      <c r="D1818" t="s">
        <v>633</v>
      </c>
      <c r="E1818">
        <v>14</v>
      </c>
      <c r="F1818">
        <v>23</v>
      </c>
      <c r="G1818">
        <v>2</v>
      </c>
      <c r="H1818">
        <v>30</v>
      </c>
      <c r="I1818">
        <f>Cocina[[#This Row],[Precio Unitario]]*Cocina[[#This Row],[Cantidad Ordenada]]</f>
        <v>46</v>
      </c>
      <c r="J1818">
        <f>(Cocina[[#This Row],[Precio Unitario]]-Cocina[[#This Row],[Costo Unitario]])*Cocina[[#This Row],[Cantidad Ordenada]]</f>
        <v>18</v>
      </c>
      <c r="K1818" s="4">
        <f>Cocina[[#This Row],[Ganancia neta]]/_xlfn.XLOOKUP(Cocina[[#This Row],[Número de Orden]],Sala[Número de Orden],Sala[Monto total],"fracaso",0,1)</f>
        <v>0.12676056338028169</v>
      </c>
      <c r="L1818" t="s">
        <v>608</v>
      </c>
    </row>
    <row r="1819" spans="1:12" x14ac:dyDescent="0.25">
      <c r="A1819">
        <v>735</v>
      </c>
      <c r="B1819">
        <v>20</v>
      </c>
      <c r="C1819" t="s">
        <v>247</v>
      </c>
      <c r="D1819" t="s">
        <v>629</v>
      </c>
      <c r="E1819">
        <v>19</v>
      </c>
      <c r="F1819">
        <v>32</v>
      </c>
      <c r="G1819">
        <v>3</v>
      </c>
      <c r="H1819">
        <v>57</v>
      </c>
      <c r="I1819">
        <f>Cocina[[#This Row],[Precio Unitario]]*Cocina[[#This Row],[Cantidad Ordenada]]</f>
        <v>96</v>
      </c>
      <c r="J1819">
        <f>(Cocina[[#This Row],[Precio Unitario]]-Cocina[[#This Row],[Costo Unitario]])*Cocina[[#This Row],[Cantidad Ordenada]]</f>
        <v>39</v>
      </c>
      <c r="K1819" s="4">
        <f>Cocina[[#This Row],[Ganancia neta]]/_xlfn.XLOOKUP(Cocina[[#This Row],[Número de Orden]],Sala[Número de Orden],Sala[Monto total],"fracaso",0,1)</f>
        <v>0.27464788732394368</v>
      </c>
      <c r="L1819" t="s">
        <v>607</v>
      </c>
    </row>
    <row r="1820" spans="1:12" x14ac:dyDescent="0.25">
      <c r="A1820">
        <v>736</v>
      </c>
      <c r="B1820">
        <v>17</v>
      </c>
      <c r="C1820" t="s">
        <v>203</v>
      </c>
      <c r="D1820" t="s">
        <v>630</v>
      </c>
      <c r="E1820">
        <v>13</v>
      </c>
      <c r="F1820">
        <v>22</v>
      </c>
      <c r="G1820">
        <v>3</v>
      </c>
      <c r="H1820">
        <v>22</v>
      </c>
      <c r="I1820">
        <f>Cocina[[#This Row],[Precio Unitario]]*Cocina[[#This Row],[Cantidad Ordenada]]</f>
        <v>66</v>
      </c>
      <c r="J1820">
        <f>(Cocina[[#This Row],[Precio Unitario]]-Cocina[[#This Row],[Costo Unitario]])*Cocina[[#This Row],[Cantidad Ordenada]]</f>
        <v>27</v>
      </c>
      <c r="K1820" s="4">
        <f>Cocina[[#This Row],[Ganancia neta]]/_xlfn.XLOOKUP(Cocina[[#This Row],[Número de Orden]],Sala[Número de Orden],Sala[Monto total],"fracaso",0,1)</f>
        <v>0.12558139534883722</v>
      </c>
      <c r="L1820" t="s">
        <v>608</v>
      </c>
    </row>
    <row r="1821" spans="1:12" x14ac:dyDescent="0.25">
      <c r="A1821">
        <v>736</v>
      </c>
      <c r="B1821">
        <v>17</v>
      </c>
      <c r="C1821" t="s">
        <v>42</v>
      </c>
      <c r="D1821" t="s">
        <v>626</v>
      </c>
      <c r="E1821">
        <v>16</v>
      </c>
      <c r="F1821">
        <v>28</v>
      </c>
      <c r="G1821">
        <v>2</v>
      </c>
      <c r="H1821">
        <v>43</v>
      </c>
      <c r="I1821">
        <f>Cocina[[#This Row],[Precio Unitario]]*Cocina[[#This Row],[Cantidad Ordenada]]</f>
        <v>56</v>
      </c>
      <c r="J1821">
        <f>(Cocina[[#This Row],[Precio Unitario]]-Cocina[[#This Row],[Costo Unitario]])*Cocina[[#This Row],[Cantidad Ordenada]]</f>
        <v>24</v>
      </c>
      <c r="K1821" s="4">
        <f>Cocina[[#This Row],[Ganancia neta]]/_xlfn.XLOOKUP(Cocina[[#This Row],[Número de Orden]],Sala[Número de Orden],Sala[Monto total],"fracaso",0,1)</f>
        <v>0.11162790697674418</v>
      </c>
      <c r="L1821" t="s">
        <v>607</v>
      </c>
    </row>
    <row r="1822" spans="1:12" x14ac:dyDescent="0.25">
      <c r="A1822">
        <v>736</v>
      </c>
      <c r="B1822">
        <v>17</v>
      </c>
      <c r="C1822" t="s">
        <v>116</v>
      </c>
      <c r="D1822" t="s">
        <v>620</v>
      </c>
      <c r="E1822">
        <v>19</v>
      </c>
      <c r="F1822">
        <v>31</v>
      </c>
      <c r="G1822">
        <v>3</v>
      </c>
      <c r="H1822">
        <v>27</v>
      </c>
      <c r="I1822">
        <f>Cocina[[#This Row],[Precio Unitario]]*Cocina[[#This Row],[Cantidad Ordenada]]</f>
        <v>93</v>
      </c>
      <c r="J1822">
        <f>(Cocina[[#This Row],[Precio Unitario]]-Cocina[[#This Row],[Costo Unitario]])*Cocina[[#This Row],[Cantidad Ordenada]]</f>
        <v>36</v>
      </c>
      <c r="K1822" s="4">
        <f>Cocina[[#This Row],[Ganancia neta]]/_xlfn.XLOOKUP(Cocina[[#This Row],[Número de Orden]],Sala[Número de Orden],Sala[Monto total],"fracaso",0,1)</f>
        <v>0.16744186046511628</v>
      </c>
      <c r="L1822" t="s">
        <v>608</v>
      </c>
    </row>
    <row r="1823" spans="1:12" x14ac:dyDescent="0.25">
      <c r="A1823">
        <v>737</v>
      </c>
      <c r="B1823">
        <v>6</v>
      </c>
      <c r="C1823" t="s">
        <v>38</v>
      </c>
      <c r="D1823" t="s">
        <v>624</v>
      </c>
      <c r="E1823">
        <v>17</v>
      </c>
      <c r="F1823">
        <v>29</v>
      </c>
      <c r="G1823">
        <v>2</v>
      </c>
      <c r="H1823">
        <v>17</v>
      </c>
      <c r="I1823">
        <f>Cocina[[#This Row],[Precio Unitario]]*Cocina[[#This Row],[Cantidad Ordenada]]</f>
        <v>58</v>
      </c>
      <c r="J1823">
        <f>(Cocina[[#This Row],[Precio Unitario]]-Cocina[[#This Row],[Costo Unitario]])*Cocina[[#This Row],[Cantidad Ordenada]]</f>
        <v>24</v>
      </c>
      <c r="K1823" s="4">
        <f>Cocina[[#This Row],[Ganancia neta]]/_xlfn.XLOOKUP(Cocina[[#This Row],[Número de Orden]],Sala[Número de Orden],Sala[Monto total],"fracaso",0,1)</f>
        <v>0.20338983050847459</v>
      </c>
      <c r="L1823" t="s">
        <v>608</v>
      </c>
    </row>
    <row r="1824" spans="1:12" x14ac:dyDescent="0.25">
      <c r="A1824">
        <v>737</v>
      </c>
      <c r="B1824">
        <v>6</v>
      </c>
      <c r="C1824" t="s">
        <v>68</v>
      </c>
      <c r="D1824" t="s">
        <v>619</v>
      </c>
      <c r="E1824">
        <v>18</v>
      </c>
      <c r="F1824">
        <v>30</v>
      </c>
      <c r="G1824">
        <v>2</v>
      </c>
      <c r="H1824">
        <v>5</v>
      </c>
      <c r="I1824">
        <f>Cocina[[#This Row],[Precio Unitario]]*Cocina[[#This Row],[Cantidad Ordenada]]</f>
        <v>60</v>
      </c>
      <c r="J1824">
        <f>(Cocina[[#This Row],[Precio Unitario]]-Cocina[[#This Row],[Costo Unitario]])*Cocina[[#This Row],[Cantidad Ordenada]]</f>
        <v>24</v>
      </c>
      <c r="K1824" s="4">
        <f>Cocina[[#This Row],[Ganancia neta]]/_xlfn.XLOOKUP(Cocina[[#This Row],[Número de Orden]],Sala[Número de Orden],Sala[Monto total],"fracaso",0,1)</f>
        <v>0.20338983050847459</v>
      </c>
      <c r="L1824" t="s">
        <v>607</v>
      </c>
    </row>
    <row r="1825" spans="1:12" x14ac:dyDescent="0.25">
      <c r="A1825">
        <v>738</v>
      </c>
      <c r="B1825">
        <v>15</v>
      </c>
      <c r="C1825" t="s">
        <v>155</v>
      </c>
      <c r="D1825" t="s">
        <v>636</v>
      </c>
      <c r="E1825">
        <v>15</v>
      </c>
      <c r="F1825">
        <v>26</v>
      </c>
      <c r="G1825">
        <v>2</v>
      </c>
      <c r="H1825">
        <v>59</v>
      </c>
      <c r="I1825">
        <f>Cocina[[#This Row],[Precio Unitario]]*Cocina[[#This Row],[Cantidad Ordenada]]</f>
        <v>52</v>
      </c>
      <c r="J1825">
        <f>(Cocina[[#This Row],[Precio Unitario]]-Cocina[[#This Row],[Costo Unitario]])*Cocina[[#This Row],[Cantidad Ordenada]]</f>
        <v>22</v>
      </c>
      <c r="K1825" s="4">
        <f>Cocina[[#This Row],[Ganancia neta]]/_xlfn.XLOOKUP(Cocina[[#This Row],[Número de Orden]],Sala[Número de Orden],Sala[Monto total],"fracaso",0,1)</f>
        <v>0.16417910447761194</v>
      </c>
      <c r="L1825" t="s">
        <v>607</v>
      </c>
    </row>
    <row r="1826" spans="1:12" x14ac:dyDescent="0.25">
      <c r="A1826">
        <v>738</v>
      </c>
      <c r="B1826">
        <v>15</v>
      </c>
      <c r="C1826" t="s">
        <v>42</v>
      </c>
      <c r="D1826" t="s">
        <v>626</v>
      </c>
      <c r="E1826">
        <v>16</v>
      </c>
      <c r="F1826">
        <v>28</v>
      </c>
      <c r="G1826">
        <v>1</v>
      </c>
      <c r="H1826">
        <v>15</v>
      </c>
      <c r="I1826">
        <f>Cocina[[#This Row],[Precio Unitario]]*Cocina[[#This Row],[Cantidad Ordenada]]</f>
        <v>28</v>
      </c>
      <c r="J1826">
        <f>(Cocina[[#This Row],[Precio Unitario]]-Cocina[[#This Row],[Costo Unitario]])*Cocina[[#This Row],[Cantidad Ordenada]]</f>
        <v>12</v>
      </c>
      <c r="K1826" s="4">
        <f>Cocina[[#This Row],[Ganancia neta]]/_xlfn.XLOOKUP(Cocina[[#This Row],[Número de Orden]],Sala[Número de Orden],Sala[Monto total],"fracaso",0,1)</f>
        <v>8.9552238805970144E-2</v>
      </c>
      <c r="L1826" t="s">
        <v>607</v>
      </c>
    </row>
    <row r="1827" spans="1:12" x14ac:dyDescent="0.25">
      <c r="A1827">
        <v>738</v>
      </c>
      <c r="B1827">
        <v>15</v>
      </c>
      <c r="C1827" t="s">
        <v>79</v>
      </c>
      <c r="D1827" t="s">
        <v>635</v>
      </c>
      <c r="E1827">
        <v>10</v>
      </c>
      <c r="F1827">
        <v>18</v>
      </c>
      <c r="G1827">
        <v>3</v>
      </c>
      <c r="H1827">
        <v>20</v>
      </c>
      <c r="I1827">
        <f>Cocina[[#This Row],[Precio Unitario]]*Cocina[[#This Row],[Cantidad Ordenada]]</f>
        <v>54</v>
      </c>
      <c r="J1827">
        <f>(Cocina[[#This Row],[Precio Unitario]]-Cocina[[#This Row],[Costo Unitario]])*Cocina[[#This Row],[Cantidad Ordenada]]</f>
        <v>24</v>
      </c>
      <c r="K1827" s="4">
        <f>Cocina[[#This Row],[Ganancia neta]]/_xlfn.XLOOKUP(Cocina[[#This Row],[Número de Orden]],Sala[Número de Orden],Sala[Monto total],"fracaso",0,1)</f>
        <v>0.17910447761194029</v>
      </c>
      <c r="L1827" t="s">
        <v>608</v>
      </c>
    </row>
    <row r="1828" spans="1:12" x14ac:dyDescent="0.25">
      <c r="A1828">
        <v>739</v>
      </c>
      <c r="B1828">
        <v>10</v>
      </c>
      <c r="C1828" t="s">
        <v>200</v>
      </c>
      <c r="D1828" t="s">
        <v>633</v>
      </c>
      <c r="E1828">
        <v>14</v>
      </c>
      <c r="F1828">
        <v>23</v>
      </c>
      <c r="G1828">
        <v>2</v>
      </c>
      <c r="H1828">
        <v>54</v>
      </c>
      <c r="I1828">
        <f>Cocina[[#This Row],[Precio Unitario]]*Cocina[[#This Row],[Cantidad Ordenada]]</f>
        <v>46</v>
      </c>
      <c r="J1828">
        <f>(Cocina[[#This Row],[Precio Unitario]]-Cocina[[#This Row],[Costo Unitario]])*Cocina[[#This Row],[Cantidad Ordenada]]</f>
        <v>18</v>
      </c>
      <c r="K1828" s="4">
        <f>Cocina[[#This Row],[Ganancia neta]]/_xlfn.XLOOKUP(Cocina[[#This Row],[Número de Orden]],Sala[Número de Orden],Sala[Monto total],"fracaso",0,1)</f>
        <v>0.39130434782608697</v>
      </c>
      <c r="L1828" t="s">
        <v>607</v>
      </c>
    </row>
    <row r="1829" spans="1:12" x14ac:dyDescent="0.25">
      <c r="A1829">
        <v>740</v>
      </c>
      <c r="B1829">
        <v>16</v>
      </c>
      <c r="C1829" t="s">
        <v>42</v>
      </c>
      <c r="D1829" t="s">
        <v>626</v>
      </c>
      <c r="E1829">
        <v>16</v>
      </c>
      <c r="F1829">
        <v>28</v>
      </c>
      <c r="G1829">
        <v>3</v>
      </c>
      <c r="H1829">
        <v>31</v>
      </c>
      <c r="I1829">
        <f>Cocina[[#This Row],[Precio Unitario]]*Cocina[[#This Row],[Cantidad Ordenada]]</f>
        <v>84</v>
      </c>
      <c r="J1829">
        <f>(Cocina[[#This Row],[Precio Unitario]]-Cocina[[#This Row],[Costo Unitario]])*Cocina[[#This Row],[Cantidad Ordenada]]</f>
        <v>36</v>
      </c>
      <c r="K1829" s="4">
        <f>Cocina[[#This Row],[Ganancia neta]]/_xlfn.XLOOKUP(Cocina[[#This Row],[Número de Orden]],Sala[Número de Orden],Sala[Monto total],"fracaso",0,1)</f>
        <v>0.12286689419795221</v>
      </c>
      <c r="L1829" t="s">
        <v>607</v>
      </c>
    </row>
    <row r="1830" spans="1:12" x14ac:dyDescent="0.25">
      <c r="A1830">
        <v>740</v>
      </c>
      <c r="B1830">
        <v>16</v>
      </c>
      <c r="C1830" t="s">
        <v>247</v>
      </c>
      <c r="D1830" t="s">
        <v>629</v>
      </c>
      <c r="E1830">
        <v>19</v>
      </c>
      <c r="F1830">
        <v>32</v>
      </c>
      <c r="G1830">
        <v>1</v>
      </c>
      <c r="H1830">
        <v>16</v>
      </c>
      <c r="I1830">
        <f>Cocina[[#This Row],[Precio Unitario]]*Cocina[[#This Row],[Cantidad Ordenada]]</f>
        <v>32</v>
      </c>
      <c r="J1830">
        <f>(Cocina[[#This Row],[Precio Unitario]]-Cocina[[#This Row],[Costo Unitario]])*Cocina[[#This Row],[Cantidad Ordenada]]</f>
        <v>13</v>
      </c>
      <c r="K1830" s="4">
        <f>Cocina[[#This Row],[Ganancia neta]]/_xlfn.XLOOKUP(Cocina[[#This Row],[Número de Orden]],Sala[Número de Orden],Sala[Monto total],"fracaso",0,1)</f>
        <v>4.4368600682593858E-2</v>
      </c>
      <c r="L1830" t="s">
        <v>608</v>
      </c>
    </row>
    <row r="1831" spans="1:12" x14ac:dyDescent="0.25">
      <c r="A1831">
        <v>740</v>
      </c>
      <c r="B1831">
        <v>16</v>
      </c>
      <c r="C1831" t="s">
        <v>73</v>
      </c>
      <c r="D1831" t="s">
        <v>623</v>
      </c>
      <c r="E1831">
        <v>22</v>
      </c>
      <c r="F1831">
        <v>36</v>
      </c>
      <c r="G1831">
        <v>3</v>
      </c>
      <c r="H1831">
        <v>45</v>
      </c>
      <c r="I1831">
        <f>Cocina[[#This Row],[Precio Unitario]]*Cocina[[#This Row],[Cantidad Ordenada]]</f>
        <v>108</v>
      </c>
      <c r="J1831">
        <f>(Cocina[[#This Row],[Precio Unitario]]-Cocina[[#This Row],[Costo Unitario]])*Cocina[[#This Row],[Cantidad Ordenada]]</f>
        <v>42</v>
      </c>
      <c r="K1831" s="4">
        <f>Cocina[[#This Row],[Ganancia neta]]/_xlfn.XLOOKUP(Cocina[[#This Row],[Número de Orden]],Sala[Número de Orden],Sala[Monto total],"fracaso",0,1)</f>
        <v>0.14334470989761092</v>
      </c>
      <c r="L1831" t="s">
        <v>608</v>
      </c>
    </row>
    <row r="1832" spans="1:12" x14ac:dyDescent="0.25">
      <c r="A1832">
        <v>740</v>
      </c>
      <c r="B1832">
        <v>16</v>
      </c>
      <c r="C1832" t="s">
        <v>200</v>
      </c>
      <c r="D1832" t="s">
        <v>633</v>
      </c>
      <c r="E1832">
        <v>14</v>
      </c>
      <c r="F1832">
        <v>23</v>
      </c>
      <c r="G1832">
        <v>3</v>
      </c>
      <c r="H1832">
        <v>21</v>
      </c>
      <c r="I1832">
        <f>Cocina[[#This Row],[Precio Unitario]]*Cocina[[#This Row],[Cantidad Ordenada]]</f>
        <v>69</v>
      </c>
      <c r="J1832">
        <f>(Cocina[[#This Row],[Precio Unitario]]-Cocina[[#This Row],[Costo Unitario]])*Cocina[[#This Row],[Cantidad Ordenada]]</f>
        <v>27</v>
      </c>
      <c r="K1832" s="4">
        <f>Cocina[[#This Row],[Ganancia neta]]/_xlfn.XLOOKUP(Cocina[[#This Row],[Número de Orden]],Sala[Número de Orden],Sala[Monto total],"fracaso",0,1)</f>
        <v>9.2150170648464161E-2</v>
      </c>
      <c r="L1832" t="s">
        <v>608</v>
      </c>
    </row>
    <row r="1833" spans="1:12" x14ac:dyDescent="0.25">
      <c r="A1833">
        <v>741</v>
      </c>
      <c r="B1833">
        <v>14</v>
      </c>
      <c r="C1833" t="s">
        <v>158</v>
      </c>
      <c r="D1833" t="s">
        <v>617</v>
      </c>
      <c r="E1833">
        <v>14</v>
      </c>
      <c r="F1833">
        <v>24</v>
      </c>
      <c r="G1833">
        <v>3</v>
      </c>
      <c r="H1833">
        <v>52</v>
      </c>
      <c r="I1833">
        <f>Cocina[[#This Row],[Precio Unitario]]*Cocina[[#This Row],[Cantidad Ordenada]]</f>
        <v>72</v>
      </c>
      <c r="J1833">
        <f>(Cocina[[#This Row],[Precio Unitario]]-Cocina[[#This Row],[Costo Unitario]])*Cocina[[#This Row],[Cantidad Ordenada]]</f>
        <v>30</v>
      </c>
      <c r="K1833" s="4">
        <f>Cocina[[#This Row],[Ganancia neta]]/_xlfn.XLOOKUP(Cocina[[#This Row],[Número de Orden]],Sala[Número de Orden],Sala[Monto total],"fracaso",0,1)</f>
        <v>0.10526315789473684</v>
      </c>
      <c r="L1833" t="s">
        <v>608</v>
      </c>
    </row>
    <row r="1834" spans="1:12" x14ac:dyDescent="0.25">
      <c r="A1834">
        <v>741</v>
      </c>
      <c r="B1834">
        <v>14</v>
      </c>
      <c r="C1834" t="s">
        <v>38</v>
      </c>
      <c r="D1834" t="s">
        <v>624</v>
      </c>
      <c r="E1834">
        <v>17</v>
      </c>
      <c r="F1834">
        <v>29</v>
      </c>
      <c r="G1834">
        <v>2</v>
      </c>
      <c r="H1834">
        <v>40</v>
      </c>
      <c r="I1834">
        <f>Cocina[[#This Row],[Precio Unitario]]*Cocina[[#This Row],[Cantidad Ordenada]]</f>
        <v>58</v>
      </c>
      <c r="J1834">
        <f>(Cocina[[#This Row],[Precio Unitario]]-Cocina[[#This Row],[Costo Unitario]])*Cocina[[#This Row],[Cantidad Ordenada]]</f>
        <v>24</v>
      </c>
      <c r="K1834" s="4">
        <f>Cocina[[#This Row],[Ganancia neta]]/_xlfn.XLOOKUP(Cocina[[#This Row],[Número de Orden]],Sala[Número de Orden],Sala[Monto total],"fracaso",0,1)</f>
        <v>8.4210526315789472E-2</v>
      </c>
      <c r="L1834" t="s">
        <v>607</v>
      </c>
    </row>
    <row r="1835" spans="1:12" x14ac:dyDescent="0.25">
      <c r="A1835">
        <v>741</v>
      </c>
      <c r="B1835">
        <v>14</v>
      </c>
      <c r="C1835" t="s">
        <v>261</v>
      </c>
      <c r="D1835" t="s">
        <v>625</v>
      </c>
      <c r="E1835">
        <v>20</v>
      </c>
      <c r="F1835">
        <v>33</v>
      </c>
      <c r="G1835">
        <v>3</v>
      </c>
      <c r="H1835">
        <v>39</v>
      </c>
      <c r="I1835">
        <f>Cocina[[#This Row],[Precio Unitario]]*Cocina[[#This Row],[Cantidad Ordenada]]</f>
        <v>99</v>
      </c>
      <c r="J1835">
        <f>(Cocina[[#This Row],[Precio Unitario]]-Cocina[[#This Row],[Costo Unitario]])*Cocina[[#This Row],[Cantidad Ordenada]]</f>
        <v>39</v>
      </c>
      <c r="K1835" s="4">
        <f>Cocina[[#This Row],[Ganancia neta]]/_xlfn.XLOOKUP(Cocina[[#This Row],[Número de Orden]],Sala[Número de Orden],Sala[Monto total],"fracaso",0,1)</f>
        <v>0.1368421052631579</v>
      </c>
      <c r="L1835" t="s">
        <v>608</v>
      </c>
    </row>
    <row r="1836" spans="1:12" x14ac:dyDescent="0.25">
      <c r="A1836">
        <v>741</v>
      </c>
      <c r="B1836">
        <v>14</v>
      </c>
      <c r="C1836" t="s">
        <v>42</v>
      </c>
      <c r="D1836" t="s">
        <v>626</v>
      </c>
      <c r="E1836">
        <v>16</v>
      </c>
      <c r="F1836">
        <v>28</v>
      </c>
      <c r="G1836">
        <v>2</v>
      </c>
      <c r="H1836">
        <v>34</v>
      </c>
      <c r="I1836">
        <f>Cocina[[#This Row],[Precio Unitario]]*Cocina[[#This Row],[Cantidad Ordenada]]</f>
        <v>56</v>
      </c>
      <c r="J1836">
        <f>(Cocina[[#This Row],[Precio Unitario]]-Cocina[[#This Row],[Costo Unitario]])*Cocina[[#This Row],[Cantidad Ordenada]]</f>
        <v>24</v>
      </c>
      <c r="K1836" s="4">
        <f>Cocina[[#This Row],[Ganancia neta]]/_xlfn.XLOOKUP(Cocina[[#This Row],[Número de Orden]],Sala[Número de Orden],Sala[Monto total],"fracaso",0,1)</f>
        <v>8.4210526315789472E-2</v>
      </c>
      <c r="L1836" t="s">
        <v>608</v>
      </c>
    </row>
    <row r="1837" spans="1:12" x14ac:dyDescent="0.25">
      <c r="A1837">
        <v>742</v>
      </c>
      <c r="B1837">
        <v>20</v>
      </c>
      <c r="C1837" t="s">
        <v>116</v>
      </c>
      <c r="D1837" t="s">
        <v>620</v>
      </c>
      <c r="E1837">
        <v>19</v>
      </c>
      <c r="F1837">
        <v>31</v>
      </c>
      <c r="G1837">
        <v>1</v>
      </c>
      <c r="H1837">
        <v>41</v>
      </c>
      <c r="I1837">
        <f>Cocina[[#This Row],[Precio Unitario]]*Cocina[[#This Row],[Cantidad Ordenada]]</f>
        <v>31</v>
      </c>
      <c r="J1837">
        <f>(Cocina[[#This Row],[Precio Unitario]]-Cocina[[#This Row],[Costo Unitario]])*Cocina[[#This Row],[Cantidad Ordenada]]</f>
        <v>12</v>
      </c>
      <c r="K1837" s="4">
        <f>Cocina[[#This Row],[Ganancia neta]]/_xlfn.XLOOKUP(Cocina[[#This Row],[Número de Orden]],Sala[Número de Orden],Sala[Monto total],"fracaso",0,1)</f>
        <v>7.2289156626506021E-2</v>
      </c>
      <c r="L1837" t="s">
        <v>608</v>
      </c>
    </row>
    <row r="1838" spans="1:12" x14ac:dyDescent="0.25">
      <c r="A1838">
        <v>742</v>
      </c>
      <c r="B1838">
        <v>20</v>
      </c>
      <c r="C1838" t="s">
        <v>68</v>
      </c>
      <c r="D1838" t="s">
        <v>619</v>
      </c>
      <c r="E1838">
        <v>18</v>
      </c>
      <c r="F1838">
        <v>30</v>
      </c>
      <c r="G1838">
        <v>3</v>
      </c>
      <c r="H1838">
        <v>43</v>
      </c>
      <c r="I1838">
        <f>Cocina[[#This Row],[Precio Unitario]]*Cocina[[#This Row],[Cantidad Ordenada]]</f>
        <v>90</v>
      </c>
      <c r="J1838">
        <f>(Cocina[[#This Row],[Precio Unitario]]-Cocina[[#This Row],[Costo Unitario]])*Cocina[[#This Row],[Cantidad Ordenada]]</f>
        <v>36</v>
      </c>
      <c r="K1838" s="4">
        <f>Cocina[[#This Row],[Ganancia neta]]/_xlfn.XLOOKUP(Cocina[[#This Row],[Número de Orden]],Sala[Número de Orden],Sala[Monto total],"fracaso",0,1)</f>
        <v>0.21686746987951808</v>
      </c>
      <c r="L1838" t="s">
        <v>607</v>
      </c>
    </row>
    <row r="1839" spans="1:12" x14ac:dyDescent="0.25">
      <c r="A1839">
        <v>742</v>
      </c>
      <c r="B1839">
        <v>20</v>
      </c>
      <c r="C1839" t="s">
        <v>155</v>
      </c>
      <c r="D1839" t="s">
        <v>636</v>
      </c>
      <c r="E1839">
        <v>15</v>
      </c>
      <c r="F1839">
        <v>26</v>
      </c>
      <c r="G1839">
        <v>1</v>
      </c>
      <c r="H1839">
        <v>26</v>
      </c>
      <c r="I1839">
        <f>Cocina[[#This Row],[Precio Unitario]]*Cocina[[#This Row],[Cantidad Ordenada]]</f>
        <v>26</v>
      </c>
      <c r="J1839">
        <f>(Cocina[[#This Row],[Precio Unitario]]-Cocina[[#This Row],[Costo Unitario]])*Cocina[[#This Row],[Cantidad Ordenada]]</f>
        <v>11</v>
      </c>
      <c r="K1839" s="4">
        <f>Cocina[[#This Row],[Ganancia neta]]/_xlfn.XLOOKUP(Cocina[[#This Row],[Número de Orden]],Sala[Número de Orden],Sala[Monto total],"fracaso",0,1)</f>
        <v>6.6265060240963861E-2</v>
      </c>
      <c r="L1839" t="s">
        <v>608</v>
      </c>
    </row>
    <row r="1840" spans="1:12" x14ac:dyDescent="0.25">
      <c r="A1840">
        <v>742</v>
      </c>
      <c r="B1840">
        <v>20</v>
      </c>
      <c r="C1840" t="s">
        <v>112</v>
      </c>
      <c r="D1840" t="s">
        <v>627</v>
      </c>
      <c r="E1840">
        <v>11</v>
      </c>
      <c r="F1840">
        <v>19</v>
      </c>
      <c r="G1840">
        <v>1</v>
      </c>
      <c r="H1840">
        <v>35</v>
      </c>
      <c r="I1840">
        <f>Cocina[[#This Row],[Precio Unitario]]*Cocina[[#This Row],[Cantidad Ordenada]]</f>
        <v>19</v>
      </c>
      <c r="J1840">
        <f>(Cocina[[#This Row],[Precio Unitario]]-Cocina[[#This Row],[Costo Unitario]])*Cocina[[#This Row],[Cantidad Ordenada]]</f>
        <v>8</v>
      </c>
      <c r="K1840" s="4">
        <f>Cocina[[#This Row],[Ganancia neta]]/_xlfn.XLOOKUP(Cocina[[#This Row],[Número de Orden]],Sala[Número de Orden],Sala[Monto total],"fracaso",0,1)</f>
        <v>4.8192771084337352E-2</v>
      </c>
      <c r="L1840" t="s">
        <v>607</v>
      </c>
    </row>
    <row r="1841" spans="1:12" x14ac:dyDescent="0.25">
      <c r="A1841">
        <v>743</v>
      </c>
      <c r="B1841">
        <v>19</v>
      </c>
      <c r="C1841" t="s">
        <v>155</v>
      </c>
      <c r="D1841" t="s">
        <v>636</v>
      </c>
      <c r="E1841">
        <v>15</v>
      </c>
      <c r="F1841">
        <v>26</v>
      </c>
      <c r="G1841">
        <v>2</v>
      </c>
      <c r="H1841">
        <v>59</v>
      </c>
      <c r="I1841">
        <f>Cocina[[#This Row],[Precio Unitario]]*Cocina[[#This Row],[Cantidad Ordenada]]</f>
        <v>52</v>
      </c>
      <c r="J1841">
        <f>(Cocina[[#This Row],[Precio Unitario]]-Cocina[[#This Row],[Costo Unitario]])*Cocina[[#This Row],[Cantidad Ordenada]]</f>
        <v>22</v>
      </c>
      <c r="K1841" s="4">
        <f>Cocina[[#This Row],[Ganancia neta]]/_xlfn.XLOOKUP(Cocina[[#This Row],[Número de Orden]],Sala[Número de Orden],Sala[Monto total],"fracaso",0,1)</f>
        <v>0.16417910447761194</v>
      </c>
      <c r="L1841" t="s">
        <v>608</v>
      </c>
    </row>
    <row r="1842" spans="1:12" x14ac:dyDescent="0.25">
      <c r="A1842">
        <v>743</v>
      </c>
      <c r="B1842">
        <v>19</v>
      </c>
      <c r="C1842" t="s">
        <v>79</v>
      </c>
      <c r="D1842" t="s">
        <v>635</v>
      </c>
      <c r="E1842">
        <v>10</v>
      </c>
      <c r="F1842">
        <v>18</v>
      </c>
      <c r="G1842">
        <v>2</v>
      </c>
      <c r="H1842">
        <v>41</v>
      </c>
      <c r="I1842">
        <f>Cocina[[#This Row],[Precio Unitario]]*Cocina[[#This Row],[Cantidad Ordenada]]</f>
        <v>36</v>
      </c>
      <c r="J1842">
        <f>(Cocina[[#This Row],[Precio Unitario]]-Cocina[[#This Row],[Costo Unitario]])*Cocina[[#This Row],[Cantidad Ordenada]]</f>
        <v>16</v>
      </c>
      <c r="K1842" s="4">
        <f>Cocina[[#This Row],[Ganancia neta]]/_xlfn.XLOOKUP(Cocina[[#This Row],[Número de Orden]],Sala[Número de Orden],Sala[Monto total],"fracaso",0,1)</f>
        <v>0.11940298507462686</v>
      </c>
      <c r="L1842" t="s">
        <v>607</v>
      </c>
    </row>
    <row r="1843" spans="1:12" x14ac:dyDescent="0.25">
      <c r="A1843">
        <v>743</v>
      </c>
      <c r="B1843">
        <v>19</v>
      </c>
      <c r="C1843" t="s">
        <v>200</v>
      </c>
      <c r="D1843" t="s">
        <v>633</v>
      </c>
      <c r="E1843">
        <v>14</v>
      </c>
      <c r="F1843">
        <v>23</v>
      </c>
      <c r="G1843">
        <v>2</v>
      </c>
      <c r="H1843">
        <v>43</v>
      </c>
      <c r="I1843">
        <f>Cocina[[#This Row],[Precio Unitario]]*Cocina[[#This Row],[Cantidad Ordenada]]</f>
        <v>46</v>
      </c>
      <c r="J1843">
        <f>(Cocina[[#This Row],[Precio Unitario]]-Cocina[[#This Row],[Costo Unitario]])*Cocina[[#This Row],[Cantidad Ordenada]]</f>
        <v>18</v>
      </c>
      <c r="K1843" s="4">
        <f>Cocina[[#This Row],[Ganancia neta]]/_xlfn.XLOOKUP(Cocina[[#This Row],[Número de Orden]],Sala[Número de Orden],Sala[Monto total],"fracaso",0,1)</f>
        <v>0.13432835820895522</v>
      </c>
      <c r="L1843" t="s">
        <v>608</v>
      </c>
    </row>
    <row r="1844" spans="1:12" x14ac:dyDescent="0.25">
      <c r="A1844">
        <v>744</v>
      </c>
      <c r="B1844">
        <v>11</v>
      </c>
      <c r="C1844" t="s">
        <v>79</v>
      </c>
      <c r="D1844" t="s">
        <v>635</v>
      </c>
      <c r="E1844">
        <v>10</v>
      </c>
      <c r="F1844">
        <v>18</v>
      </c>
      <c r="G1844">
        <v>1</v>
      </c>
      <c r="H1844">
        <v>57</v>
      </c>
      <c r="I1844">
        <f>Cocina[[#This Row],[Precio Unitario]]*Cocina[[#This Row],[Cantidad Ordenada]]</f>
        <v>18</v>
      </c>
      <c r="J1844">
        <f>(Cocina[[#This Row],[Precio Unitario]]-Cocina[[#This Row],[Costo Unitario]])*Cocina[[#This Row],[Cantidad Ordenada]]</f>
        <v>8</v>
      </c>
      <c r="K1844" s="4">
        <f>Cocina[[#This Row],[Ganancia neta]]/_xlfn.XLOOKUP(Cocina[[#This Row],[Número de Orden]],Sala[Número de Orden],Sala[Monto total],"fracaso",0,1)</f>
        <v>0.10526315789473684</v>
      </c>
      <c r="L1844" t="s">
        <v>607</v>
      </c>
    </row>
    <row r="1845" spans="1:12" x14ac:dyDescent="0.25">
      <c r="A1845">
        <v>744</v>
      </c>
      <c r="B1845">
        <v>11</v>
      </c>
      <c r="C1845" t="s">
        <v>38</v>
      </c>
      <c r="D1845" t="s">
        <v>624</v>
      </c>
      <c r="E1845">
        <v>17</v>
      </c>
      <c r="F1845">
        <v>29</v>
      </c>
      <c r="G1845">
        <v>2</v>
      </c>
      <c r="H1845">
        <v>10</v>
      </c>
      <c r="I1845">
        <f>Cocina[[#This Row],[Precio Unitario]]*Cocina[[#This Row],[Cantidad Ordenada]]</f>
        <v>58</v>
      </c>
      <c r="J1845">
        <f>(Cocina[[#This Row],[Precio Unitario]]-Cocina[[#This Row],[Costo Unitario]])*Cocina[[#This Row],[Cantidad Ordenada]]</f>
        <v>24</v>
      </c>
      <c r="K1845" s="4">
        <f>Cocina[[#This Row],[Ganancia neta]]/_xlfn.XLOOKUP(Cocina[[#This Row],[Número de Orden]],Sala[Número de Orden],Sala[Monto total],"fracaso",0,1)</f>
        <v>0.31578947368421051</v>
      </c>
      <c r="L1845" t="s">
        <v>607</v>
      </c>
    </row>
    <row r="1846" spans="1:12" x14ac:dyDescent="0.25">
      <c r="A1846">
        <v>745</v>
      </c>
      <c r="B1846">
        <v>3</v>
      </c>
      <c r="C1846" t="s">
        <v>26</v>
      </c>
      <c r="D1846" t="s">
        <v>628</v>
      </c>
      <c r="E1846">
        <v>21</v>
      </c>
      <c r="F1846">
        <v>35</v>
      </c>
      <c r="G1846">
        <v>3</v>
      </c>
      <c r="H1846">
        <v>34</v>
      </c>
      <c r="I1846">
        <f>Cocina[[#This Row],[Precio Unitario]]*Cocina[[#This Row],[Cantidad Ordenada]]</f>
        <v>105</v>
      </c>
      <c r="J1846">
        <f>(Cocina[[#This Row],[Precio Unitario]]-Cocina[[#This Row],[Costo Unitario]])*Cocina[[#This Row],[Cantidad Ordenada]]</f>
        <v>42</v>
      </c>
      <c r="K1846" s="4">
        <f>Cocina[[#This Row],[Ganancia neta]]/_xlfn.XLOOKUP(Cocina[[#This Row],[Número de Orden]],Sala[Número de Orden],Sala[Monto total],"fracaso",0,1)</f>
        <v>0.14788732394366197</v>
      </c>
      <c r="L1846" t="s">
        <v>607</v>
      </c>
    </row>
    <row r="1847" spans="1:12" x14ac:dyDescent="0.25">
      <c r="A1847">
        <v>745</v>
      </c>
      <c r="B1847">
        <v>3</v>
      </c>
      <c r="C1847" t="s">
        <v>158</v>
      </c>
      <c r="D1847" t="s">
        <v>617</v>
      </c>
      <c r="E1847">
        <v>14</v>
      </c>
      <c r="F1847">
        <v>24</v>
      </c>
      <c r="G1847">
        <v>2</v>
      </c>
      <c r="H1847">
        <v>9</v>
      </c>
      <c r="I1847">
        <f>Cocina[[#This Row],[Precio Unitario]]*Cocina[[#This Row],[Cantidad Ordenada]]</f>
        <v>48</v>
      </c>
      <c r="J1847">
        <f>(Cocina[[#This Row],[Precio Unitario]]-Cocina[[#This Row],[Costo Unitario]])*Cocina[[#This Row],[Cantidad Ordenada]]</f>
        <v>20</v>
      </c>
      <c r="K1847" s="4">
        <f>Cocina[[#This Row],[Ganancia neta]]/_xlfn.XLOOKUP(Cocina[[#This Row],[Número de Orden]],Sala[Número de Orden],Sala[Monto total],"fracaso",0,1)</f>
        <v>7.0422535211267609E-2</v>
      </c>
      <c r="L1847" t="s">
        <v>607</v>
      </c>
    </row>
    <row r="1848" spans="1:12" x14ac:dyDescent="0.25">
      <c r="A1848">
        <v>745</v>
      </c>
      <c r="B1848">
        <v>3</v>
      </c>
      <c r="C1848" t="s">
        <v>122</v>
      </c>
      <c r="D1848" t="s">
        <v>637</v>
      </c>
      <c r="E1848">
        <v>15</v>
      </c>
      <c r="F1848">
        <v>25</v>
      </c>
      <c r="G1848">
        <v>2</v>
      </c>
      <c r="H1848">
        <v>23</v>
      </c>
      <c r="I1848">
        <f>Cocina[[#This Row],[Precio Unitario]]*Cocina[[#This Row],[Cantidad Ordenada]]</f>
        <v>50</v>
      </c>
      <c r="J1848">
        <f>(Cocina[[#This Row],[Precio Unitario]]-Cocina[[#This Row],[Costo Unitario]])*Cocina[[#This Row],[Cantidad Ordenada]]</f>
        <v>20</v>
      </c>
      <c r="K1848" s="4">
        <f>Cocina[[#This Row],[Ganancia neta]]/_xlfn.XLOOKUP(Cocina[[#This Row],[Número de Orden]],Sala[Número de Orden],Sala[Monto total],"fracaso",0,1)</f>
        <v>7.0422535211267609E-2</v>
      </c>
      <c r="L1848" t="s">
        <v>607</v>
      </c>
    </row>
    <row r="1849" spans="1:12" x14ac:dyDescent="0.25">
      <c r="A1849">
        <v>745</v>
      </c>
      <c r="B1849">
        <v>3</v>
      </c>
      <c r="C1849" t="s">
        <v>106</v>
      </c>
      <c r="D1849" t="s">
        <v>621</v>
      </c>
      <c r="E1849">
        <v>16</v>
      </c>
      <c r="F1849">
        <v>27</v>
      </c>
      <c r="G1849">
        <v>3</v>
      </c>
      <c r="H1849">
        <v>7</v>
      </c>
      <c r="I1849">
        <f>Cocina[[#This Row],[Precio Unitario]]*Cocina[[#This Row],[Cantidad Ordenada]]</f>
        <v>81</v>
      </c>
      <c r="J1849">
        <f>(Cocina[[#This Row],[Precio Unitario]]-Cocina[[#This Row],[Costo Unitario]])*Cocina[[#This Row],[Cantidad Ordenada]]</f>
        <v>33</v>
      </c>
      <c r="K1849" s="4">
        <f>Cocina[[#This Row],[Ganancia neta]]/_xlfn.XLOOKUP(Cocina[[#This Row],[Número de Orden]],Sala[Número de Orden],Sala[Monto total],"fracaso",0,1)</f>
        <v>0.11619718309859155</v>
      </c>
      <c r="L1849" t="s">
        <v>608</v>
      </c>
    </row>
    <row r="1850" spans="1:12" x14ac:dyDescent="0.25">
      <c r="A1850">
        <v>746</v>
      </c>
      <c r="B1850">
        <v>13</v>
      </c>
      <c r="C1850" t="s">
        <v>26</v>
      </c>
      <c r="D1850" t="s">
        <v>628</v>
      </c>
      <c r="E1850">
        <v>21</v>
      </c>
      <c r="F1850">
        <v>35</v>
      </c>
      <c r="G1850">
        <v>3</v>
      </c>
      <c r="H1850">
        <v>34</v>
      </c>
      <c r="I1850">
        <f>Cocina[[#This Row],[Precio Unitario]]*Cocina[[#This Row],[Cantidad Ordenada]]</f>
        <v>105</v>
      </c>
      <c r="J1850">
        <f>(Cocina[[#This Row],[Precio Unitario]]-Cocina[[#This Row],[Costo Unitario]])*Cocina[[#This Row],[Cantidad Ordenada]]</f>
        <v>42</v>
      </c>
      <c r="K1850" s="4">
        <f>Cocina[[#This Row],[Ganancia neta]]/_xlfn.XLOOKUP(Cocina[[#This Row],[Número de Orden]],Sala[Número de Orden],Sala[Monto total],"fracaso",0,1)</f>
        <v>0.20895522388059701</v>
      </c>
      <c r="L1850" t="s">
        <v>607</v>
      </c>
    </row>
    <row r="1851" spans="1:12" x14ac:dyDescent="0.25">
      <c r="A1851">
        <v>746</v>
      </c>
      <c r="B1851">
        <v>13</v>
      </c>
      <c r="C1851" t="s">
        <v>247</v>
      </c>
      <c r="D1851" t="s">
        <v>629</v>
      </c>
      <c r="E1851">
        <v>19</v>
      </c>
      <c r="F1851">
        <v>32</v>
      </c>
      <c r="G1851">
        <v>3</v>
      </c>
      <c r="H1851">
        <v>43</v>
      </c>
      <c r="I1851">
        <f>Cocina[[#This Row],[Precio Unitario]]*Cocina[[#This Row],[Cantidad Ordenada]]</f>
        <v>96</v>
      </c>
      <c r="J1851">
        <f>(Cocina[[#This Row],[Precio Unitario]]-Cocina[[#This Row],[Costo Unitario]])*Cocina[[#This Row],[Cantidad Ordenada]]</f>
        <v>39</v>
      </c>
      <c r="K1851" s="4">
        <f>Cocina[[#This Row],[Ganancia neta]]/_xlfn.XLOOKUP(Cocina[[#This Row],[Número de Orden]],Sala[Número de Orden],Sala[Monto total],"fracaso",0,1)</f>
        <v>0.19402985074626866</v>
      </c>
      <c r="L1851" t="s">
        <v>607</v>
      </c>
    </row>
    <row r="1852" spans="1:12" x14ac:dyDescent="0.25">
      <c r="A1852">
        <v>747</v>
      </c>
      <c r="B1852">
        <v>16</v>
      </c>
      <c r="C1852" t="s">
        <v>122</v>
      </c>
      <c r="D1852" t="s">
        <v>637</v>
      </c>
      <c r="E1852">
        <v>15</v>
      </c>
      <c r="F1852">
        <v>25</v>
      </c>
      <c r="G1852">
        <v>1</v>
      </c>
      <c r="H1852">
        <v>28</v>
      </c>
      <c r="I1852">
        <f>Cocina[[#This Row],[Precio Unitario]]*Cocina[[#This Row],[Cantidad Ordenada]]</f>
        <v>25</v>
      </c>
      <c r="J1852">
        <f>(Cocina[[#This Row],[Precio Unitario]]-Cocina[[#This Row],[Costo Unitario]])*Cocina[[#This Row],[Cantidad Ordenada]]</f>
        <v>10</v>
      </c>
      <c r="K1852" s="4">
        <f>Cocina[[#This Row],[Ganancia neta]]/_xlfn.XLOOKUP(Cocina[[#This Row],[Número de Orden]],Sala[Número de Orden],Sala[Monto total],"fracaso",0,1)</f>
        <v>0.4</v>
      </c>
      <c r="L1852" t="s">
        <v>607</v>
      </c>
    </row>
    <row r="1853" spans="1:12" x14ac:dyDescent="0.25">
      <c r="A1853">
        <v>748</v>
      </c>
      <c r="B1853">
        <v>2</v>
      </c>
      <c r="C1853" t="s">
        <v>247</v>
      </c>
      <c r="D1853" t="s">
        <v>629</v>
      </c>
      <c r="E1853">
        <v>19</v>
      </c>
      <c r="F1853">
        <v>32</v>
      </c>
      <c r="G1853">
        <v>1</v>
      </c>
      <c r="H1853">
        <v>5</v>
      </c>
      <c r="I1853">
        <f>Cocina[[#This Row],[Precio Unitario]]*Cocina[[#This Row],[Cantidad Ordenada]]</f>
        <v>32</v>
      </c>
      <c r="J1853">
        <f>(Cocina[[#This Row],[Precio Unitario]]-Cocina[[#This Row],[Costo Unitario]])*Cocina[[#This Row],[Cantidad Ordenada]]</f>
        <v>13</v>
      </c>
      <c r="K1853" s="4">
        <f>Cocina[[#This Row],[Ganancia neta]]/_xlfn.XLOOKUP(Cocina[[#This Row],[Número de Orden]],Sala[Número de Orden],Sala[Monto total],"fracaso",0,1)</f>
        <v>0.11818181818181818</v>
      </c>
      <c r="L1853" t="s">
        <v>608</v>
      </c>
    </row>
    <row r="1854" spans="1:12" x14ac:dyDescent="0.25">
      <c r="A1854">
        <v>748</v>
      </c>
      <c r="B1854">
        <v>2</v>
      </c>
      <c r="C1854" t="s">
        <v>155</v>
      </c>
      <c r="D1854" t="s">
        <v>636</v>
      </c>
      <c r="E1854">
        <v>15</v>
      </c>
      <c r="F1854">
        <v>26</v>
      </c>
      <c r="G1854">
        <v>3</v>
      </c>
      <c r="H1854">
        <v>32</v>
      </c>
      <c r="I1854">
        <f>Cocina[[#This Row],[Precio Unitario]]*Cocina[[#This Row],[Cantidad Ordenada]]</f>
        <v>78</v>
      </c>
      <c r="J1854">
        <f>(Cocina[[#This Row],[Precio Unitario]]-Cocina[[#This Row],[Costo Unitario]])*Cocina[[#This Row],[Cantidad Ordenada]]</f>
        <v>33</v>
      </c>
      <c r="K1854" s="4">
        <f>Cocina[[#This Row],[Ganancia neta]]/_xlfn.XLOOKUP(Cocina[[#This Row],[Número de Orden]],Sala[Número de Orden],Sala[Monto total],"fracaso",0,1)</f>
        <v>0.3</v>
      </c>
      <c r="L1854" t="s">
        <v>607</v>
      </c>
    </row>
    <row r="1855" spans="1:12" x14ac:dyDescent="0.25">
      <c r="A1855">
        <v>749</v>
      </c>
      <c r="B1855">
        <v>1</v>
      </c>
      <c r="C1855" t="s">
        <v>26</v>
      </c>
      <c r="D1855" t="s">
        <v>628</v>
      </c>
      <c r="E1855">
        <v>21</v>
      </c>
      <c r="F1855">
        <v>35</v>
      </c>
      <c r="G1855">
        <v>2</v>
      </c>
      <c r="H1855">
        <v>8</v>
      </c>
      <c r="I1855">
        <f>Cocina[[#This Row],[Precio Unitario]]*Cocina[[#This Row],[Cantidad Ordenada]]</f>
        <v>70</v>
      </c>
      <c r="J1855">
        <f>(Cocina[[#This Row],[Precio Unitario]]-Cocina[[#This Row],[Costo Unitario]])*Cocina[[#This Row],[Cantidad Ordenada]]</f>
        <v>28</v>
      </c>
      <c r="K1855" s="4">
        <f>Cocina[[#This Row],[Ganancia neta]]/_xlfn.XLOOKUP(Cocina[[#This Row],[Número de Orden]],Sala[Número de Orden],Sala[Monto total],"fracaso",0,1)</f>
        <v>0.4</v>
      </c>
      <c r="L1855" t="s">
        <v>607</v>
      </c>
    </row>
    <row r="1856" spans="1:12" x14ac:dyDescent="0.25">
      <c r="A1856">
        <v>750</v>
      </c>
      <c r="B1856">
        <v>6</v>
      </c>
      <c r="C1856" t="s">
        <v>116</v>
      </c>
      <c r="D1856" t="s">
        <v>620</v>
      </c>
      <c r="E1856">
        <v>19</v>
      </c>
      <c r="F1856">
        <v>31</v>
      </c>
      <c r="G1856">
        <v>3</v>
      </c>
      <c r="H1856">
        <v>47</v>
      </c>
      <c r="I1856">
        <f>Cocina[[#This Row],[Precio Unitario]]*Cocina[[#This Row],[Cantidad Ordenada]]</f>
        <v>93</v>
      </c>
      <c r="J1856">
        <f>(Cocina[[#This Row],[Precio Unitario]]-Cocina[[#This Row],[Costo Unitario]])*Cocina[[#This Row],[Cantidad Ordenada]]</f>
        <v>36</v>
      </c>
      <c r="K1856" s="4">
        <f>Cocina[[#This Row],[Ganancia neta]]/_xlfn.XLOOKUP(Cocina[[#This Row],[Número de Orden]],Sala[Número de Orden],Sala[Monto total],"fracaso",0,1)</f>
        <v>0.30252100840336132</v>
      </c>
      <c r="L1856" t="s">
        <v>607</v>
      </c>
    </row>
    <row r="1857" spans="1:12" x14ac:dyDescent="0.25">
      <c r="A1857">
        <v>750</v>
      </c>
      <c r="B1857">
        <v>6</v>
      </c>
      <c r="C1857" t="s">
        <v>155</v>
      </c>
      <c r="D1857" t="s">
        <v>636</v>
      </c>
      <c r="E1857">
        <v>15</v>
      </c>
      <c r="F1857">
        <v>26</v>
      </c>
      <c r="G1857">
        <v>1</v>
      </c>
      <c r="H1857">
        <v>39</v>
      </c>
      <c r="I1857">
        <f>Cocina[[#This Row],[Precio Unitario]]*Cocina[[#This Row],[Cantidad Ordenada]]</f>
        <v>26</v>
      </c>
      <c r="J1857">
        <f>(Cocina[[#This Row],[Precio Unitario]]-Cocina[[#This Row],[Costo Unitario]])*Cocina[[#This Row],[Cantidad Ordenada]]</f>
        <v>11</v>
      </c>
      <c r="K1857" s="4">
        <f>Cocina[[#This Row],[Ganancia neta]]/_xlfn.XLOOKUP(Cocina[[#This Row],[Número de Orden]],Sala[Número de Orden],Sala[Monto total],"fracaso",0,1)</f>
        <v>9.2436974789915971E-2</v>
      </c>
      <c r="L1857" t="s">
        <v>607</v>
      </c>
    </row>
    <row r="1858" spans="1:12" x14ac:dyDescent="0.25">
      <c r="A1858">
        <v>751</v>
      </c>
      <c r="B1858">
        <v>17</v>
      </c>
      <c r="C1858" t="s">
        <v>38</v>
      </c>
      <c r="D1858" t="s">
        <v>624</v>
      </c>
      <c r="E1858">
        <v>17</v>
      </c>
      <c r="F1858">
        <v>29</v>
      </c>
      <c r="G1858">
        <v>1</v>
      </c>
      <c r="H1858">
        <v>37</v>
      </c>
      <c r="I1858">
        <f>Cocina[[#This Row],[Precio Unitario]]*Cocina[[#This Row],[Cantidad Ordenada]]</f>
        <v>29</v>
      </c>
      <c r="J1858">
        <f>(Cocina[[#This Row],[Precio Unitario]]-Cocina[[#This Row],[Costo Unitario]])*Cocina[[#This Row],[Cantidad Ordenada]]</f>
        <v>12</v>
      </c>
      <c r="K1858" s="4">
        <f>Cocina[[#This Row],[Ganancia neta]]/_xlfn.XLOOKUP(Cocina[[#This Row],[Número de Orden]],Sala[Número de Orden],Sala[Monto total],"fracaso",0,1)</f>
        <v>7.0588235294117646E-2</v>
      </c>
      <c r="L1858" t="s">
        <v>607</v>
      </c>
    </row>
    <row r="1859" spans="1:12" x14ac:dyDescent="0.25">
      <c r="A1859">
        <v>751</v>
      </c>
      <c r="B1859">
        <v>17</v>
      </c>
      <c r="C1859" t="s">
        <v>122</v>
      </c>
      <c r="D1859" t="s">
        <v>637</v>
      </c>
      <c r="E1859">
        <v>15</v>
      </c>
      <c r="F1859">
        <v>25</v>
      </c>
      <c r="G1859">
        <v>3</v>
      </c>
      <c r="H1859">
        <v>31</v>
      </c>
      <c r="I1859">
        <f>Cocina[[#This Row],[Precio Unitario]]*Cocina[[#This Row],[Cantidad Ordenada]]</f>
        <v>75</v>
      </c>
      <c r="J1859">
        <f>(Cocina[[#This Row],[Precio Unitario]]-Cocina[[#This Row],[Costo Unitario]])*Cocina[[#This Row],[Cantidad Ordenada]]</f>
        <v>30</v>
      </c>
      <c r="K1859" s="4">
        <f>Cocina[[#This Row],[Ganancia neta]]/_xlfn.XLOOKUP(Cocina[[#This Row],[Número de Orden]],Sala[Número de Orden],Sala[Monto total],"fracaso",0,1)</f>
        <v>0.17647058823529413</v>
      </c>
      <c r="L1859" t="s">
        <v>608</v>
      </c>
    </row>
    <row r="1860" spans="1:12" x14ac:dyDescent="0.25">
      <c r="A1860">
        <v>751</v>
      </c>
      <c r="B1860">
        <v>17</v>
      </c>
      <c r="C1860" t="s">
        <v>203</v>
      </c>
      <c r="D1860" t="s">
        <v>630</v>
      </c>
      <c r="E1860">
        <v>13</v>
      </c>
      <c r="F1860">
        <v>22</v>
      </c>
      <c r="G1860">
        <v>3</v>
      </c>
      <c r="H1860">
        <v>19</v>
      </c>
      <c r="I1860">
        <f>Cocina[[#This Row],[Precio Unitario]]*Cocina[[#This Row],[Cantidad Ordenada]]</f>
        <v>66</v>
      </c>
      <c r="J1860">
        <f>(Cocina[[#This Row],[Precio Unitario]]-Cocina[[#This Row],[Costo Unitario]])*Cocina[[#This Row],[Cantidad Ordenada]]</f>
        <v>27</v>
      </c>
      <c r="K1860" s="4">
        <f>Cocina[[#This Row],[Ganancia neta]]/_xlfn.XLOOKUP(Cocina[[#This Row],[Número de Orden]],Sala[Número de Orden],Sala[Monto total],"fracaso",0,1)</f>
        <v>0.1588235294117647</v>
      </c>
      <c r="L1860" t="s">
        <v>607</v>
      </c>
    </row>
    <row r="1861" spans="1:12" x14ac:dyDescent="0.25">
      <c r="A1861">
        <v>752</v>
      </c>
      <c r="B1861">
        <v>3</v>
      </c>
      <c r="C1861" t="s">
        <v>68</v>
      </c>
      <c r="D1861" t="s">
        <v>619</v>
      </c>
      <c r="E1861">
        <v>18</v>
      </c>
      <c r="F1861">
        <v>30</v>
      </c>
      <c r="G1861">
        <v>2</v>
      </c>
      <c r="H1861">
        <v>30</v>
      </c>
      <c r="I1861">
        <f>Cocina[[#This Row],[Precio Unitario]]*Cocina[[#This Row],[Cantidad Ordenada]]</f>
        <v>60</v>
      </c>
      <c r="J1861">
        <f>(Cocina[[#This Row],[Precio Unitario]]-Cocina[[#This Row],[Costo Unitario]])*Cocina[[#This Row],[Cantidad Ordenada]]</f>
        <v>24</v>
      </c>
      <c r="K1861" s="4">
        <f>Cocina[[#This Row],[Ganancia neta]]/_xlfn.XLOOKUP(Cocina[[#This Row],[Número de Orden]],Sala[Número de Orden],Sala[Monto total],"fracaso",0,1)</f>
        <v>0.4</v>
      </c>
      <c r="L1861" t="s">
        <v>608</v>
      </c>
    </row>
    <row r="1862" spans="1:12" x14ac:dyDescent="0.25">
      <c r="A1862">
        <v>753</v>
      </c>
      <c r="B1862">
        <v>11</v>
      </c>
      <c r="C1862" t="s">
        <v>247</v>
      </c>
      <c r="D1862" t="s">
        <v>629</v>
      </c>
      <c r="E1862">
        <v>19</v>
      </c>
      <c r="F1862">
        <v>32</v>
      </c>
      <c r="G1862">
        <v>1</v>
      </c>
      <c r="H1862">
        <v>35</v>
      </c>
      <c r="I1862">
        <f>Cocina[[#This Row],[Precio Unitario]]*Cocina[[#This Row],[Cantidad Ordenada]]</f>
        <v>32</v>
      </c>
      <c r="J1862">
        <f>(Cocina[[#This Row],[Precio Unitario]]-Cocina[[#This Row],[Costo Unitario]])*Cocina[[#This Row],[Cantidad Ordenada]]</f>
        <v>13</v>
      </c>
      <c r="K1862" s="4">
        <f>Cocina[[#This Row],[Ganancia neta]]/_xlfn.XLOOKUP(Cocina[[#This Row],[Número de Orden]],Sala[Número de Orden],Sala[Monto total],"fracaso",0,1)</f>
        <v>7.9754601226993863E-2</v>
      </c>
      <c r="L1862" t="s">
        <v>608</v>
      </c>
    </row>
    <row r="1863" spans="1:12" x14ac:dyDescent="0.25">
      <c r="A1863">
        <v>753</v>
      </c>
      <c r="B1863">
        <v>11</v>
      </c>
      <c r="C1863" t="s">
        <v>200</v>
      </c>
      <c r="D1863" t="s">
        <v>633</v>
      </c>
      <c r="E1863">
        <v>14</v>
      </c>
      <c r="F1863">
        <v>23</v>
      </c>
      <c r="G1863">
        <v>1</v>
      </c>
      <c r="H1863">
        <v>23</v>
      </c>
      <c r="I1863">
        <f>Cocina[[#This Row],[Precio Unitario]]*Cocina[[#This Row],[Cantidad Ordenada]]</f>
        <v>23</v>
      </c>
      <c r="J1863">
        <f>(Cocina[[#This Row],[Precio Unitario]]-Cocina[[#This Row],[Costo Unitario]])*Cocina[[#This Row],[Cantidad Ordenada]]</f>
        <v>9</v>
      </c>
      <c r="K1863" s="4">
        <f>Cocina[[#This Row],[Ganancia neta]]/_xlfn.XLOOKUP(Cocina[[#This Row],[Número de Orden]],Sala[Número de Orden],Sala[Monto total],"fracaso",0,1)</f>
        <v>5.5214723926380369E-2</v>
      </c>
      <c r="L1863" t="s">
        <v>608</v>
      </c>
    </row>
    <row r="1864" spans="1:12" x14ac:dyDescent="0.25">
      <c r="A1864">
        <v>753</v>
      </c>
      <c r="B1864">
        <v>11</v>
      </c>
      <c r="C1864" t="s">
        <v>158</v>
      </c>
      <c r="D1864" t="s">
        <v>617</v>
      </c>
      <c r="E1864">
        <v>14</v>
      </c>
      <c r="F1864">
        <v>24</v>
      </c>
      <c r="G1864">
        <v>3</v>
      </c>
      <c r="H1864">
        <v>24</v>
      </c>
      <c r="I1864">
        <f>Cocina[[#This Row],[Precio Unitario]]*Cocina[[#This Row],[Cantidad Ordenada]]</f>
        <v>72</v>
      </c>
      <c r="J1864">
        <f>(Cocina[[#This Row],[Precio Unitario]]-Cocina[[#This Row],[Costo Unitario]])*Cocina[[#This Row],[Cantidad Ordenada]]</f>
        <v>30</v>
      </c>
      <c r="K1864" s="4">
        <f>Cocina[[#This Row],[Ganancia neta]]/_xlfn.XLOOKUP(Cocina[[#This Row],[Número de Orden]],Sala[Número de Orden],Sala[Monto total],"fracaso",0,1)</f>
        <v>0.18404907975460122</v>
      </c>
      <c r="L1864" t="s">
        <v>607</v>
      </c>
    </row>
    <row r="1865" spans="1:12" x14ac:dyDescent="0.25">
      <c r="A1865">
        <v>753</v>
      </c>
      <c r="B1865">
        <v>11</v>
      </c>
      <c r="C1865" t="s">
        <v>73</v>
      </c>
      <c r="D1865" t="s">
        <v>623</v>
      </c>
      <c r="E1865">
        <v>22</v>
      </c>
      <c r="F1865">
        <v>36</v>
      </c>
      <c r="G1865">
        <v>1</v>
      </c>
      <c r="H1865">
        <v>46</v>
      </c>
      <c r="I1865">
        <f>Cocina[[#This Row],[Precio Unitario]]*Cocina[[#This Row],[Cantidad Ordenada]]</f>
        <v>36</v>
      </c>
      <c r="J1865">
        <f>(Cocina[[#This Row],[Precio Unitario]]-Cocina[[#This Row],[Costo Unitario]])*Cocina[[#This Row],[Cantidad Ordenada]]</f>
        <v>14</v>
      </c>
      <c r="K1865" s="4">
        <f>Cocina[[#This Row],[Ganancia neta]]/_xlfn.XLOOKUP(Cocina[[#This Row],[Número de Orden]],Sala[Número de Orden],Sala[Monto total],"fracaso",0,1)</f>
        <v>8.5889570552147243E-2</v>
      </c>
      <c r="L1865" t="s">
        <v>607</v>
      </c>
    </row>
    <row r="1866" spans="1:12" x14ac:dyDescent="0.25">
      <c r="A1866">
        <v>754</v>
      </c>
      <c r="B1866">
        <v>8</v>
      </c>
      <c r="C1866" t="s">
        <v>158</v>
      </c>
      <c r="D1866" t="s">
        <v>617</v>
      </c>
      <c r="E1866">
        <v>14</v>
      </c>
      <c r="F1866">
        <v>24</v>
      </c>
      <c r="G1866">
        <v>3</v>
      </c>
      <c r="H1866">
        <v>26</v>
      </c>
      <c r="I1866">
        <f>Cocina[[#This Row],[Precio Unitario]]*Cocina[[#This Row],[Cantidad Ordenada]]</f>
        <v>72</v>
      </c>
      <c r="J1866">
        <f>(Cocina[[#This Row],[Precio Unitario]]-Cocina[[#This Row],[Costo Unitario]])*Cocina[[#This Row],[Cantidad Ordenada]]</f>
        <v>30</v>
      </c>
      <c r="K1866" s="4">
        <f>Cocina[[#This Row],[Ganancia neta]]/_xlfn.XLOOKUP(Cocina[[#This Row],[Número de Orden]],Sala[Número de Orden],Sala[Monto total],"fracaso",0,1)</f>
        <v>0.12658227848101267</v>
      </c>
      <c r="L1866" t="s">
        <v>607</v>
      </c>
    </row>
    <row r="1867" spans="1:12" x14ac:dyDescent="0.25">
      <c r="A1867">
        <v>754</v>
      </c>
      <c r="B1867">
        <v>8</v>
      </c>
      <c r="C1867" t="s">
        <v>106</v>
      </c>
      <c r="D1867" t="s">
        <v>621</v>
      </c>
      <c r="E1867">
        <v>16</v>
      </c>
      <c r="F1867">
        <v>27</v>
      </c>
      <c r="G1867">
        <v>3</v>
      </c>
      <c r="H1867">
        <v>11</v>
      </c>
      <c r="I1867">
        <f>Cocina[[#This Row],[Precio Unitario]]*Cocina[[#This Row],[Cantidad Ordenada]]</f>
        <v>81</v>
      </c>
      <c r="J1867">
        <f>(Cocina[[#This Row],[Precio Unitario]]-Cocina[[#This Row],[Costo Unitario]])*Cocina[[#This Row],[Cantidad Ordenada]]</f>
        <v>33</v>
      </c>
      <c r="K1867" s="4">
        <f>Cocina[[#This Row],[Ganancia neta]]/_xlfn.XLOOKUP(Cocina[[#This Row],[Número de Orden]],Sala[Número de Orden],Sala[Monto total],"fracaso",0,1)</f>
        <v>0.13924050632911392</v>
      </c>
      <c r="L1867" t="s">
        <v>608</v>
      </c>
    </row>
    <row r="1868" spans="1:12" x14ac:dyDescent="0.25">
      <c r="A1868">
        <v>754</v>
      </c>
      <c r="B1868">
        <v>8</v>
      </c>
      <c r="C1868" t="s">
        <v>42</v>
      </c>
      <c r="D1868" t="s">
        <v>626</v>
      </c>
      <c r="E1868">
        <v>16</v>
      </c>
      <c r="F1868">
        <v>28</v>
      </c>
      <c r="G1868">
        <v>3</v>
      </c>
      <c r="H1868">
        <v>52</v>
      </c>
      <c r="I1868">
        <f>Cocina[[#This Row],[Precio Unitario]]*Cocina[[#This Row],[Cantidad Ordenada]]</f>
        <v>84</v>
      </c>
      <c r="J1868">
        <f>(Cocina[[#This Row],[Precio Unitario]]-Cocina[[#This Row],[Costo Unitario]])*Cocina[[#This Row],[Cantidad Ordenada]]</f>
        <v>36</v>
      </c>
      <c r="K1868" s="4">
        <f>Cocina[[#This Row],[Ganancia neta]]/_xlfn.XLOOKUP(Cocina[[#This Row],[Número de Orden]],Sala[Número de Orden],Sala[Monto total],"fracaso",0,1)</f>
        <v>0.15189873417721519</v>
      </c>
      <c r="L1868" t="s">
        <v>607</v>
      </c>
    </row>
    <row r="1869" spans="1:12" x14ac:dyDescent="0.25">
      <c r="A1869">
        <v>755</v>
      </c>
      <c r="B1869">
        <v>12</v>
      </c>
      <c r="C1869" t="s">
        <v>70</v>
      </c>
      <c r="D1869" t="s">
        <v>634</v>
      </c>
      <c r="E1869">
        <v>13</v>
      </c>
      <c r="F1869">
        <v>21</v>
      </c>
      <c r="G1869">
        <v>1</v>
      </c>
      <c r="H1869">
        <v>6</v>
      </c>
      <c r="I1869">
        <f>Cocina[[#This Row],[Precio Unitario]]*Cocina[[#This Row],[Cantidad Ordenada]]</f>
        <v>21</v>
      </c>
      <c r="J1869">
        <f>(Cocina[[#This Row],[Precio Unitario]]-Cocina[[#This Row],[Costo Unitario]])*Cocina[[#This Row],[Cantidad Ordenada]]</f>
        <v>8</v>
      </c>
      <c r="K1869" s="4">
        <f>Cocina[[#This Row],[Ganancia neta]]/_xlfn.XLOOKUP(Cocina[[#This Row],[Número de Orden]],Sala[Número de Orden],Sala[Monto total],"fracaso",0,1)</f>
        <v>3.7914691943127965E-2</v>
      </c>
      <c r="L1869" t="s">
        <v>607</v>
      </c>
    </row>
    <row r="1870" spans="1:12" x14ac:dyDescent="0.25">
      <c r="A1870">
        <v>755</v>
      </c>
      <c r="B1870">
        <v>12</v>
      </c>
      <c r="C1870" t="s">
        <v>122</v>
      </c>
      <c r="D1870" t="s">
        <v>637</v>
      </c>
      <c r="E1870">
        <v>15</v>
      </c>
      <c r="F1870">
        <v>25</v>
      </c>
      <c r="G1870">
        <v>3</v>
      </c>
      <c r="H1870">
        <v>37</v>
      </c>
      <c r="I1870">
        <f>Cocina[[#This Row],[Precio Unitario]]*Cocina[[#This Row],[Cantidad Ordenada]]</f>
        <v>75</v>
      </c>
      <c r="J1870">
        <f>(Cocina[[#This Row],[Precio Unitario]]-Cocina[[#This Row],[Costo Unitario]])*Cocina[[#This Row],[Cantidad Ordenada]]</f>
        <v>30</v>
      </c>
      <c r="K1870" s="4">
        <f>Cocina[[#This Row],[Ganancia neta]]/_xlfn.XLOOKUP(Cocina[[#This Row],[Número de Orden]],Sala[Número de Orden],Sala[Monto total],"fracaso",0,1)</f>
        <v>0.14218009478672985</v>
      </c>
      <c r="L1870" t="s">
        <v>607</v>
      </c>
    </row>
    <row r="1871" spans="1:12" x14ac:dyDescent="0.25">
      <c r="A1871">
        <v>755</v>
      </c>
      <c r="B1871">
        <v>12</v>
      </c>
      <c r="C1871" t="s">
        <v>112</v>
      </c>
      <c r="D1871" t="s">
        <v>627</v>
      </c>
      <c r="E1871">
        <v>11</v>
      </c>
      <c r="F1871">
        <v>19</v>
      </c>
      <c r="G1871">
        <v>3</v>
      </c>
      <c r="H1871">
        <v>46</v>
      </c>
      <c r="I1871">
        <f>Cocina[[#This Row],[Precio Unitario]]*Cocina[[#This Row],[Cantidad Ordenada]]</f>
        <v>57</v>
      </c>
      <c r="J1871">
        <f>(Cocina[[#This Row],[Precio Unitario]]-Cocina[[#This Row],[Costo Unitario]])*Cocina[[#This Row],[Cantidad Ordenada]]</f>
        <v>24</v>
      </c>
      <c r="K1871" s="4">
        <f>Cocina[[#This Row],[Ganancia neta]]/_xlfn.XLOOKUP(Cocina[[#This Row],[Número de Orden]],Sala[Número de Orden],Sala[Monto total],"fracaso",0,1)</f>
        <v>0.11374407582938388</v>
      </c>
      <c r="L1871" t="s">
        <v>607</v>
      </c>
    </row>
    <row r="1872" spans="1:12" x14ac:dyDescent="0.25">
      <c r="A1872">
        <v>755</v>
      </c>
      <c r="B1872">
        <v>12</v>
      </c>
      <c r="C1872" t="s">
        <v>38</v>
      </c>
      <c r="D1872" t="s">
        <v>624</v>
      </c>
      <c r="E1872">
        <v>17</v>
      </c>
      <c r="F1872">
        <v>29</v>
      </c>
      <c r="G1872">
        <v>2</v>
      </c>
      <c r="H1872">
        <v>20</v>
      </c>
      <c r="I1872">
        <f>Cocina[[#This Row],[Precio Unitario]]*Cocina[[#This Row],[Cantidad Ordenada]]</f>
        <v>58</v>
      </c>
      <c r="J1872">
        <f>(Cocina[[#This Row],[Precio Unitario]]-Cocina[[#This Row],[Costo Unitario]])*Cocina[[#This Row],[Cantidad Ordenada]]</f>
        <v>24</v>
      </c>
      <c r="K1872" s="4">
        <f>Cocina[[#This Row],[Ganancia neta]]/_xlfn.XLOOKUP(Cocina[[#This Row],[Número de Orden]],Sala[Número de Orden],Sala[Monto total],"fracaso",0,1)</f>
        <v>0.11374407582938388</v>
      </c>
      <c r="L1872" t="s">
        <v>608</v>
      </c>
    </row>
    <row r="1873" spans="1:12" x14ac:dyDescent="0.25">
      <c r="A1873">
        <v>756</v>
      </c>
      <c r="B1873">
        <v>11</v>
      </c>
      <c r="C1873" t="s">
        <v>116</v>
      </c>
      <c r="D1873" t="s">
        <v>620</v>
      </c>
      <c r="E1873">
        <v>19</v>
      </c>
      <c r="F1873">
        <v>31</v>
      </c>
      <c r="G1873">
        <v>1</v>
      </c>
      <c r="H1873">
        <v>21</v>
      </c>
      <c r="I1873">
        <f>Cocina[[#This Row],[Precio Unitario]]*Cocina[[#This Row],[Cantidad Ordenada]]</f>
        <v>31</v>
      </c>
      <c r="J1873">
        <f>(Cocina[[#This Row],[Precio Unitario]]-Cocina[[#This Row],[Costo Unitario]])*Cocina[[#This Row],[Cantidad Ordenada]]</f>
        <v>12</v>
      </c>
      <c r="K1873" s="4">
        <f>Cocina[[#This Row],[Ganancia neta]]/_xlfn.XLOOKUP(Cocina[[#This Row],[Número de Orden]],Sala[Número de Orden],Sala[Monto total],"fracaso",0,1)</f>
        <v>0.24</v>
      </c>
      <c r="L1873" t="s">
        <v>607</v>
      </c>
    </row>
    <row r="1874" spans="1:12" x14ac:dyDescent="0.25">
      <c r="A1874">
        <v>756</v>
      </c>
      <c r="B1874">
        <v>11</v>
      </c>
      <c r="C1874" t="s">
        <v>112</v>
      </c>
      <c r="D1874" t="s">
        <v>627</v>
      </c>
      <c r="E1874">
        <v>11</v>
      </c>
      <c r="F1874">
        <v>19</v>
      </c>
      <c r="G1874">
        <v>1</v>
      </c>
      <c r="H1874">
        <v>13</v>
      </c>
      <c r="I1874">
        <f>Cocina[[#This Row],[Precio Unitario]]*Cocina[[#This Row],[Cantidad Ordenada]]</f>
        <v>19</v>
      </c>
      <c r="J1874">
        <f>(Cocina[[#This Row],[Precio Unitario]]-Cocina[[#This Row],[Costo Unitario]])*Cocina[[#This Row],[Cantidad Ordenada]]</f>
        <v>8</v>
      </c>
      <c r="K1874" s="4">
        <f>Cocina[[#This Row],[Ganancia neta]]/_xlfn.XLOOKUP(Cocina[[#This Row],[Número de Orden]],Sala[Número de Orden],Sala[Monto total],"fracaso",0,1)</f>
        <v>0.16</v>
      </c>
      <c r="L1874" t="s">
        <v>607</v>
      </c>
    </row>
    <row r="1875" spans="1:12" x14ac:dyDescent="0.25">
      <c r="A1875">
        <v>757</v>
      </c>
      <c r="B1875">
        <v>3</v>
      </c>
      <c r="C1875" t="s">
        <v>68</v>
      </c>
      <c r="D1875" t="s">
        <v>619</v>
      </c>
      <c r="E1875">
        <v>18</v>
      </c>
      <c r="F1875">
        <v>30</v>
      </c>
      <c r="G1875">
        <v>2</v>
      </c>
      <c r="H1875">
        <v>40</v>
      </c>
      <c r="I1875">
        <f>Cocina[[#This Row],[Precio Unitario]]*Cocina[[#This Row],[Cantidad Ordenada]]</f>
        <v>60</v>
      </c>
      <c r="J1875">
        <f>(Cocina[[#This Row],[Precio Unitario]]-Cocina[[#This Row],[Costo Unitario]])*Cocina[[#This Row],[Cantidad Ordenada]]</f>
        <v>24</v>
      </c>
      <c r="K1875" s="4">
        <f>Cocina[[#This Row],[Ganancia neta]]/_xlfn.XLOOKUP(Cocina[[#This Row],[Número de Orden]],Sala[Número de Orden],Sala[Monto total],"fracaso",0,1)</f>
        <v>0.4</v>
      </c>
      <c r="L1875" t="s">
        <v>607</v>
      </c>
    </row>
    <row r="1876" spans="1:12" x14ac:dyDescent="0.25">
      <c r="A1876">
        <v>758</v>
      </c>
      <c r="B1876">
        <v>18</v>
      </c>
      <c r="C1876" t="s">
        <v>68</v>
      </c>
      <c r="D1876" t="s">
        <v>619</v>
      </c>
      <c r="E1876">
        <v>18</v>
      </c>
      <c r="F1876">
        <v>30</v>
      </c>
      <c r="G1876">
        <v>1</v>
      </c>
      <c r="H1876">
        <v>32</v>
      </c>
      <c r="I1876">
        <f>Cocina[[#This Row],[Precio Unitario]]*Cocina[[#This Row],[Cantidad Ordenada]]</f>
        <v>30</v>
      </c>
      <c r="J1876">
        <f>(Cocina[[#This Row],[Precio Unitario]]-Cocina[[#This Row],[Costo Unitario]])*Cocina[[#This Row],[Cantidad Ordenada]]</f>
        <v>12</v>
      </c>
      <c r="K1876" s="4">
        <f>Cocina[[#This Row],[Ganancia neta]]/_xlfn.XLOOKUP(Cocina[[#This Row],[Número de Orden]],Sala[Número de Orden],Sala[Monto total],"fracaso",0,1)</f>
        <v>0.23076923076923078</v>
      </c>
      <c r="L1876" t="s">
        <v>607</v>
      </c>
    </row>
    <row r="1877" spans="1:12" x14ac:dyDescent="0.25">
      <c r="A1877">
        <v>758</v>
      </c>
      <c r="B1877">
        <v>18</v>
      </c>
      <c r="C1877" t="s">
        <v>203</v>
      </c>
      <c r="D1877" t="s">
        <v>630</v>
      </c>
      <c r="E1877">
        <v>13</v>
      </c>
      <c r="F1877">
        <v>22</v>
      </c>
      <c r="G1877">
        <v>1</v>
      </c>
      <c r="H1877">
        <v>9</v>
      </c>
      <c r="I1877">
        <f>Cocina[[#This Row],[Precio Unitario]]*Cocina[[#This Row],[Cantidad Ordenada]]</f>
        <v>22</v>
      </c>
      <c r="J1877">
        <f>(Cocina[[#This Row],[Precio Unitario]]-Cocina[[#This Row],[Costo Unitario]])*Cocina[[#This Row],[Cantidad Ordenada]]</f>
        <v>9</v>
      </c>
      <c r="K1877" s="4">
        <f>Cocina[[#This Row],[Ganancia neta]]/_xlfn.XLOOKUP(Cocina[[#This Row],[Número de Orden]],Sala[Número de Orden],Sala[Monto total],"fracaso",0,1)</f>
        <v>0.17307692307692307</v>
      </c>
      <c r="L1877" t="s">
        <v>608</v>
      </c>
    </row>
    <row r="1878" spans="1:12" x14ac:dyDescent="0.25">
      <c r="A1878">
        <v>759</v>
      </c>
      <c r="B1878">
        <v>20</v>
      </c>
      <c r="C1878" t="s">
        <v>261</v>
      </c>
      <c r="D1878" t="s">
        <v>625</v>
      </c>
      <c r="E1878">
        <v>20</v>
      </c>
      <c r="F1878">
        <v>33</v>
      </c>
      <c r="G1878">
        <v>3</v>
      </c>
      <c r="H1878">
        <v>48</v>
      </c>
      <c r="I1878">
        <f>Cocina[[#This Row],[Precio Unitario]]*Cocina[[#This Row],[Cantidad Ordenada]]</f>
        <v>99</v>
      </c>
      <c r="J1878">
        <f>(Cocina[[#This Row],[Precio Unitario]]-Cocina[[#This Row],[Costo Unitario]])*Cocina[[#This Row],[Cantidad Ordenada]]</f>
        <v>39</v>
      </c>
      <c r="K1878" s="4">
        <f>Cocina[[#This Row],[Ganancia neta]]/_xlfn.XLOOKUP(Cocina[[#This Row],[Número de Orden]],Sala[Número de Orden],Sala[Monto total],"fracaso",0,1)</f>
        <v>0.11403508771929824</v>
      </c>
      <c r="L1878" t="s">
        <v>607</v>
      </c>
    </row>
    <row r="1879" spans="1:12" x14ac:dyDescent="0.25">
      <c r="A1879">
        <v>759</v>
      </c>
      <c r="B1879">
        <v>20</v>
      </c>
      <c r="C1879" t="s">
        <v>106</v>
      </c>
      <c r="D1879" t="s">
        <v>621</v>
      </c>
      <c r="E1879">
        <v>16</v>
      </c>
      <c r="F1879">
        <v>27</v>
      </c>
      <c r="G1879">
        <v>3</v>
      </c>
      <c r="H1879">
        <v>51</v>
      </c>
      <c r="I1879">
        <f>Cocina[[#This Row],[Precio Unitario]]*Cocina[[#This Row],[Cantidad Ordenada]]</f>
        <v>81</v>
      </c>
      <c r="J1879">
        <f>(Cocina[[#This Row],[Precio Unitario]]-Cocina[[#This Row],[Costo Unitario]])*Cocina[[#This Row],[Cantidad Ordenada]]</f>
        <v>33</v>
      </c>
      <c r="K1879" s="4">
        <f>Cocina[[#This Row],[Ganancia neta]]/_xlfn.XLOOKUP(Cocina[[#This Row],[Número de Orden]],Sala[Número de Orden],Sala[Monto total],"fracaso",0,1)</f>
        <v>9.6491228070175433E-2</v>
      </c>
      <c r="L1879" t="s">
        <v>607</v>
      </c>
    </row>
    <row r="1880" spans="1:12" x14ac:dyDescent="0.25">
      <c r="A1880">
        <v>759</v>
      </c>
      <c r="B1880">
        <v>20</v>
      </c>
      <c r="C1880" t="s">
        <v>122</v>
      </c>
      <c r="D1880" t="s">
        <v>637</v>
      </c>
      <c r="E1880">
        <v>15</v>
      </c>
      <c r="F1880">
        <v>25</v>
      </c>
      <c r="G1880">
        <v>3</v>
      </c>
      <c r="H1880">
        <v>41</v>
      </c>
      <c r="I1880">
        <f>Cocina[[#This Row],[Precio Unitario]]*Cocina[[#This Row],[Cantidad Ordenada]]</f>
        <v>75</v>
      </c>
      <c r="J1880">
        <f>(Cocina[[#This Row],[Precio Unitario]]-Cocina[[#This Row],[Costo Unitario]])*Cocina[[#This Row],[Cantidad Ordenada]]</f>
        <v>30</v>
      </c>
      <c r="K1880" s="4">
        <f>Cocina[[#This Row],[Ganancia neta]]/_xlfn.XLOOKUP(Cocina[[#This Row],[Número de Orden]],Sala[Número de Orden],Sala[Monto total],"fracaso",0,1)</f>
        <v>8.771929824561403E-2</v>
      </c>
      <c r="L1880" t="s">
        <v>607</v>
      </c>
    </row>
    <row r="1881" spans="1:12" x14ac:dyDescent="0.25">
      <c r="A1881">
        <v>759</v>
      </c>
      <c r="B1881">
        <v>20</v>
      </c>
      <c r="C1881" t="s">
        <v>38</v>
      </c>
      <c r="D1881" t="s">
        <v>624</v>
      </c>
      <c r="E1881">
        <v>17</v>
      </c>
      <c r="F1881">
        <v>29</v>
      </c>
      <c r="G1881">
        <v>3</v>
      </c>
      <c r="H1881">
        <v>56</v>
      </c>
      <c r="I1881">
        <f>Cocina[[#This Row],[Precio Unitario]]*Cocina[[#This Row],[Cantidad Ordenada]]</f>
        <v>87</v>
      </c>
      <c r="J1881">
        <f>(Cocina[[#This Row],[Precio Unitario]]-Cocina[[#This Row],[Costo Unitario]])*Cocina[[#This Row],[Cantidad Ordenada]]</f>
        <v>36</v>
      </c>
      <c r="K1881" s="4">
        <f>Cocina[[#This Row],[Ganancia neta]]/_xlfn.XLOOKUP(Cocina[[#This Row],[Número de Orden]],Sala[Número de Orden],Sala[Monto total],"fracaso",0,1)</f>
        <v>0.10526315789473684</v>
      </c>
      <c r="L1881" t="s">
        <v>608</v>
      </c>
    </row>
    <row r="1882" spans="1:12" x14ac:dyDescent="0.25">
      <c r="A1882">
        <v>760</v>
      </c>
      <c r="B1882">
        <v>5</v>
      </c>
      <c r="C1882" t="s">
        <v>26</v>
      </c>
      <c r="D1882" t="s">
        <v>628</v>
      </c>
      <c r="E1882">
        <v>21</v>
      </c>
      <c r="F1882">
        <v>35</v>
      </c>
      <c r="G1882">
        <v>3</v>
      </c>
      <c r="H1882">
        <v>20</v>
      </c>
      <c r="I1882">
        <f>Cocina[[#This Row],[Precio Unitario]]*Cocina[[#This Row],[Cantidad Ordenada]]</f>
        <v>105</v>
      </c>
      <c r="J1882">
        <f>(Cocina[[#This Row],[Precio Unitario]]-Cocina[[#This Row],[Costo Unitario]])*Cocina[[#This Row],[Cantidad Ordenada]]</f>
        <v>42</v>
      </c>
      <c r="K1882" s="4">
        <f>Cocina[[#This Row],[Ganancia neta]]/_xlfn.XLOOKUP(Cocina[[#This Row],[Número de Orden]],Sala[Número de Orden],Sala[Monto total],"fracaso",0,1)</f>
        <v>0.4</v>
      </c>
      <c r="L1882" t="s">
        <v>607</v>
      </c>
    </row>
    <row r="1883" spans="1:12" x14ac:dyDescent="0.25">
      <c r="A1883">
        <v>761</v>
      </c>
      <c r="B1883">
        <v>4</v>
      </c>
      <c r="C1883" t="s">
        <v>158</v>
      </c>
      <c r="D1883" t="s">
        <v>617</v>
      </c>
      <c r="E1883">
        <v>14</v>
      </c>
      <c r="F1883">
        <v>24</v>
      </c>
      <c r="G1883">
        <v>3</v>
      </c>
      <c r="H1883">
        <v>54</v>
      </c>
      <c r="I1883">
        <f>Cocina[[#This Row],[Precio Unitario]]*Cocina[[#This Row],[Cantidad Ordenada]]</f>
        <v>72</v>
      </c>
      <c r="J1883">
        <f>(Cocina[[#This Row],[Precio Unitario]]-Cocina[[#This Row],[Costo Unitario]])*Cocina[[#This Row],[Cantidad Ordenada]]</f>
        <v>30</v>
      </c>
      <c r="K1883" s="4">
        <f>Cocina[[#This Row],[Ganancia neta]]/_xlfn.XLOOKUP(Cocina[[#This Row],[Número de Orden]],Sala[Número de Orden],Sala[Monto total],"fracaso",0,1)</f>
        <v>0.17241379310344829</v>
      </c>
      <c r="L1883" t="s">
        <v>608</v>
      </c>
    </row>
    <row r="1884" spans="1:12" x14ac:dyDescent="0.25">
      <c r="A1884">
        <v>761</v>
      </c>
      <c r="B1884">
        <v>4</v>
      </c>
      <c r="C1884" t="s">
        <v>42</v>
      </c>
      <c r="D1884" t="s">
        <v>626</v>
      </c>
      <c r="E1884">
        <v>16</v>
      </c>
      <c r="F1884">
        <v>28</v>
      </c>
      <c r="G1884">
        <v>2</v>
      </c>
      <c r="H1884">
        <v>20</v>
      </c>
      <c r="I1884">
        <f>Cocina[[#This Row],[Precio Unitario]]*Cocina[[#This Row],[Cantidad Ordenada]]</f>
        <v>56</v>
      </c>
      <c r="J1884">
        <f>(Cocina[[#This Row],[Precio Unitario]]-Cocina[[#This Row],[Costo Unitario]])*Cocina[[#This Row],[Cantidad Ordenada]]</f>
        <v>24</v>
      </c>
      <c r="K1884" s="4">
        <f>Cocina[[#This Row],[Ganancia neta]]/_xlfn.XLOOKUP(Cocina[[#This Row],[Número de Orden]],Sala[Número de Orden],Sala[Monto total],"fracaso",0,1)</f>
        <v>0.13793103448275862</v>
      </c>
      <c r="L1884" t="s">
        <v>607</v>
      </c>
    </row>
    <row r="1885" spans="1:12" x14ac:dyDescent="0.25">
      <c r="A1885">
        <v>761</v>
      </c>
      <c r="B1885">
        <v>4</v>
      </c>
      <c r="C1885" t="s">
        <v>200</v>
      </c>
      <c r="D1885" t="s">
        <v>633</v>
      </c>
      <c r="E1885">
        <v>14</v>
      </c>
      <c r="F1885">
        <v>23</v>
      </c>
      <c r="G1885">
        <v>2</v>
      </c>
      <c r="H1885">
        <v>28</v>
      </c>
      <c r="I1885">
        <f>Cocina[[#This Row],[Precio Unitario]]*Cocina[[#This Row],[Cantidad Ordenada]]</f>
        <v>46</v>
      </c>
      <c r="J1885">
        <f>(Cocina[[#This Row],[Precio Unitario]]-Cocina[[#This Row],[Costo Unitario]])*Cocina[[#This Row],[Cantidad Ordenada]]</f>
        <v>18</v>
      </c>
      <c r="K1885" s="4">
        <f>Cocina[[#This Row],[Ganancia neta]]/_xlfn.XLOOKUP(Cocina[[#This Row],[Número de Orden]],Sala[Número de Orden],Sala[Monto total],"fracaso",0,1)</f>
        <v>0.10344827586206896</v>
      </c>
      <c r="L1885" t="s">
        <v>607</v>
      </c>
    </row>
    <row r="1886" spans="1:12" x14ac:dyDescent="0.25">
      <c r="A1886">
        <v>762</v>
      </c>
      <c r="B1886">
        <v>4</v>
      </c>
      <c r="C1886" t="s">
        <v>70</v>
      </c>
      <c r="D1886" t="s">
        <v>634</v>
      </c>
      <c r="E1886">
        <v>13</v>
      </c>
      <c r="F1886">
        <v>21</v>
      </c>
      <c r="G1886">
        <v>1</v>
      </c>
      <c r="H1886">
        <v>20</v>
      </c>
      <c r="I1886">
        <f>Cocina[[#This Row],[Precio Unitario]]*Cocina[[#This Row],[Cantidad Ordenada]]</f>
        <v>21</v>
      </c>
      <c r="J1886">
        <f>(Cocina[[#This Row],[Precio Unitario]]-Cocina[[#This Row],[Costo Unitario]])*Cocina[[#This Row],[Cantidad Ordenada]]</f>
        <v>8</v>
      </c>
      <c r="K1886" s="4">
        <f>Cocina[[#This Row],[Ganancia neta]]/_xlfn.XLOOKUP(Cocina[[#This Row],[Número de Orden]],Sala[Número de Orden],Sala[Monto total],"fracaso",0,1)</f>
        <v>8.0808080808080815E-2</v>
      </c>
      <c r="L1886" t="s">
        <v>608</v>
      </c>
    </row>
    <row r="1887" spans="1:12" x14ac:dyDescent="0.25">
      <c r="A1887">
        <v>762</v>
      </c>
      <c r="B1887">
        <v>4</v>
      </c>
      <c r="C1887" t="s">
        <v>155</v>
      </c>
      <c r="D1887" t="s">
        <v>636</v>
      </c>
      <c r="E1887">
        <v>15</v>
      </c>
      <c r="F1887">
        <v>26</v>
      </c>
      <c r="G1887">
        <v>3</v>
      </c>
      <c r="H1887">
        <v>9</v>
      </c>
      <c r="I1887">
        <f>Cocina[[#This Row],[Precio Unitario]]*Cocina[[#This Row],[Cantidad Ordenada]]</f>
        <v>78</v>
      </c>
      <c r="J1887">
        <f>(Cocina[[#This Row],[Precio Unitario]]-Cocina[[#This Row],[Costo Unitario]])*Cocina[[#This Row],[Cantidad Ordenada]]</f>
        <v>33</v>
      </c>
      <c r="K1887" s="4">
        <f>Cocina[[#This Row],[Ganancia neta]]/_xlfn.XLOOKUP(Cocina[[#This Row],[Número de Orden]],Sala[Número de Orden],Sala[Monto total],"fracaso",0,1)</f>
        <v>0.33333333333333331</v>
      </c>
      <c r="L1887" t="s">
        <v>607</v>
      </c>
    </row>
    <row r="1888" spans="1:12" x14ac:dyDescent="0.25">
      <c r="A1888">
        <v>763</v>
      </c>
      <c r="B1888">
        <v>18</v>
      </c>
      <c r="C1888" t="s">
        <v>261</v>
      </c>
      <c r="D1888" t="s">
        <v>625</v>
      </c>
      <c r="E1888">
        <v>20</v>
      </c>
      <c r="F1888">
        <v>33</v>
      </c>
      <c r="G1888">
        <v>2</v>
      </c>
      <c r="H1888">
        <v>14</v>
      </c>
      <c r="I1888">
        <f>Cocina[[#This Row],[Precio Unitario]]*Cocina[[#This Row],[Cantidad Ordenada]]</f>
        <v>66</v>
      </c>
      <c r="J1888">
        <f>(Cocina[[#This Row],[Precio Unitario]]-Cocina[[#This Row],[Costo Unitario]])*Cocina[[#This Row],[Cantidad Ordenada]]</f>
        <v>26</v>
      </c>
      <c r="K1888" s="4">
        <f>Cocina[[#This Row],[Ganancia neta]]/_xlfn.XLOOKUP(Cocina[[#This Row],[Número de Orden]],Sala[Número de Orden],Sala[Monto total],"fracaso",0,1)</f>
        <v>0.25</v>
      </c>
      <c r="L1888" t="s">
        <v>608</v>
      </c>
    </row>
    <row r="1889" spans="1:12" x14ac:dyDescent="0.25">
      <c r="A1889">
        <v>763</v>
      </c>
      <c r="B1889">
        <v>18</v>
      </c>
      <c r="C1889" t="s">
        <v>112</v>
      </c>
      <c r="D1889" t="s">
        <v>627</v>
      </c>
      <c r="E1889">
        <v>11</v>
      </c>
      <c r="F1889">
        <v>19</v>
      </c>
      <c r="G1889">
        <v>2</v>
      </c>
      <c r="H1889">
        <v>18</v>
      </c>
      <c r="I1889">
        <f>Cocina[[#This Row],[Precio Unitario]]*Cocina[[#This Row],[Cantidad Ordenada]]</f>
        <v>38</v>
      </c>
      <c r="J1889">
        <f>(Cocina[[#This Row],[Precio Unitario]]-Cocina[[#This Row],[Costo Unitario]])*Cocina[[#This Row],[Cantidad Ordenada]]</f>
        <v>16</v>
      </c>
      <c r="K1889" s="4">
        <f>Cocina[[#This Row],[Ganancia neta]]/_xlfn.XLOOKUP(Cocina[[#This Row],[Número de Orden]],Sala[Número de Orden],Sala[Monto total],"fracaso",0,1)</f>
        <v>0.15384615384615385</v>
      </c>
      <c r="L1889" t="s">
        <v>608</v>
      </c>
    </row>
    <row r="1890" spans="1:12" x14ac:dyDescent="0.25">
      <c r="A1890">
        <v>764</v>
      </c>
      <c r="B1890">
        <v>20</v>
      </c>
      <c r="C1890" t="s">
        <v>106</v>
      </c>
      <c r="D1890" t="s">
        <v>621</v>
      </c>
      <c r="E1890">
        <v>16</v>
      </c>
      <c r="F1890">
        <v>27</v>
      </c>
      <c r="G1890">
        <v>1</v>
      </c>
      <c r="H1890">
        <v>53</v>
      </c>
      <c r="I1890">
        <f>Cocina[[#This Row],[Precio Unitario]]*Cocina[[#This Row],[Cantidad Ordenada]]</f>
        <v>27</v>
      </c>
      <c r="J1890">
        <f>(Cocina[[#This Row],[Precio Unitario]]-Cocina[[#This Row],[Costo Unitario]])*Cocina[[#This Row],[Cantidad Ordenada]]</f>
        <v>11</v>
      </c>
      <c r="K1890" s="4">
        <f>Cocina[[#This Row],[Ganancia neta]]/_xlfn.XLOOKUP(Cocina[[#This Row],[Número de Orden]],Sala[Número de Orden],Sala[Monto total],"fracaso",0,1)</f>
        <v>0.12941176470588237</v>
      </c>
      <c r="L1890" t="s">
        <v>607</v>
      </c>
    </row>
    <row r="1891" spans="1:12" x14ac:dyDescent="0.25">
      <c r="A1891">
        <v>764</v>
      </c>
      <c r="B1891">
        <v>20</v>
      </c>
      <c r="C1891" t="s">
        <v>55</v>
      </c>
      <c r="D1891" t="s">
        <v>631</v>
      </c>
      <c r="E1891">
        <v>20</v>
      </c>
      <c r="F1891">
        <v>34</v>
      </c>
      <c r="G1891">
        <v>1</v>
      </c>
      <c r="H1891">
        <v>24</v>
      </c>
      <c r="I1891">
        <f>Cocina[[#This Row],[Precio Unitario]]*Cocina[[#This Row],[Cantidad Ordenada]]</f>
        <v>34</v>
      </c>
      <c r="J1891">
        <f>(Cocina[[#This Row],[Precio Unitario]]-Cocina[[#This Row],[Costo Unitario]])*Cocina[[#This Row],[Cantidad Ordenada]]</f>
        <v>14</v>
      </c>
      <c r="K1891" s="4">
        <f>Cocina[[#This Row],[Ganancia neta]]/_xlfn.XLOOKUP(Cocina[[#This Row],[Número de Orden]],Sala[Número de Orden],Sala[Monto total],"fracaso",0,1)</f>
        <v>0.16470588235294117</v>
      </c>
      <c r="L1891" t="s">
        <v>607</v>
      </c>
    </row>
    <row r="1892" spans="1:12" x14ac:dyDescent="0.25">
      <c r="A1892">
        <v>764</v>
      </c>
      <c r="B1892">
        <v>20</v>
      </c>
      <c r="C1892" t="s">
        <v>158</v>
      </c>
      <c r="D1892" t="s">
        <v>617</v>
      </c>
      <c r="E1892">
        <v>14</v>
      </c>
      <c r="F1892">
        <v>24</v>
      </c>
      <c r="G1892">
        <v>1</v>
      </c>
      <c r="H1892">
        <v>35</v>
      </c>
      <c r="I1892">
        <f>Cocina[[#This Row],[Precio Unitario]]*Cocina[[#This Row],[Cantidad Ordenada]]</f>
        <v>24</v>
      </c>
      <c r="J1892">
        <f>(Cocina[[#This Row],[Precio Unitario]]-Cocina[[#This Row],[Costo Unitario]])*Cocina[[#This Row],[Cantidad Ordenada]]</f>
        <v>10</v>
      </c>
      <c r="K1892" s="4">
        <f>Cocina[[#This Row],[Ganancia neta]]/_xlfn.XLOOKUP(Cocina[[#This Row],[Número de Orden]],Sala[Número de Orden],Sala[Monto total],"fracaso",0,1)</f>
        <v>0.11764705882352941</v>
      </c>
      <c r="L1892" t="s">
        <v>607</v>
      </c>
    </row>
    <row r="1893" spans="1:12" x14ac:dyDescent="0.25">
      <c r="A1893">
        <v>765</v>
      </c>
      <c r="B1893">
        <v>20</v>
      </c>
      <c r="C1893" t="s">
        <v>155</v>
      </c>
      <c r="D1893" t="s">
        <v>636</v>
      </c>
      <c r="E1893">
        <v>15</v>
      </c>
      <c r="F1893">
        <v>26</v>
      </c>
      <c r="G1893">
        <v>3</v>
      </c>
      <c r="H1893">
        <v>55</v>
      </c>
      <c r="I1893">
        <f>Cocina[[#This Row],[Precio Unitario]]*Cocina[[#This Row],[Cantidad Ordenada]]</f>
        <v>78</v>
      </c>
      <c r="J1893">
        <f>(Cocina[[#This Row],[Precio Unitario]]-Cocina[[#This Row],[Costo Unitario]])*Cocina[[#This Row],[Cantidad Ordenada]]</f>
        <v>33</v>
      </c>
      <c r="K1893" s="4">
        <f>Cocina[[#This Row],[Ganancia neta]]/_xlfn.XLOOKUP(Cocina[[#This Row],[Número de Orden]],Sala[Número de Orden],Sala[Monto total],"fracaso",0,1)</f>
        <v>0.14163090128755365</v>
      </c>
      <c r="L1893" t="s">
        <v>608</v>
      </c>
    </row>
    <row r="1894" spans="1:12" x14ac:dyDescent="0.25">
      <c r="A1894">
        <v>765</v>
      </c>
      <c r="B1894">
        <v>20</v>
      </c>
      <c r="C1894" t="s">
        <v>42</v>
      </c>
      <c r="D1894" t="s">
        <v>626</v>
      </c>
      <c r="E1894">
        <v>16</v>
      </c>
      <c r="F1894">
        <v>28</v>
      </c>
      <c r="G1894">
        <v>2</v>
      </c>
      <c r="H1894">
        <v>14</v>
      </c>
      <c r="I1894">
        <f>Cocina[[#This Row],[Precio Unitario]]*Cocina[[#This Row],[Cantidad Ordenada]]</f>
        <v>56</v>
      </c>
      <c r="J1894">
        <f>(Cocina[[#This Row],[Precio Unitario]]-Cocina[[#This Row],[Costo Unitario]])*Cocina[[#This Row],[Cantidad Ordenada]]</f>
        <v>24</v>
      </c>
      <c r="K1894" s="4">
        <f>Cocina[[#This Row],[Ganancia neta]]/_xlfn.XLOOKUP(Cocina[[#This Row],[Número de Orden]],Sala[Número de Orden],Sala[Monto total],"fracaso",0,1)</f>
        <v>0.10300429184549356</v>
      </c>
      <c r="L1894" t="s">
        <v>607</v>
      </c>
    </row>
    <row r="1895" spans="1:12" x14ac:dyDescent="0.25">
      <c r="A1895">
        <v>765</v>
      </c>
      <c r="B1895">
        <v>20</v>
      </c>
      <c r="C1895" t="s">
        <v>70</v>
      </c>
      <c r="D1895" t="s">
        <v>634</v>
      </c>
      <c r="E1895">
        <v>13</v>
      </c>
      <c r="F1895">
        <v>21</v>
      </c>
      <c r="G1895">
        <v>3</v>
      </c>
      <c r="H1895">
        <v>52</v>
      </c>
      <c r="I1895">
        <f>Cocina[[#This Row],[Precio Unitario]]*Cocina[[#This Row],[Cantidad Ordenada]]</f>
        <v>63</v>
      </c>
      <c r="J1895">
        <f>(Cocina[[#This Row],[Precio Unitario]]-Cocina[[#This Row],[Costo Unitario]])*Cocina[[#This Row],[Cantidad Ordenada]]</f>
        <v>24</v>
      </c>
      <c r="K1895" s="4">
        <f>Cocina[[#This Row],[Ganancia neta]]/_xlfn.XLOOKUP(Cocina[[#This Row],[Número de Orden]],Sala[Número de Orden],Sala[Monto total],"fracaso",0,1)</f>
        <v>0.10300429184549356</v>
      </c>
      <c r="L1895" t="s">
        <v>607</v>
      </c>
    </row>
    <row r="1896" spans="1:12" x14ac:dyDescent="0.25">
      <c r="A1896">
        <v>765</v>
      </c>
      <c r="B1896">
        <v>20</v>
      </c>
      <c r="C1896" t="s">
        <v>73</v>
      </c>
      <c r="D1896" t="s">
        <v>623</v>
      </c>
      <c r="E1896">
        <v>22</v>
      </c>
      <c r="F1896">
        <v>36</v>
      </c>
      <c r="G1896">
        <v>1</v>
      </c>
      <c r="H1896">
        <v>43</v>
      </c>
      <c r="I1896">
        <f>Cocina[[#This Row],[Precio Unitario]]*Cocina[[#This Row],[Cantidad Ordenada]]</f>
        <v>36</v>
      </c>
      <c r="J1896">
        <f>(Cocina[[#This Row],[Precio Unitario]]-Cocina[[#This Row],[Costo Unitario]])*Cocina[[#This Row],[Cantidad Ordenada]]</f>
        <v>14</v>
      </c>
      <c r="K1896" s="4">
        <f>Cocina[[#This Row],[Ganancia neta]]/_xlfn.XLOOKUP(Cocina[[#This Row],[Número de Orden]],Sala[Número de Orden],Sala[Monto total],"fracaso",0,1)</f>
        <v>6.0085836909871244E-2</v>
      </c>
      <c r="L1896" t="s">
        <v>607</v>
      </c>
    </row>
    <row r="1897" spans="1:12" x14ac:dyDescent="0.25">
      <c r="A1897">
        <v>766</v>
      </c>
      <c r="B1897">
        <v>17</v>
      </c>
      <c r="C1897" t="s">
        <v>68</v>
      </c>
      <c r="D1897" t="s">
        <v>619</v>
      </c>
      <c r="E1897">
        <v>18</v>
      </c>
      <c r="F1897">
        <v>30</v>
      </c>
      <c r="G1897">
        <v>2</v>
      </c>
      <c r="H1897">
        <v>52</v>
      </c>
      <c r="I1897">
        <f>Cocina[[#This Row],[Precio Unitario]]*Cocina[[#This Row],[Cantidad Ordenada]]</f>
        <v>60</v>
      </c>
      <c r="J1897">
        <f>(Cocina[[#This Row],[Precio Unitario]]-Cocina[[#This Row],[Costo Unitario]])*Cocina[[#This Row],[Cantidad Ordenada]]</f>
        <v>24</v>
      </c>
      <c r="K1897" s="4">
        <f>Cocina[[#This Row],[Ganancia neta]]/_xlfn.XLOOKUP(Cocina[[#This Row],[Número de Orden]],Sala[Número de Orden],Sala[Monto total],"fracaso",0,1)</f>
        <v>0.12972972972972974</v>
      </c>
      <c r="L1897" t="s">
        <v>607</v>
      </c>
    </row>
    <row r="1898" spans="1:12" x14ac:dyDescent="0.25">
      <c r="A1898">
        <v>766</v>
      </c>
      <c r="B1898">
        <v>17</v>
      </c>
      <c r="C1898" t="s">
        <v>112</v>
      </c>
      <c r="D1898" t="s">
        <v>627</v>
      </c>
      <c r="E1898">
        <v>11</v>
      </c>
      <c r="F1898">
        <v>19</v>
      </c>
      <c r="G1898">
        <v>1</v>
      </c>
      <c r="H1898">
        <v>59</v>
      </c>
      <c r="I1898">
        <f>Cocina[[#This Row],[Precio Unitario]]*Cocina[[#This Row],[Cantidad Ordenada]]</f>
        <v>19</v>
      </c>
      <c r="J1898">
        <f>(Cocina[[#This Row],[Precio Unitario]]-Cocina[[#This Row],[Costo Unitario]])*Cocina[[#This Row],[Cantidad Ordenada]]</f>
        <v>8</v>
      </c>
      <c r="K1898" s="4">
        <f>Cocina[[#This Row],[Ganancia neta]]/_xlfn.XLOOKUP(Cocina[[#This Row],[Número de Orden]],Sala[Número de Orden],Sala[Monto total],"fracaso",0,1)</f>
        <v>4.3243243243243246E-2</v>
      </c>
      <c r="L1898" t="s">
        <v>607</v>
      </c>
    </row>
    <row r="1899" spans="1:12" x14ac:dyDescent="0.25">
      <c r="A1899">
        <v>766</v>
      </c>
      <c r="B1899">
        <v>17</v>
      </c>
      <c r="C1899" t="s">
        <v>146</v>
      </c>
      <c r="D1899" t="s">
        <v>632</v>
      </c>
      <c r="E1899">
        <v>12</v>
      </c>
      <c r="F1899">
        <v>20</v>
      </c>
      <c r="G1899">
        <v>3</v>
      </c>
      <c r="H1899">
        <v>7</v>
      </c>
      <c r="I1899">
        <f>Cocina[[#This Row],[Precio Unitario]]*Cocina[[#This Row],[Cantidad Ordenada]]</f>
        <v>60</v>
      </c>
      <c r="J1899">
        <f>(Cocina[[#This Row],[Precio Unitario]]-Cocina[[#This Row],[Costo Unitario]])*Cocina[[#This Row],[Cantidad Ordenada]]</f>
        <v>24</v>
      </c>
      <c r="K1899" s="4">
        <f>Cocina[[#This Row],[Ganancia neta]]/_xlfn.XLOOKUP(Cocina[[#This Row],[Número de Orden]],Sala[Número de Orden],Sala[Monto total],"fracaso",0,1)</f>
        <v>0.12972972972972974</v>
      </c>
      <c r="L1899" t="s">
        <v>607</v>
      </c>
    </row>
    <row r="1900" spans="1:12" x14ac:dyDescent="0.25">
      <c r="A1900">
        <v>766</v>
      </c>
      <c r="B1900">
        <v>17</v>
      </c>
      <c r="C1900" t="s">
        <v>200</v>
      </c>
      <c r="D1900" t="s">
        <v>633</v>
      </c>
      <c r="E1900">
        <v>14</v>
      </c>
      <c r="F1900">
        <v>23</v>
      </c>
      <c r="G1900">
        <v>2</v>
      </c>
      <c r="H1900">
        <v>16</v>
      </c>
      <c r="I1900">
        <f>Cocina[[#This Row],[Precio Unitario]]*Cocina[[#This Row],[Cantidad Ordenada]]</f>
        <v>46</v>
      </c>
      <c r="J1900">
        <f>(Cocina[[#This Row],[Precio Unitario]]-Cocina[[#This Row],[Costo Unitario]])*Cocina[[#This Row],[Cantidad Ordenada]]</f>
        <v>18</v>
      </c>
      <c r="K1900" s="4">
        <f>Cocina[[#This Row],[Ganancia neta]]/_xlfn.XLOOKUP(Cocina[[#This Row],[Número de Orden]],Sala[Número de Orden],Sala[Monto total],"fracaso",0,1)</f>
        <v>9.7297297297297303E-2</v>
      </c>
      <c r="L1900" t="s">
        <v>608</v>
      </c>
    </row>
    <row r="1901" spans="1:12" x14ac:dyDescent="0.25">
      <c r="A1901">
        <v>767</v>
      </c>
      <c r="B1901">
        <v>10</v>
      </c>
      <c r="C1901" t="s">
        <v>38</v>
      </c>
      <c r="D1901" t="s">
        <v>624</v>
      </c>
      <c r="E1901">
        <v>17</v>
      </c>
      <c r="F1901">
        <v>29</v>
      </c>
      <c r="G1901">
        <v>2</v>
      </c>
      <c r="H1901">
        <v>12</v>
      </c>
      <c r="I1901">
        <f>Cocina[[#This Row],[Precio Unitario]]*Cocina[[#This Row],[Cantidad Ordenada]]</f>
        <v>58</v>
      </c>
      <c r="J1901">
        <f>(Cocina[[#This Row],[Precio Unitario]]-Cocina[[#This Row],[Costo Unitario]])*Cocina[[#This Row],[Cantidad Ordenada]]</f>
        <v>24</v>
      </c>
      <c r="K1901" s="4">
        <f>Cocina[[#This Row],[Ganancia neta]]/_xlfn.XLOOKUP(Cocina[[#This Row],[Número de Orden]],Sala[Número de Orden],Sala[Monto total],"fracaso",0,1)</f>
        <v>0.14201183431952663</v>
      </c>
      <c r="L1901" t="s">
        <v>608</v>
      </c>
    </row>
    <row r="1902" spans="1:12" x14ac:dyDescent="0.25">
      <c r="A1902">
        <v>767</v>
      </c>
      <c r="B1902">
        <v>10</v>
      </c>
      <c r="C1902" t="s">
        <v>158</v>
      </c>
      <c r="D1902" t="s">
        <v>617</v>
      </c>
      <c r="E1902">
        <v>14</v>
      </c>
      <c r="F1902">
        <v>24</v>
      </c>
      <c r="G1902">
        <v>2</v>
      </c>
      <c r="H1902">
        <v>30</v>
      </c>
      <c r="I1902">
        <f>Cocina[[#This Row],[Precio Unitario]]*Cocina[[#This Row],[Cantidad Ordenada]]</f>
        <v>48</v>
      </c>
      <c r="J1902">
        <f>(Cocina[[#This Row],[Precio Unitario]]-Cocina[[#This Row],[Costo Unitario]])*Cocina[[#This Row],[Cantidad Ordenada]]</f>
        <v>20</v>
      </c>
      <c r="K1902" s="4">
        <f>Cocina[[#This Row],[Ganancia neta]]/_xlfn.XLOOKUP(Cocina[[#This Row],[Número de Orden]],Sala[Número de Orden],Sala[Monto total],"fracaso",0,1)</f>
        <v>0.11834319526627218</v>
      </c>
      <c r="L1902" t="s">
        <v>608</v>
      </c>
    </row>
    <row r="1903" spans="1:12" x14ac:dyDescent="0.25">
      <c r="A1903">
        <v>767</v>
      </c>
      <c r="B1903">
        <v>10</v>
      </c>
      <c r="C1903" t="s">
        <v>70</v>
      </c>
      <c r="D1903" t="s">
        <v>634</v>
      </c>
      <c r="E1903">
        <v>13</v>
      </c>
      <c r="F1903">
        <v>21</v>
      </c>
      <c r="G1903">
        <v>3</v>
      </c>
      <c r="H1903">
        <v>43</v>
      </c>
      <c r="I1903">
        <f>Cocina[[#This Row],[Precio Unitario]]*Cocina[[#This Row],[Cantidad Ordenada]]</f>
        <v>63</v>
      </c>
      <c r="J1903">
        <f>(Cocina[[#This Row],[Precio Unitario]]-Cocina[[#This Row],[Costo Unitario]])*Cocina[[#This Row],[Cantidad Ordenada]]</f>
        <v>24</v>
      </c>
      <c r="K1903" s="4">
        <f>Cocina[[#This Row],[Ganancia neta]]/_xlfn.XLOOKUP(Cocina[[#This Row],[Número de Orden]],Sala[Número de Orden],Sala[Monto total],"fracaso",0,1)</f>
        <v>0.14201183431952663</v>
      </c>
      <c r="L1903" t="s">
        <v>608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31EC-F20E-491B-AEE9-62AF3B6DCE5C}">
  <dimension ref="A1:AB79"/>
  <sheetViews>
    <sheetView topLeftCell="G1" workbookViewId="0">
      <selection activeCell="H5" sqref="H5"/>
    </sheetView>
  </sheetViews>
  <sheetFormatPr baseColWidth="10" defaultRowHeight="15" x14ac:dyDescent="0.25"/>
  <cols>
    <col min="1" max="1" width="18.5703125" bestFit="1" customWidth="1"/>
    <col min="2" max="2" width="39.42578125" bestFit="1" customWidth="1"/>
    <col min="3" max="3" width="28.7109375" bestFit="1" customWidth="1"/>
    <col min="4" max="4" width="9.42578125" bestFit="1" customWidth="1"/>
    <col min="5" max="5" width="28.7109375" bestFit="1" customWidth="1"/>
    <col min="6" max="6" width="17" bestFit="1" customWidth="1"/>
    <col min="7" max="7" width="28.7109375" bestFit="1" customWidth="1"/>
    <col min="8" max="8" width="13.5703125" bestFit="1" customWidth="1"/>
    <col min="9" max="9" width="33.7109375" bestFit="1" customWidth="1"/>
    <col min="10" max="10" width="10" bestFit="1" customWidth="1"/>
    <col min="11" max="11" width="12.28515625" bestFit="1" customWidth="1"/>
    <col min="12" max="12" width="5.7109375" bestFit="1" customWidth="1"/>
    <col min="13" max="13" width="10" bestFit="1" customWidth="1"/>
    <col min="14" max="14" width="12.28515625" bestFit="1" customWidth="1"/>
    <col min="15" max="15" width="5.7109375" bestFit="1" customWidth="1"/>
    <col min="16" max="16" width="10" bestFit="1" customWidth="1"/>
    <col min="17" max="17" width="12.28515625" bestFit="1" customWidth="1"/>
    <col min="18" max="18" width="5.7109375" bestFit="1" customWidth="1"/>
    <col min="19" max="19" width="10" bestFit="1" customWidth="1"/>
    <col min="20" max="20" width="17.85546875" bestFit="1" customWidth="1"/>
    <col min="21" max="21" width="18.140625" bestFit="1" customWidth="1"/>
    <col min="22" max="22" width="9.42578125" bestFit="1" customWidth="1"/>
    <col min="23" max="23" width="12.5703125" bestFit="1" customWidth="1"/>
    <col min="24" max="24" width="7" bestFit="1" customWidth="1"/>
    <col min="25" max="25" width="7.7109375" bestFit="1" customWidth="1"/>
    <col min="26" max="26" width="18.42578125" bestFit="1" customWidth="1"/>
    <col min="27" max="27" width="22.85546875" bestFit="1" customWidth="1"/>
    <col min="28" max="29" width="12.5703125" bestFit="1" customWidth="1"/>
  </cols>
  <sheetData>
    <row r="1" spans="1:28" x14ac:dyDescent="0.25">
      <c r="T1" s="10" t="s">
        <v>641</v>
      </c>
      <c r="U1" t="s" vm="1">
        <v>644</v>
      </c>
    </row>
    <row r="2" spans="1:28" x14ac:dyDescent="0.25">
      <c r="A2" s="21" t="s">
        <v>646</v>
      </c>
      <c r="B2" s="21"/>
      <c r="D2" s="22" t="s">
        <v>650</v>
      </c>
      <c r="E2" s="22"/>
      <c r="G2" s="22"/>
      <c r="H2" s="22"/>
      <c r="Z2" s="10" t="s">
        <v>664</v>
      </c>
      <c r="AA2" s="10" t="s">
        <v>645</v>
      </c>
    </row>
    <row r="3" spans="1:28" x14ac:dyDescent="0.25">
      <c r="A3" s="10" t="s">
        <v>642</v>
      </c>
      <c r="B3" t="s">
        <v>665</v>
      </c>
      <c r="D3" s="10" t="s">
        <v>642</v>
      </c>
      <c r="E3" t="s">
        <v>665</v>
      </c>
      <c r="T3" s="10" t="s">
        <v>642</v>
      </c>
      <c r="U3" t="s">
        <v>663</v>
      </c>
      <c r="Z3" s="10" t="s">
        <v>642</v>
      </c>
      <c r="AA3" t="s">
        <v>644</v>
      </c>
      <c r="AB3" t="s">
        <v>643</v>
      </c>
    </row>
    <row r="4" spans="1:28" x14ac:dyDescent="0.25">
      <c r="A4" s="11" t="s">
        <v>8</v>
      </c>
      <c r="B4" s="15">
        <v>61749.129999999954</v>
      </c>
      <c r="D4" s="11" t="s">
        <v>59</v>
      </c>
      <c r="E4" s="16">
        <v>10393.080000000002</v>
      </c>
      <c r="T4" s="11" t="s">
        <v>8</v>
      </c>
      <c r="U4" s="14">
        <v>63</v>
      </c>
      <c r="Z4" s="11" t="s">
        <v>8</v>
      </c>
      <c r="AA4" s="43">
        <v>63</v>
      </c>
      <c r="AB4" s="43">
        <v>63</v>
      </c>
    </row>
    <row r="5" spans="1:28" x14ac:dyDescent="0.25">
      <c r="A5" s="11" t="s">
        <v>25</v>
      </c>
      <c r="B5" s="15">
        <v>22901.380000000008</v>
      </c>
      <c r="D5" s="11" t="s">
        <v>32</v>
      </c>
      <c r="E5" s="16">
        <v>9136.4100000000017</v>
      </c>
      <c r="T5" s="11" t="s">
        <v>25</v>
      </c>
      <c r="U5" s="14">
        <v>20</v>
      </c>
      <c r="Z5" s="11" t="s">
        <v>25</v>
      </c>
      <c r="AA5" s="43">
        <v>20</v>
      </c>
      <c r="AB5" s="43">
        <v>20</v>
      </c>
    </row>
    <row r="6" spans="1:28" x14ac:dyDescent="0.25">
      <c r="A6" s="11" t="s">
        <v>12</v>
      </c>
      <c r="B6" s="15">
        <v>21605.260000000006</v>
      </c>
      <c r="D6" s="11" t="s">
        <v>18</v>
      </c>
      <c r="E6" s="16">
        <v>9209.6700000000019</v>
      </c>
      <c r="T6" s="11" t="s">
        <v>12</v>
      </c>
      <c r="U6" s="14">
        <v>17</v>
      </c>
      <c r="Z6" s="11" t="s">
        <v>12</v>
      </c>
      <c r="AA6" s="43">
        <v>17</v>
      </c>
      <c r="AB6" s="43">
        <v>17</v>
      </c>
    </row>
    <row r="7" spans="1:28" x14ac:dyDescent="0.25">
      <c r="A7" s="11" t="s">
        <v>643</v>
      </c>
      <c r="B7" s="15">
        <v>106255.76999999997</v>
      </c>
      <c r="D7" s="11" t="s">
        <v>47</v>
      </c>
      <c r="E7" s="16">
        <v>11942.350000000002</v>
      </c>
      <c r="T7" s="11" t="s">
        <v>643</v>
      </c>
      <c r="U7" s="14">
        <v>100</v>
      </c>
      <c r="Z7" s="11" t="s">
        <v>643</v>
      </c>
      <c r="AA7" s="43">
        <v>100</v>
      </c>
      <c r="AB7" s="43">
        <v>100</v>
      </c>
    </row>
    <row r="8" spans="1:28" x14ac:dyDescent="0.25">
      <c r="D8" s="11" t="s">
        <v>14</v>
      </c>
      <c r="E8" s="16">
        <v>9784.409999999998</v>
      </c>
      <c r="G8" s="22" t="s">
        <v>651</v>
      </c>
      <c r="H8" s="22"/>
    </row>
    <row r="9" spans="1:28" x14ac:dyDescent="0.25">
      <c r="A9" s="22" t="s">
        <v>647</v>
      </c>
      <c r="B9" s="22"/>
      <c r="D9" s="11" t="s">
        <v>44</v>
      </c>
      <c r="E9" s="16">
        <v>7676.91</v>
      </c>
      <c r="G9" s="10" t="s">
        <v>642</v>
      </c>
      <c r="H9" t="s">
        <v>676</v>
      </c>
    </row>
    <row r="10" spans="1:28" x14ac:dyDescent="0.25">
      <c r="A10" s="10" t="s">
        <v>642</v>
      </c>
      <c r="B10" s="13" t="s">
        <v>648</v>
      </c>
      <c r="D10" s="11" t="s">
        <v>594</v>
      </c>
      <c r="E10" s="16">
        <v>9607.7500000000018</v>
      </c>
      <c r="G10" s="11" t="s">
        <v>11</v>
      </c>
      <c r="H10" s="12">
        <v>3856.86</v>
      </c>
    </row>
    <row r="11" spans="1:28" x14ac:dyDescent="0.25">
      <c r="A11" s="11" t="s">
        <v>13</v>
      </c>
      <c r="B11" s="51">
        <v>0.10691003911342895</v>
      </c>
      <c r="D11" s="11" t="s">
        <v>21</v>
      </c>
      <c r="E11" s="16">
        <v>10380.040000000001</v>
      </c>
      <c r="G11" s="11" t="s">
        <v>16</v>
      </c>
      <c r="H11" s="12">
        <v>4739.79</v>
      </c>
    </row>
    <row r="12" spans="1:28" x14ac:dyDescent="0.25">
      <c r="A12" s="11" t="s">
        <v>687</v>
      </c>
      <c r="B12" s="51">
        <v>0.1303780964797914</v>
      </c>
      <c r="D12" s="11" t="s">
        <v>593</v>
      </c>
      <c r="E12" s="16">
        <v>9994.7100000000064</v>
      </c>
      <c r="G12" s="11" t="s">
        <v>7</v>
      </c>
      <c r="H12" s="12">
        <v>3828.02</v>
      </c>
    </row>
    <row r="13" spans="1:28" x14ac:dyDescent="0.25">
      <c r="A13" s="11" t="s">
        <v>601</v>
      </c>
      <c r="B13" s="51">
        <v>0.60104302477183835</v>
      </c>
      <c r="D13" s="11" t="s">
        <v>34</v>
      </c>
      <c r="E13" s="16">
        <v>9462.4</v>
      </c>
      <c r="G13" s="11" t="s">
        <v>23</v>
      </c>
      <c r="H13" s="12">
        <v>4100.17</v>
      </c>
    </row>
    <row r="14" spans="1:28" x14ac:dyDescent="0.25">
      <c r="A14" s="11" t="s">
        <v>600</v>
      </c>
      <c r="B14" s="51">
        <v>0.16166883963494133</v>
      </c>
      <c r="D14" s="11" t="s">
        <v>29</v>
      </c>
      <c r="E14" s="16">
        <v>8668.0399999999991</v>
      </c>
      <c r="G14" s="11" t="s">
        <v>20</v>
      </c>
      <c r="H14" s="12">
        <v>3241.93</v>
      </c>
    </row>
    <row r="15" spans="1:28" x14ac:dyDescent="0.25">
      <c r="A15" s="11" t="s">
        <v>643</v>
      </c>
      <c r="B15" s="51">
        <v>1</v>
      </c>
      <c r="D15" s="11" t="s">
        <v>643</v>
      </c>
      <c r="E15" s="16">
        <v>106255.76999999997</v>
      </c>
      <c r="G15" s="11" t="s">
        <v>643</v>
      </c>
      <c r="H15" s="12">
        <v>19766.77</v>
      </c>
    </row>
    <row r="16" spans="1:28" x14ac:dyDescent="0.25">
      <c r="D16" s="11"/>
    </row>
    <row r="17" spans="1:22" x14ac:dyDescent="0.25">
      <c r="A17" s="22" t="s">
        <v>649</v>
      </c>
      <c r="B17" s="22"/>
      <c r="C17" s="22"/>
      <c r="D17" s="22"/>
      <c r="E17" s="22"/>
      <c r="G17" s="22" t="s">
        <v>653</v>
      </c>
      <c r="H17" s="22"/>
    </row>
    <row r="18" spans="1:22" x14ac:dyDescent="0.25">
      <c r="A18" s="10" t="s">
        <v>654</v>
      </c>
      <c r="B18" s="10" t="s">
        <v>679</v>
      </c>
      <c r="G18" s="10" t="s">
        <v>642</v>
      </c>
      <c r="H18" t="s">
        <v>652</v>
      </c>
    </row>
    <row r="19" spans="1:22" x14ac:dyDescent="0.25">
      <c r="A19" s="10" t="s">
        <v>688</v>
      </c>
      <c r="B19" t="s">
        <v>8</v>
      </c>
      <c r="C19" t="s">
        <v>25</v>
      </c>
      <c r="D19" t="s">
        <v>12</v>
      </c>
      <c r="E19" t="s">
        <v>643</v>
      </c>
      <c r="G19" s="11" t="s">
        <v>11</v>
      </c>
      <c r="H19" s="14"/>
    </row>
    <row r="20" spans="1:22" x14ac:dyDescent="0.25">
      <c r="A20" s="11" t="s">
        <v>658</v>
      </c>
      <c r="B20" s="16">
        <v>3792.76</v>
      </c>
      <c r="C20" s="16">
        <v>883.06</v>
      </c>
      <c r="D20" s="16">
        <v>2436.2500000000005</v>
      </c>
      <c r="E20" s="16">
        <v>7112.0700000000033</v>
      </c>
      <c r="G20" s="17" t="s">
        <v>8</v>
      </c>
      <c r="H20" s="14">
        <v>90</v>
      </c>
    </row>
    <row r="21" spans="1:22" x14ac:dyDescent="0.25">
      <c r="A21" s="11" t="s">
        <v>659</v>
      </c>
      <c r="B21" s="16">
        <v>4062.0700000000006</v>
      </c>
      <c r="C21" s="16">
        <v>2003.5999999999997</v>
      </c>
      <c r="D21" s="16">
        <v>3028.34</v>
      </c>
      <c r="E21" s="16">
        <v>9094.010000000002</v>
      </c>
      <c r="G21" s="17" t="s">
        <v>25</v>
      </c>
      <c r="H21" s="14">
        <v>22</v>
      </c>
    </row>
    <row r="22" spans="1:22" x14ac:dyDescent="0.25">
      <c r="A22" s="11" t="s">
        <v>660</v>
      </c>
      <c r="B22" s="16">
        <v>7598.97</v>
      </c>
      <c r="C22" s="16">
        <v>2439.63</v>
      </c>
      <c r="D22" s="16">
        <v>1007.79</v>
      </c>
      <c r="E22" s="16">
        <v>11046.390000000003</v>
      </c>
      <c r="G22" s="17" t="s">
        <v>12</v>
      </c>
      <c r="H22" s="14">
        <v>26</v>
      </c>
    </row>
    <row r="23" spans="1:22" x14ac:dyDescent="0.25">
      <c r="A23" s="11" t="s">
        <v>657</v>
      </c>
      <c r="B23" s="16">
        <v>13702.74</v>
      </c>
      <c r="C23" s="16">
        <v>5968.4699999999993</v>
      </c>
      <c r="D23" s="16">
        <v>5144.8</v>
      </c>
      <c r="E23" s="16">
        <v>24816.010000000013</v>
      </c>
      <c r="G23" s="11" t="s">
        <v>16</v>
      </c>
      <c r="H23" s="14"/>
    </row>
    <row r="24" spans="1:22" x14ac:dyDescent="0.25">
      <c r="A24" s="11" t="s">
        <v>662</v>
      </c>
      <c r="B24" s="16">
        <v>10389.159999999996</v>
      </c>
      <c r="C24" s="16">
        <v>3976.1100000000006</v>
      </c>
      <c r="D24" s="16">
        <v>3350.9399999999996</v>
      </c>
      <c r="E24" s="16">
        <v>17716.21</v>
      </c>
      <c r="G24" s="17" t="s">
        <v>8</v>
      </c>
      <c r="H24" s="14">
        <v>116</v>
      </c>
    </row>
    <row r="25" spans="1:22" x14ac:dyDescent="0.25">
      <c r="A25" s="11" t="s">
        <v>661</v>
      </c>
      <c r="B25" s="16">
        <v>10415.809999999998</v>
      </c>
      <c r="C25" s="16">
        <v>3752.7000000000003</v>
      </c>
      <c r="D25" s="16">
        <v>3297.7799999999997</v>
      </c>
      <c r="E25" s="16">
        <v>17466.290000000005</v>
      </c>
      <c r="G25" s="17" t="s">
        <v>25</v>
      </c>
      <c r="H25" s="14">
        <v>38</v>
      </c>
    </row>
    <row r="26" spans="1:22" x14ac:dyDescent="0.25">
      <c r="A26" s="11" t="s">
        <v>656</v>
      </c>
      <c r="B26" s="16">
        <v>11787.619999999994</v>
      </c>
      <c r="C26" s="16">
        <v>3877.81</v>
      </c>
      <c r="D26" s="16">
        <v>3339.36</v>
      </c>
      <c r="E26" s="16">
        <v>19004.78999999999</v>
      </c>
      <c r="G26" s="17" t="s">
        <v>12</v>
      </c>
      <c r="H26" s="14">
        <v>38</v>
      </c>
    </row>
    <row r="27" spans="1:22" x14ac:dyDescent="0.25">
      <c r="A27" s="11" t="s">
        <v>643</v>
      </c>
      <c r="B27" s="16">
        <v>61749.129999999954</v>
      </c>
      <c r="C27" s="16">
        <v>22901.380000000008</v>
      </c>
      <c r="D27" s="16">
        <v>21605.260000000006</v>
      </c>
      <c r="E27" s="16">
        <v>106255.76999999997</v>
      </c>
      <c r="G27" s="11" t="s">
        <v>7</v>
      </c>
      <c r="H27" s="14"/>
    </row>
    <row r="28" spans="1:22" x14ac:dyDescent="0.25">
      <c r="G28" s="17" t="s">
        <v>8</v>
      </c>
      <c r="H28" s="14">
        <v>96</v>
      </c>
    </row>
    <row r="29" spans="1:22" x14ac:dyDescent="0.25">
      <c r="G29" s="17" t="s">
        <v>25</v>
      </c>
      <c r="H29" s="14">
        <v>25</v>
      </c>
    </row>
    <row r="30" spans="1:22" x14ac:dyDescent="0.25">
      <c r="G30" s="17" t="s">
        <v>12</v>
      </c>
      <c r="H30" s="14">
        <v>37</v>
      </c>
    </row>
    <row r="31" spans="1:22" x14ac:dyDescent="0.25">
      <c r="G31" s="11" t="s">
        <v>23</v>
      </c>
      <c r="H31" s="14"/>
    </row>
    <row r="32" spans="1:22" x14ac:dyDescent="0.25">
      <c r="G32" s="17" t="s">
        <v>8</v>
      </c>
      <c r="H32" s="14">
        <v>91</v>
      </c>
      <c r="U32" t="s">
        <v>59</v>
      </c>
      <c r="V32" s="18">
        <f>GETPIVOTDATA("[Measures].[Suma de Ingresos]",$D$3,"[Sala].[País de Origen]","[Sala].[País de Origen].&amp;[Argentina]")</f>
        <v>10393.080000000002</v>
      </c>
    </row>
    <row r="33" spans="7:22" x14ac:dyDescent="0.25">
      <c r="G33" s="17" t="s">
        <v>25</v>
      </c>
      <c r="H33" s="14">
        <v>36</v>
      </c>
      <c r="U33" t="s">
        <v>32</v>
      </c>
      <c r="V33" s="18">
        <f>GETPIVOTDATA("[Measures].[Suma de Ingresos]",$D$3,"[Sala].[País de Origen]","[Sala].[País de Origen].&amp;[Bolivia]")</f>
        <v>9136.4100000000017</v>
      </c>
    </row>
    <row r="34" spans="7:22" x14ac:dyDescent="0.25">
      <c r="G34" s="17" t="s">
        <v>12</v>
      </c>
      <c r="H34" s="14">
        <v>22</v>
      </c>
      <c r="U34" t="s">
        <v>18</v>
      </c>
      <c r="V34" s="18">
        <f>GETPIVOTDATA("[Measures].[Suma de Ingresos]",$D$3,"[Sala].[País de Origen]","[Sala].[País de Origen].&amp;[Brasil]")</f>
        <v>9209.6700000000019</v>
      </c>
    </row>
    <row r="35" spans="7:22" x14ac:dyDescent="0.25">
      <c r="G35" s="11" t="s">
        <v>20</v>
      </c>
      <c r="H35" s="14"/>
      <c r="U35" t="s">
        <v>47</v>
      </c>
      <c r="V35" s="18">
        <f>GETPIVOTDATA("[Measures].[Suma de Ingresos]",$D$3,"[Sala].[País de Origen]","[Sala].[País de Origen].&amp;[Chile]")</f>
        <v>11942.350000000002</v>
      </c>
    </row>
    <row r="36" spans="7:22" x14ac:dyDescent="0.25">
      <c r="G36" s="17" t="s">
        <v>8</v>
      </c>
      <c r="H36" s="14">
        <v>66</v>
      </c>
      <c r="U36" t="s">
        <v>14</v>
      </c>
      <c r="V36" s="18">
        <f>GETPIVOTDATA("[Measures].[Suma de Ingresos]",$D$3,"[Sala].[País de Origen]","[Sala].[País de Origen].&amp;[Colombia]")</f>
        <v>9784.409999999998</v>
      </c>
    </row>
    <row r="37" spans="7:22" x14ac:dyDescent="0.25">
      <c r="G37" s="17" t="s">
        <v>25</v>
      </c>
      <c r="H37" s="14">
        <v>38</v>
      </c>
      <c r="U37" t="s">
        <v>44</v>
      </c>
      <c r="V37" s="18">
        <f>GETPIVOTDATA("[Measures].[Suma de Ingresos]",$D$3,"[Sala].[País de Origen]","[Sala].[País de Origen].&amp;[Ecuador]")</f>
        <v>7676.91</v>
      </c>
    </row>
    <row r="38" spans="7:22" x14ac:dyDescent="0.25">
      <c r="G38" s="17" t="s">
        <v>12</v>
      </c>
      <c r="H38" s="14">
        <v>26</v>
      </c>
      <c r="U38" t="s">
        <v>594</v>
      </c>
      <c r="V38" s="18">
        <f>GETPIVOTDATA("[Measures].[Suma de Ingresos]",$D$3,"[Sala].[País de Origen]","[Sala].[País de Origen].&amp;[España]")</f>
        <v>9607.7500000000018</v>
      </c>
    </row>
    <row r="39" spans="7:22" x14ac:dyDescent="0.25">
      <c r="G39" s="11" t="s">
        <v>643</v>
      </c>
      <c r="H39" s="14">
        <v>767</v>
      </c>
      <c r="U39" t="s">
        <v>21</v>
      </c>
      <c r="V39" s="18">
        <f>GETPIVOTDATA("[Measures].[Suma de Ingresos]",$D$3,"[Sala].[País de Origen]","[Sala].[País de Origen].&amp;[Paraguay]")</f>
        <v>10380.040000000001</v>
      </c>
    </row>
    <row r="40" spans="7:22" x14ac:dyDescent="0.25">
      <c r="U40" t="s">
        <v>593</v>
      </c>
      <c r="V40" s="18">
        <f>GETPIVOTDATA("[Measures].[Suma de Ingresos]",$D$3,"[Sala].[País de Origen]","[Sala].[País de Origen].&amp;[Perú]")</f>
        <v>9994.7100000000064</v>
      </c>
    </row>
    <row r="41" spans="7:22" x14ac:dyDescent="0.25">
      <c r="U41" t="s">
        <v>34</v>
      </c>
      <c r="V41" s="18">
        <f>GETPIVOTDATA("[Measures].[Suma de Ingresos]",$D$3,"[Sala].[País de Origen]","[Sala].[País de Origen].&amp;[Uruguay]")</f>
        <v>9462.4</v>
      </c>
    </row>
    <row r="42" spans="7:22" x14ac:dyDescent="0.25">
      <c r="U42" t="s">
        <v>29</v>
      </c>
      <c r="V42" s="18">
        <f>GETPIVOTDATA("[Measures].[Suma de Ingresos]",$D$3,"[Sala].[País de Origen]","[Sala].[País de Origen].&amp;[Venezuela]")</f>
        <v>8668.0399999999991</v>
      </c>
    </row>
    <row r="65" spans="1:8" x14ac:dyDescent="0.25">
      <c r="A65" s="21" t="s">
        <v>672</v>
      </c>
      <c r="B65" s="21"/>
    </row>
    <row r="66" spans="1:8" x14ac:dyDescent="0.25">
      <c r="A66" s="10" t="s">
        <v>642</v>
      </c>
      <c r="B66" t="s">
        <v>671</v>
      </c>
      <c r="C66" t="s">
        <v>673</v>
      </c>
      <c r="D66" t="s">
        <v>674</v>
      </c>
      <c r="E66" t="s">
        <v>676</v>
      </c>
      <c r="F66" t="s">
        <v>665</v>
      </c>
      <c r="G66" t="s">
        <v>681</v>
      </c>
      <c r="H66" t="s">
        <v>684</v>
      </c>
    </row>
    <row r="67" spans="1:8" x14ac:dyDescent="0.25">
      <c r="A67" s="11" t="s">
        <v>8</v>
      </c>
      <c r="B67" s="43">
        <v>459</v>
      </c>
      <c r="C67" s="12">
        <v>136.77777777777777</v>
      </c>
      <c r="D67" s="20">
        <v>3.4313725490196076</v>
      </c>
      <c r="E67" s="12">
        <v>11984.13</v>
      </c>
      <c r="F67" s="12">
        <v>61749.129999999954</v>
      </c>
      <c r="G67" s="12">
        <v>18449</v>
      </c>
      <c r="H67" s="14">
        <v>77.531590413943348</v>
      </c>
    </row>
    <row r="68" spans="1:8" x14ac:dyDescent="0.25">
      <c r="A68" s="11" t="s">
        <v>25</v>
      </c>
      <c r="B68" s="43">
        <v>159</v>
      </c>
      <c r="C68" s="12">
        <v>142.71698113207546</v>
      </c>
      <c r="D68" s="20">
        <v>3.5534591194968552</v>
      </c>
      <c r="E68" s="12">
        <v>4029.38</v>
      </c>
      <c r="F68" s="12">
        <v>22901.380000000008</v>
      </c>
      <c r="G68" s="12">
        <v>6765</v>
      </c>
      <c r="H68" s="14">
        <v>84.477987421383645</v>
      </c>
    </row>
    <row r="69" spans="1:8" x14ac:dyDescent="0.25">
      <c r="A69" s="11" t="s">
        <v>12</v>
      </c>
      <c r="B69" s="43">
        <v>149</v>
      </c>
      <c r="C69" s="12">
        <v>139.95973154362417</v>
      </c>
      <c r="D69" s="20">
        <v>3.563758389261745</v>
      </c>
      <c r="E69" s="12">
        <v>3753.26</v>
      </c>
      <c r="F69" s="12">
        <v>21605.260000000006</v>
      </c>
      <c r="G69" s="12">
        <v>6204</v>
      </c>
      <c r="H69" s="14">
        <v>77.469798657718115</v>
      </c>
    </row>
    <row r="70" spans="1:8" x14ac:dyDescent="0.25">
      <c r="A70" s="11" t="s">
        <v>643</v>
      </c>
      <c r="B70" s="43">
        <v>767</v>
      </c>
      <c r="C70" s="12">
        <v>138.62711864406779</v>
      </c>
      <c r="D70" s="20">
        <v>3.4823989569752283</v>
      </c>
      <c r="E70" s="12">
        <v>19766.77</v>
      </c>
      <c r="F70" s="12">
        <v>106255.76999999997</v>
      </c>
      <c r="G70" s="12">
        <v>31418</v>
      </c>
      <c r="H70" s="14">
        <v>78.959582790091261</v>
      </c>
    </row>
    <row r="73" spans="1:8" x14ac:dyDescent="0.25">
      <c r="A73" s="10" t="s">
        <v>641</v>
      </c>
      <c r="B73" t="s">
        <v>644</v>
      </c>
    </row>
    <row r="75" spans="1:8" x14ac:dyDescent="0.25">
      <c r="A75" s="10" t="s">
        <v>642</v>
      </c>
      <c r="B75" t="s">
        <v>684</v>
      </c>
    </row>
    <row r="76" spans="1:8" x14ac:dyDescent="0.25">
      <c r="A76" s="11" t="s">
        <v>8</v>
      </c>
      <c r="B76" s="43">
        <v>134.28571428571428</v>
      </c>
    </row>
    <row r="77" spans="1:8" x14ac:dyDescent="0.25">
      <c r="A77" s="11" t="s">
        <v>25</v>
      </c>
      <c r="B77" s="43">
        <v>136.75</v>
      </c>
    </row>
    <row r="78" spans="1:8" x14ac:dyDescent="0.25">
      <c r="A78" s="11" t="s">
        <v>12</v>
      </c>
      <c r="B78" s="43">
        <v>119.88235294117646</v>
      </c>
    </row>
    <row r="79" spans="1:8" x14ac:dyDescent="0.25">
      <c r="A79" s="11" t="s">
        <v>643</v>
      </c>
      <c r="B79" s="43">
        <v>132.33000000000001</v>
      </c>
    </row>
  </sheetData>
  <mergeCells count="8">
    <mergeCell ref="G2:H2"/>
    <mergeCell ref="G8:H8"/>
    <mergeCell ref="G17:H17"/>
    <mergeCell ref="A65:B65"/>
    <mergeCell ref="A2:B2"/>
    <mergeCell ref="A9:B9"/>
    <mergeCell ref="A17:E17"/>
    <mergeCell ref="D2:E2"/>
  </mergeCells>
  <pageMargins left="0.7" right="0.7" top="0.75" bottom="0.75" header="0.3" footer="0.3"/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EEA14-EA3A-4504-B4D5-FAA93C049EF1}">
  <dimension ref="V3:Y10"/>
  <sheetViews>
    <sheetView showGridLines="0" workbookViewId="0">
      <selection activeCell="Q13" sqref="Q13"/>
    </sheetView>
  </sheetViews>
  <sheetFormatPr baseColWidth="10" defaultRowHeight="15" x14ac:dyDescent="0.25"/>
  <cols>
    <col min="1" max="1" width="17.85546875" style="19" bestFit="1" customWidth="1"/>
    <col min="2" max="2" width="28" style="19" bestFit="1" customWidth="1"/>
    <col min="3" max="23" width="11.42578125" style="19"/>
    <col min="24" max="24" width="13.28515625" style="19" customWidth="1"/>
    <col min="25" max="25" width="13" style="19" bestFit="1" customWidth="1"/>
    <col min="26" max="16384" width="11.42578125" style="19"/>
  </cols>
  <sheetData>
    <row r="3" spans="22:25" ht="15.75" x14ac:dyDescent="0.25">
      <c r="V3" s="44"/>
      <c r="W3" s="45"/>
      <c r="X3" s="45"/>
      <c r="Y3" s="46"/>
    </row>
    <row r="4" spans="22:25" ht="15.75" x14ac:dyDescent="0.25">
      <c r="V4" s="44"/>
      <c r="W4" s="45"/>
      <c r="X4" s="45"/>
      <c r="Y4" s="46"/>
    </row>
    <row r="5" spans="22:25" ht="15.75" x14ac:dyDescent="0.25">
      <c r="V5" s="44"/>
      <c r="W5" s="45"/>
      <c r="X5" s="45"/>
      <c r="Y5" s="47"/>
    </row>
    <row r="6" spans="22:25" ht="15.75" x14ac:dyDescent="0.25">
      <c r="V6" s="44"/>
      <c r="W6" s="45"/>
      <c r="X6" s="45"/>
      <c r="Y6" s="48"/>
    </row>
    <row r="7" spans="22:25" ht="15.75" x14ac:dyDescent="0.25">
      <c r="V7" s="44"/>
      <c r="W7" s="45"/>
      <c r="X7" s="45"/>
      <c r="Y7" s="48"/>
    </row>
    <row r="8" spans="22:25" ht="15.75" x14ac:dyDescent="0.25">
      <c r="V8" s="44"/>
      <c r="W8" s="45"/>
      <c r="X8" s="45"/>
      <c r="Y8" s="47"/>
    </row>
    <row r="9" spans="22:25" ht="15.75" x14ac:dyDescent="0.25">
      <c r="V9" s="44"/>
      <c r="W9" s="45"/>
      <c r="X9" s="44"/>
      <c r="Y9" s="49"/>
    </row>
    <row r="10" spans="22:25" x14ac:dyDescent="0.25">
      <c r="V10" s="44"/>
      <c r="W10" s="44"/>
      <c r="X10" s="44"/>
      <c r="Y10" s="4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4D83-0A72-4EAC-B003-E947FCD8CD34}">
  <dimension ref="A6:K46"/>
  <sheetViews>
    <sheetView tabSelected="1" topLeftCell="A26" workbookViewId="0">
      <selection activeCell="G52" sqref="G52"/>
    </sheetView>
  </sheetViews>
  <sheetFormatPr baseColWidth="10" defaultRowHeight="15" x14ac:dyDescent="0.25"/>
  <cols>
    <col min="1" max="1" width="7.42578125" customWidth="1"/>
    <col min="2" max="2" width="19" bestFit="1" customWidth="1"/>
    <col min="3" max="3" width="12.5703125" bestFit="1" customWidth="1"/>
    <col min="4" max="5" width="12.5703125" customWidth="1"/>
    <col min="6" max="6" width="15.28515625" customWidth="1"/>
    <col min="7" max="7" width="14.140625" customWidth="1"/>
    <col min="8" max="8" width="12" bestFit="1" customWidth="1"/>
    <col min="9" max="9" width="12" customWidth="1"/>
    <col min="10" max="10" width="13" bestFit="1" customWidth="1"/>
    <col min="11" max="11" width="12" bestFit="1" customWidth="1"/>
  </cols>
  <sheetData>
    <row r="6" spans="1:11" x14ac:dyDescent="0.25">
      <c r="B6" s="23"/>
      <c r="C6" s="23"/>
      <c r="D6" s="23"/>
      <c r="E6" s="23"/>
      <c r="F6" s="23"/>
      <c r="G6" s="23"/>
      <c r="H6" s="23"/>
      <c r="I6" s="23"/>
      <c r="J6" s="23"/>
    </row>
    <row r="7" spans="1:11" ht="63.75" thickBot="1" x14ac:dyDescent="0.3">
      <c r="B7" s="28" t="s">
        <v>679</v>
      </c>
      <c r="C7" s="28" t="s">
        <v>669</v>
      </c>
      <c r="D7" s="28" t="s">
        <v>678</v>
      </c>
      <c r="E7" s="29" t="s">
        <v>685</v>
      </c>
      <c r="F7" s="29" t="s">
        <v>675</v>
      </c>
      <c r="G7" s="28" t="s">
        <v>670</v>
      </c>
      <c r="H7" s="28" t="s">
        <v>677</v>
      </c>
      <c r="I7" s="28" t="s">
        <v>680</v>
      </c>
      <c r="J7" s="28" t="s">
        <v>654</v>
      </c>
      <c r="K7" s="28" t="s">
        <v>667</v>
      </c>
    </row>
    <row r="8" spans="1:11" ht="7.5" customHeight="1" x14ac:dyDescent="0.25">
      <c r="B8" s="23"/>
      <c r="C8" s="26"/>
      <c r="D8" s="26"/>
      <c r="E8" s="26"/>
      <c r="F8" s="27"/>
      <c r="G8" s="26"/>
      <c r="H8" s="26"/>
      <c r="I8" s="26"/>
      <c r="J8" s="26"/>
    </row>
    <row r="9" spans="1:11" x14ac:dyDescent="0.25"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1" ht="8.25" customHeight="1" x14ac:dyDescent="0.25">
      <c r="B10" s="23"/>
      <c r="C10" s="14"/>
      <c r="D10" s="23"/>
      <c r="E10" s="23"/>
      <c r="F10" s="25"/>
      <c r="G10" s="36"/>
      <c r="H10" s="24"/>
      <c r="I10" s="24"/>
      <c r="J10" s="24"/>
      <c r="K10" s="23"/>
    </row>
    <row r="11" spans="1:11" ht="15.75" thickBot="1" x14ac:dyDescent="0.3">
      <c r="A11" s="23"/>
      <c r="B11" s="30" t="s">
        <v>12</v>
      </c>
      <c r="C11" s="30">
        <f>GETPIVOTDATA("[Measures].[Recuento de Tipo de Servicio]",Tablas!$A$66,"[Sala].[Tipo de Servicio]","[Sala].[Tipo de Servicio].&amp;[Desayuno]")</f>
        <v>149</v>
      </c>
      <c r="D11" s="30">
        <f>GETPIVOTDATA("[Measures].[Recuento de Mesero Asignado]",Tablas!$T$3,"[Sala].[Tipo de Servicio]","[Sala].[Tipo de Servicio].&amp;[Desayuno]")</f>
        <v>17</v>
      </c>
      <c r="E11" s="32">
        <f>GETPIVOTDATA("[Measures].[Promedio de Tiempo de preparación (min)]",Tablas!$A$66,"[Sala].[Tipo de Servicio]","[Sala].[Tipo de Servicio].&amp;[Desayuno]")</f>
        <v>77.469798657718115</v>
      </c>
      <c r="F11" s="32">
        <f>GETPIVOTDATA("[Measures].[Promedio de Número de Comensales]",Tablas!$A$66,"[Sala].[Tipo de Servicio]","[Sala].[Tipo de Servicio].&amp;[Desayuno]")</f>
        <v>3.563758389261745</v>
      </c>
      <c r="G11" s="31">
        <f>GETPIVOTDATA("[Measures].[Promedio de Monto total]",Tablas!$A$66,"[Sala].[Tipo de Servicio]","[Sala].[Tipo de Servicio].&amp;[Desayuno]")</f>
        <v>139.95973154362417</v>
      </c>
      <c r="H11" s="31">
        <f>GETPIVOTDATA("[Measures].[Suma de Propina real]",Tablas!$A$66,"[Sala].[Tipo de Servicio]","[Sala].[Tipo de Servicio].&amp;[Desayuno]")</f>
        <v>3753.26</v>
      </c>
      <c r="I11" s="31">
        <f>GETPIVOTDATA("[Measures].[Suma de Coste total]",Tablas!$A$66,"[Sala].[Tipo de Servicio]","[Sala].[Tipo de Servicio].&amp;[Desayuno]")</f>
        <v>6204</v>
      </c>
      <c r="J11" s="31">
        <f>GETPIVOTDATA("[Measures].[Suma de Ingresos]",Tablas!$A$3,"[Sala].[Tipo de Servicio]","[Sala].[Tipo de Servicio].&amp;[Desayuno]")</f>
        <v>21605.260000000006</v>
      </c>
      <c r="K11" s="31">
        <f>J11-I11</f>
        <v>15401.260000000006</v>
      </c>
    </row>
    <row r="12" spans="1:11" ht="15.75" thickBot="1" x14ac:dyDescent="0.3">
      <c r="A12" s="23"/>
      <c r="B12" s="33" t="s">
        <v>8</v>
      </c>
      <c r="C12" s="33">
        <f>GETPIVOTDATA("[Measures].[Recuento de Tipo de Servicio]",Tablas!$A$66,"[Sala].[Tipo de Servicio]","[Sala].[Tipo de Servicio].&amp;[Almuerzo]")</f>
        <v>459</v>
      </c>
      <c r="D12" s="33">
        <f>GETPIVOTDATA("[Measures].[Recuento de Mesero Asignado]",Tablas!$T$3,"[Sala].[Tipo de Servicio]","[Sala].[Tipo de Servicio].&amp;[Almuerzo]")</f>
        <v>63</v>
      </c>
      <c r="E12" s="35">
        <f>GETPIVOTDATA("[Measures].[Promedio de Tiempo de preparación (min)]",Tablas!$A$66,"[Sala].[Tipo de Servicio]","[Sala].[Tipo de Servicio].&amp;[Almuerzo]")</f>
        <v>77.531590413943348</v>
      </c>
      <c r="F12" s="35">
        <f>GETPIVOTDATA("[Measures].[Promedio de Número de Comensales]",Tablas!$A$66,"[Sala].[Tipo de Servicio]","[Sala].[Tipo de Servicio].&amp;[Almuerzo]")</f>
        <v>3.4313725490196076</v>
      </c>
      <c r="G12" s="34">
        <f>GETPIVOTDATA("[Measures].[Promedio de Monto total]",Tablas!$A$66,"[Sala].[Tipo de Servicio]","[Sala].[Tipo de Servicio].&amp;[Almuerzo]")</f>
        <v>136.77777777777777</v>
      </c>
      <c r="H12" s="34">
        <f>GETPIVOTDATA("[Measures].[Suma de Propina real]",Tablas!$A$66,"[Sala].[Tipo de Servicio]","[Sala].[Tipo de Servicio].&amp;[Almuerzo]")</f>
        <v>11984.13</v>
      </c>
      <c r="I12" s="34">
        <f>GETPIVOTDATA("[Measures].[Suma de Propina real]",Tablas!$A$66,"[Sala].[Tipo de Servicio]","[Sala].[Tipo de Servicio].&amp;[Almuerzo]")</f>
        <v>11984.13</v>
      </c>
      <c r="J12" s="34">
        <f>GETPIVOTDATA("[Measures].[Suma de Ingresos]",Tablas!$A$3,"[Sala].[Tipo de Servicio]","[Sala].[Tipo de Servicio].&amp;[Almuerzo]")</f>
        <v>61749.129999999954</v>
      </c>
      <c r="K12" s="31">
        <f t="shared" ref="K12:K13" si="0">J12-I12</f>
        <v>49764.999999999956</v>
      </c>
    </row>
    <row r="13" spans="1:11" ht="15.75" thickBot="1" x14ac:dyDescent="0.3">
      <c r="A13" s="23"/>
      <c r="B13" s="33" t="s">
        <v>25</v>
      </c>
      <c r="C13" s="33">
        <f>GETPIVOTDATA("[Measures].[Recuento de Tipo de Servicio]",Tablas!$A$66,"[Sala].[Tipo de Servicio]","[Sala].[Tipo de Servicio].&amp;[Cena]")</f>
        <v>159</v>
      </c>
      <c r="D13" s="33">
        <f>GETPIVOTDATA("[Measures].[Recuento de Mesero Asignado]",Tablas!$T$3,"[Sala].[Tipo de Servicio]","[Sala].[Tipo de Servicio].&amp;[Cena]")</f>
        <v>20</v>
      </c>
      <c r="E13" s="35">
        <f>GETPIVOTDATA("[Measures].[Promedio de Tiempo de preparación (min)]",Tablas!$A$66,"[Sala].[Tipo de Servicio]","[Sala].[Tipo de Servicio].&amp;[Cena]")</f>
        <v>84.477987421383645</v>
      </c>
      <c r="F13" s="35">
        <f>GETPIVOTDATA("[Measures].[Promedio de Número de Comensales]",Tablas!$A$66,"[Sala].[Tipo de Servicio]","[Sala].[Tipo de Servicio].&amp;[Cena]")</f>
        <v>3.5534591194968552</v>
      </c>
      <c r="G13" s="34">
        <f>GETPIVOTDATA("[Measures].[Promedio de Monto total]",Tablas!$A$66,"[Sala].[Tipo de Servicio]","[Sala].[Tipo de Servicio].&amp;[Cena]")</f>
        <v>142.71698113207546</v>
      </c>
      <c r="H13" s="34">
        <f>GETPIVOTDATA("[Measures].[Suma de Propina real]",Tablas!$A$66,"[Sala].[Tipo de Servicio]","[Sala].[Tipo de Servicio].&amp;[Cena]")</f>
        <v>4029.38</v>
      </c>
      <c r="I13" s="34">
        <f>GETPIVOTDATA("[Measures].[Suma de Coste total]",Tablas!$A$66,"[Sala].[Tipo de Servicio]","[Sala].[Tipo de Servicio].&amp;[Cena]")</f>
        <v>6765</v>
      </c>
      <c r="J13" s="34">
        <f>GETPIVOTDATA("[Measures].[Suma de Ingresos]",Tablas!$A$3,"[Sala].[Tipo de Servicio]","[Sala].[Tipo de Servicio].&amp;[Cena]")</f>
        <v>22901.380000000008</v>
      </c>
      <c r="K13" s="31">
        <f t="shared" si="0"/>
        <v>16136.380000000008</v>
      </c>
    </row>
    <row r="14" spans="1:11" x14ac:dyDescent="0.25">
      <c r="B14" s="37"/>
      <c r="C14" s="38">
        <f>GETPIVOTDATA("[Measures].[Recuento de Tipo de Servicio]",Tablas!$A$66)</f>
        <v>767</v>
      </c>
      <c r="D14" s="42">
        <f>GETPIVOTDATA("[Measures].[Recuento de Mesero Asignado]",Tablas!$T$3)</f>
        <v>100</v>
      </c>
      <c r="E14" s="40">
        <f>GETPIVOTDATA("[Measures].[Promedio de Tiempo de preparación (min)]",Tablas!$A$66)</f>
        <v>78.959582790091261</v>
      </c>
      <c r="F14" s="40">
        <f>GETPIVOTDATA("[Measures].[Promedio de Número de Comensales]",Tablas!$A$66)</f>
        <v>3.4823989569752283</v>
      </c>
      <c r="G14" s="39">
        <f>AVERAGE(Sala[Monto total])</f>
        <v>138.62711864406779</v>
      </c>
      <c r="H14" s="41">
        <f>GETPIVOTDATA("[Measures].[Suma de Propina real]",Tablas!$A$66)</f>
        <v>19766.77</v>
      </c>
      <c r="I14" s="41">
        <f>GETPIVOTDATA("[Measures].[Suma de Coste total]",Tablas!$A$66)</f>
        <v>31418</v>
      </c>
      <c r="J14" s="41">
        <f>GETPIVOTDATA("[Measures].[Suma de Ingresos]",Tablas!$A$3)</f>
        <v>106255.76999999997</v>
      </c>
      <c r="K14" s="41">
        <f>J14-I14</f>
        <v>74837.769999999975</v>
      </c>
    </row>
    <row r="18" spans="2:11" x14ac:dyDescent="0.25">
      <c r="G18" s="23"/>
    </row>
    <row r="19" spans="2:11" ht="35.25" thickBot="1" x14ac:dyDescent="0.6">
      <c r="B19" s="52" t="s">
        <v>678</v>
      </c>
      <c r="C19" s="53"/>
      <c r="D19" s="53"/>
      <c r="E19" s="53"/>
      <c r="F19" s="53"/>
      <c r="G19" s="53"/>
      <c r="H19" s="53"/>
      <c r="I19" s="53"/>
      <c r="J19" s="54"/>
      <c r="K19" s="53"/>
    </row>
    <row r="20" spans="2:11" ht="15.75" thickTop="1" x14ac:dyDescent="0.25">
      <c r="G20" s="23"/>
    </row>
    <row r="21" spans="2:11" ht="63.75" thickBot="1" x14ac:dyDescent="0.3">
      <c r="H21" s="28" t="s">
        <v>679</v>
      </c>
      <c r="I21" s="28" t="s">
        <v>678</v>
      </c>
      <c r="J21" s="29" t="s">
        <v>685</v>
      </c>
    </row>
    <row r="22" spans="2:11" ht="15.75" x14ac:dyDescent="0.25">
      <c r="H22" s="23"/>
      <c r="I22" s="26"/>
      <c r="J22" s="26"/>
    </row>
    <row r="23" spans="2:11" ht="15.75" thickBot="1" x14ac:dyDescent="0.3">
      <c r="H23" s="30" t="s">
        <v>12</v>
      </c>
      <c r="I23" s="30">
        <f>GETPIVOTDATA("[Measures].[Recuento de Mesero Asignado]",Tablas!$T$3,"[Sala].[Tipo de Servicio]","[Sala].[Tipo de Servicio].&amp;[Desayuno]")</f>
        <v>17</v>
      </c>
      <c r="J23" s="32">
        <f>GETPIVOTDATA("Tiempo de preparación (min)",Tablas!$A$75,"Tipo de Servicio","Desayuno")</f>
        <v>119.88235294117646</v>
      </c>
    </row>
    <row r="24" spans="2:11" ht="15.75" thickBot="1" x14ac:dyDescent="0.3">
      <c r="H24" s="33" t="s">
        <v>8</v>
      </c>
      <c r="I24" s="33">
        <f>GETPIVOTDATA("[Measures].[Recuento de Mesero Asignado]",Tablas!$T$3,"[Sala].[Tipo de Servicio]","[Sala].[Tipo de Servicio].&amp;[Almuerzo]")</f>
        <v>63</v>
      </c>
      <c r="J24" s="35">
        <f>GETPIVOTDATA("Tiempo de preparación (min)",Tablas!$A$75,"Tipo de Servicio","Almuerzo")</f>
        <v>134.28571428571428</v>
      </c>
    </row>
    <row r="25" spans="2:11" ht="15.75" thickBot="1" x14ac:dyDescent="0.3">
      <c r="H25" s="33" t="s">
        <v>25</v>
      </c>
      <c r="I25" s="33">
        <f>GETPIVOTDATA("[Measures].[Recuento de Mesero Asignado]",Tablas!$T$3,"[Sala].[Tipo de Servicio]","[Sala].[Tipo de Servicio].&amp;[Cena]")</f>
        <v>20</v>
      </c>
      <c r="J25" s="35">
        <f>GETPIVOTDATA("Tiempo de preparación (min)",Tablas!$A$75,"Tipo de Servicio","Cena")</f>
        <v>136.75</v>
      </c>
    </row>
    <row r="26" spans="2:11" x14ac:dyDescent="0.25">
      <c r="I26" s="42">
        <f>GETPIVOTDATA("[Measures].[Recuento de Mesero Asignado]",Tablas!$T$3)</f>
        <v>100</v>
      </c>
      <c r="J26" s="40">
        <f>GETPIVOTDATA("Tiempo de preparación (min)",Tablas!$A$75)</f>
        <v>132.33000000000001</v>
      </c>
    </row>
    <row r="27" spans="2:11" x14ac:dyDescent="0.25">
      <c r="H27" s="23"/>
    </row>
    <row r="28" spans="2:11" x14ac:dyDescent="0.25">
      <c r="H28" s="23"/>
    </row>
    <row r="30" spans="2:11" x14ac:dyDescent="0.25">
      <c r="H30" s="55" t="s">
        <v>697</v>
      </c>
      <c r="I30" s="55"/>
      <c r="J30" s="55"/>
    </row>
    <row r="31" spans="2:11" x14ac:dyDescent="0.25">
      <c r="H31" s="55"/>
      <c r="I31" s="55"/>
      <c r="J31" s="55"/>
    </row>
    <row r="32" spans="2:11" x14ac:dyDescent="0.25">
      <c r="H32" s="55"/>
      <c r="I32" s="55"/>
      <c r="J32" s="55"/>
    </row>
    <row r="33" spans="2:10" x14ac:dyDescent="0.25">
      <c r="H33" s="55"/>
      <c r="I33" s="55"/>
      <c r="J33" s="55"/>
    </row>
    <row r="34" spans="2:10" x14ac:dyDescent="0.25">
      <c r="H34" s="55"/>
      <c r="I34" s="55"/>
      <c r="J34" s="55"/>
    </row>
    <row r="38" spans="2:10" x14ac:dyDescent="0.25">
      <c r="D38" s="56" t="s">
        <v>687</v>
      </c>
    </row>
    <row r="39" spans="2:10" ht="15.75" thickBot="1" x14ac:dyDescent="0.3">
      <c r="B39" s="30"/>
      <c r="C39" s="30" t="s">
        <v>12</v>
      </c>
      <c r="D39" s="30" t="s">
        <v>8</v>
      </c>
      <c r="E39" s="30" t="s">
        <v>25</v>
      </c>
      <c r="F39" s="30" t="s">
        <v>696</v>
      </c>
    </row>
    <row r="40" spans="2:10" x14ac:dyDescent="0.25">
      <c r="B40" t="s">
        <v>689</v>
      </c>
      <c r="C40">
        <f>COUNTIFS(Sala[Método pago real],$D$38,Sala[Día semana],B40,Sala[Tipo de Servicio],$C$39)</f>
        <v>1</v>
      </c>
      <c r="D40">
        <f>COUNTIFS(Sala[Método pago real],$D$38,Sala[Día semana],B40,Sala[Tipo de Servicio],$D$39)</f>
        <v>8</v>
      </c>
      <c r="E40">
        <f>COUNTIFS(Sala[Método pago real],$D$38,Sala[Día semana],B40,Sala[Tipo de Servicio],$E$39)</f>
        <v>3</v>
      </c>
      <c r="F40">
        <f>SUM(C40:E40)</f>
        <v>12</v>
      </c>
    </row>
    <row r="41" spans="2:10" x14ac:dyDescent="0.25">
      <c r="B41" t="s">
        <v>690</v>
      </c>
      <c r="C41">
        <f>COUNTIFS(Sala[Método pago real],$D$38,Sala[Día semana],B41,Sala[Tipo de Servicio],$C$39)</f>
        <v>0</v>
      </c>
      <c r="D41">
        <f>COUNTIFS(Sala[Método pago real],$D$38,Sala[Día semana],B41,Sala[Tipo de Servicio],$D$39)</f>
        <v>1</v>
      </c>
      <c r="E41">
        <f>COUNTIFS(Sala[Método pago real],$D$38,Sala[Día semana],B41,Sala[Tipo de Servicio],$E$39)</f>
        <v>0</v>
      </c>
      <c r="F41">
        <f t="shared" ref="F41:F46" si="1">SUM(C41:E41)</f>
        <v>1</v>
      </c>
    </row>
    <row r="42" spans="2:10" x14ac:dyDescent="0.25">
      <c r="B42" t="s">
        <v>691</v>
      </c>
      <c r="C42">
        <f>COUNTIFS(Sala[Método pago real],$D$38,Sala[Día semana],B42,Sala[Tipo de Servicio],$C$39)</f>
        <v>3</v>
      </c>
      <c r="D42">
        <f>COUNTIFS(Sala[Método pago real],$D$38,Sala[Día semana],B42,Sala[Tipo de Servicio],$D$39)</f>
        <v>5</v>
      </c>
      <c r="E42">
        <f>COUNTIFS(Sala[Método pago real],$D$38,Sala[Día semana],B42,Sala[Tipo de Servicio],$E$39)</f>
        <v>2</v>
      </c>
      <c r="F42">
        <f t="shared" si="1"/>
        <v>10</v>
      </c>
      <c r="H42" s="55" t="s">
        <v>698</v>
      </c>
      <c r="I42" s="55"/>
      <c r="J42" s="55"/>
    </row>
    <row r="43" spans="2:10" ht="15" customHeight="1" x14ac:dyDescent="0.25">
      <c r="B43" t="s">
        <v>692</v>
      </c>
      <c r="C43">
        <f>COUNTIFS(Sala[Método pago real],$D$38,Sala[Día semana],B43,Sala[Tipo de Servicio],$C$39)</f>
        <v>5</v>
      </c>
      <c r="D43" s="57">
        <f>COUNTIFS(Sala[Método pago real],$D$38,Sala[Día semana],B43,Sala[Tipo de Servicio],$D$39)</f>
        <v>14</v>
      </c>
      <c r="E43">
        <f>COUNTIFS(Sala[Método pago real],$D$38,Sala[Día semana],B43,Sala[Tipo de Servicio],$E$39)</f>
        <v>4</v>
      </c>
      <c r="F43" s="57">
        <f t="shared" si="1"/>
        <v>23</v>
      </c>
      <c r="H43" s="55"/>
      <c r="I43" s="55"/>
      <c r="J43" s="55"/>
    </row>
    <row r="44" spans="2:10" x14ac:dyDescent="0.25">
      <c r="B44" t="s">
        <v>693</v>
      </c>
      <c r="C44">
        <f>COUNTIFS(Sala[Método pago real],$D$38,Sala[Día semana],B44,Sala[Tipo de Servicio],$C$39)</f>
        <v>2</v>
      </c>
      <c r="D44">
        <f>COUNTIFS(Sala[Método pago real],$D$38,Sala[Día semana],B44,Sala[Tipo de Servicio],$D$39)</f>
        <v>8</v>
      </c>
      <c r="E44">
        <f>COUNTIFS(Sala[Método pago real],$D$38,Sala[Día semana],B44,Sala[Tipo de Servicio],$E$39)</f>
        <v>2</v>
      </c>
      <c r="F44">
        <f t="shared" si="1"/>
        <v>12</v>
      </c>
      <c r="H44" s="55"/>
      <c r="I44" s="55"/>
      <c r="J44" s="55"/>
    </row>
    <row r="45" spans="2:10" x14ac:dyDescent="0.25">
      <c r="B45" t="s">
        <v>694</v>
      </c>
      <c r="C45">
        <f>COUNTIFS(Sala[Método pago real],$D$38,Sala[Día semana],B45,Sala[Tipo de Servicio],$C$39)</f>
        <v>2</v>
      </c>
      <c r="D45">
        <f>COUNTIFS(Sala[Método pago real],$D$38,Sala[Día semana],B45,Sala[Tipo de Servicio],$D$39)</f>
        <v>10</v>
      </c>
      <c r="E45">
        <f>COUNTIFS(Sala[Método pago real],$D$38,Sala[Día semana],B45,Sala[Tipo de Servicio],$E$39)</f>
        <v>3</v>
      </c>
      <c r="F45">
        <f t="shared" si="1"/>
        <v>15</v>
      </c>
      <c r="H45" s="55"/>
      <c r="I45" s="55"/>
      <c r="J45" s="55"/>
    </row>
    <row r="46" spans="2:10" x14ac:dyDescent="0.25">
      <c r="B46" t="s">
        <v>695</v>
      </c>
      <c r="C46">
        <f>COUNTIFS(Sala[Método pago real],$D$38,Sala[Día semana],B46,Sala[Tipo de Servicio],$C$39)</f>
        <v>4</v>
      </c>
      <c r="D46" s="57">
        <f>COUNTIFS(Sala[Método pago real],$D$38,Sala[Día semana],B46,Sala[Tipo de Servicio],$D$39)</f>
        <v>17</v>
      </c>
      <c r="E46">
        <f>COUNTIFS(Sala[Método pago real],$D$38,Sala[Día semana],B46,Sala[Tipo de Servicio],$E$39)</f>
        <v>6</v>
      </c>
      <c r="F46" s="57">
        <f t="shared" si="1"/>
        <v>27</v>
      </c>
      <c r="H46" s="55"/>
      <c r="I46" s="55"/>
      <c r="J46" s="55"/>
    </row>
  </sheetData>
  <mergeCells count="2">
    <mergeCell ref="H30:J34"/>
    <mergeCell ref="H42:J4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4B52E0-5F10-4A9D-8980-8167B889FC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Sala</vt:lpstr>
      <vt:lpstr>Cocina</vt:lpstr>
      <vt:lpstr>Tablas</vt:lpstr>
      <vt:lpstr>Gráficos</vt:lpstr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María Llordén Alonso</dc:creator>
  <cp:lastModifiedBy>Marta María Llordén Alonso</cp:lastModifiedBy>
  <dcterms:created xsi:type="dcterms:W3CDTF">2024-08-05T19:14:38Z</dcterms:created>
  <dcterms:modified xsi:type="dcterms:W3CDTF">2024-09-30T15:56:37Z</dcterms:modified>
</cp:coreProperties>
</file>