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Martijn van Essen\Dropbox\Haagse_Hogeschool_Electrotechniek\Leerjaar_2\P2\PROENT\HHS_PROENT-1617\Projectinformatie\"/>
    </mc:Choice>
  </mc:AlternateContent>
  <bookViews>
    <workbookView xWindow="0" yWindow="0" windowWidth="19200" windowHeight="9885"/>
  </bookViews>
  <sheets>
    <sheet name="Sheet1" sheetId="1" r:id="rId1"/>
    <sheet name="AD 5-116" sheetId="2" r:id="rId2"/>
    <sheet name="Senvion 6.2M 126" sheetId="3" r:id="rId3"/>
    <sheet name="Vestas V164" sheetId="4" r:id="rId4"/>
  </sheets>
  <calcPr calcId="152511"/>
</workbook>
</file>

<file path=xl/calcChain.xml><?xml version="1.0" encoding="utf-8"?>
<calcChain xmlns="http://schemas.openxmlformats.org/spreadsheetml/2006/main">
  <c r="E6" i="1" l="1"/>
  <c r="E14" i="1"/>
  <c r="E17" i="1"/>
  <c r="E15" i="1"/>
  <c r="E7" i="1"/>
  <c r="E27" i="1"/>
  <c r="E28" i="1"/>
  <c r="E9" i="1"/>
  <c r="E18" i="1"/>
  <c r="E35" i="1"/>
  <c r="E25" i="1"/>
  <c r="E26" i="1"/>
  <c r="E29" i="1"/>
  <c r="E30" i="1"/>
  <c r="E31" i="1"/>
  <c r="E19" i="1"/>
  <c r="E10" i="1"/>
  <c r="E36" i="1"/>
  <c r="E12" i="1"/>
  <c r="E32" i="1"/>
  <c r="E23" i="1"/>
  <c r="E24" i="1"/>
  <c r="E37" i="1"/>
  <c r="E8" i="1"/>
  <c r="E33" i="1"/>
  <c r="E16" i="1"/>
  <c r="E20" i="1"/>
  <c r="E21" i="1"/>
  <c r="E22" i="1"/>
  <c r="E11" i="1"/>
  <c r="E38" i="1"/>
  <c r="E13" i="1"/>
  <c r="E34" i="1"/>
  <c r="E39" i="1"/>
  <c r="D6" i="1"/>
  <c r="D14" i="1"/>
  <c r="D17" i="1"/>
  <c r="D15" i="1"/>
  <c r="D7" i="1"/>
  <c r="D27" i="1"/>
  <c r="D28" i="1"/>
  <c r="D9" i="1"/>
  <c r="D18" i="1"/>
  <c r="D35" i="1"/>
  <c r="D25" i="1"/>
  <c r="D26" i="1"/>
  <c r="D29" i="1"/>
  <c r="D30" i="1"/>
  <c r="D31" i="1"/>
  <c r="D19" i="1"/>
  <c r="D10" i="1"/>
  <c r="D36" i="1"/>
  <c r="D12" i="1"/>
  <c r="D32" i="1"/>
  <c r="D23" i="1"/>
  <c r="D24" i="1"/>
  <c r="D37" i="1"/>
  <c r="D8" i="1"/>
  <c r="D33" i="1"/>
  <c r="D16" i="1"/>
  <c r="D20" i="1"/>
  <c r="D21" i="1"/>
  <c r="D22" i="1"/>
  <c r="D11" i="1"/>
  <c r="D38" i="1"/>
  <c r="D13" i="1"/>
  <c r="D34" i="1"/>
  <c r="D39" i="1"/>
  <c r="J6" i="4" l="1"/>
  <c r="M36" i="4"/>
  <c r="M3" i="4"/>
  <c r="M34" i="4" s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2" i="4"/>
  <c r="H4" i="3"/>
  <c r="U36" i="3" l="1"/>
  <c r="R34" i="4"/>
  <c r="M39" i="2"/>
  <c r="M38" i="3"/>
  <c r="H32" i="4"/>
  <c r="J32" i="4" s="1"/>
  <c r="H31" i="4"/>
  <c r="J31" i="4" s="1"/>
  <c r="H30" i="4"/>
  <c r="J30" i="4" s="1"/>
  <c r="H29" i="4"/>
  <c r="J29" i="4" s="1"/>
  <c r="H28" i="4"/>
  <c r="J28" i="4" s="1"/>
  <c r="H27" i="4"/>
  <c r="J27" i="4" s="1"/>
  <c r="H26" i="4"/>
  <c r="J26" i="4" s="1"/>
  <c r="H25" i="4"/>
  <c r="J25" i="4" s="1"/>
  <c r="H24" i="4"/>
  <c r="J24" i="4" s="1"/>
  <c r="H23" i="4"/>
  <c r="J23" i="4" s="1"/>
  <c r="H22" i="4"/>
  <c r="J22" i="4" s="1"/>
  <c r="H21" i="4"/>
  <c r="J21" i="4" s="1"/>
  <c r="H20" i="4"/>
  <c r="J20" i="4" s="1"/>
  <c r="H19" i="4"/>
  <c r="J19" i="4" s="1"/>
  <c r="H18" i="4"/>
  <c r="J18" i="4" s="1"/>
  <c r="H17" i="4"/>
  <c r="J17" i="4" s="1"/>
  <c r="H16" i="4"/>
  <c r="J16" i="4" s="1"/>
  <c r="H15" i="4"/>
  <c r="J15" i="4" s="1"/>
  <c r="H14" i="4"/>
  <c r="J14" i="4" s="1"/>
  <c r="H13" i="4"/>
  <c r="J13" i="4" s="1"/>
  <c r="H12" i="4"/>
  <c r="J12" i="4" s="1"/>
  <c r="H11" i="4"/>
  <c r="J11" i="4" s="1"/>
  <c r="H10" i="4"/>
  <c r="J10" i="4" s="1"/>
  <c r="H9" i="4"/>
  <c r="J9" i="4" s="1"/>
  <c r="H8" i="4"/>
  <c r="J8" i="4" s="1"/>
  <c r="H7" i="4"/>
  <c r="J7" i="4" s="1"/>
  <c r="H6" i="4"/>
  <c r="H5" i="4"/>
  <c r="J5" i="4" s="1"/>
  <c r="H4" i="4"/>
  <c r="J4" i="4" s="1"/>
  <c r="H3" i="4"/>
  <c r="J3" i="4" s="1"/>
  <c r="H2" i="4"/>
  <c r="J2" i="4" s="1"/>
  <c r="O38" i="3" l="1"/>
  <c r="O39" i="2"/>
  <c r="O37" i="3"/>
  <c r="O36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4" i="3"/>
  <c r="O38" i="2"/>
  <c r="O37" i="2"/>
  <c r="M37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5" i="2"/>
  <c r="D60" i="3"/>
  <c r="H34" i="3"/>
  <c r="J34" i="3" s="1"/>
  <c r="M34" i="3" s="1"/>
  <c r="H33" i="3"/>
  <c r="J33" i="3" s="1"/>
  <c r="M33" i="3" s="1"/>
  <c r="H32" i="3"/>
  <c r="J32" i="3" s="1"/>
  <c r="M32" i="3" s="1"/>
  <c r="J31" i="3"/>
  <c r="M31" i="3" s="1"/>
  <c r="H31" i="3"/>
  <c r="H30" i="3"/>
  <c r="J30" i="3" s="1"/>
  <c r="M30" i="3" s="1"/>
  <c r="H29" i="3"/>
  <c r="J29" i="3" s="1"/>
  <c r="M29" i="3" s="1"/>
  <c r="H28" i="3"/>
  <c r="J28" i="3" s="1"/>
  <c r="M28" i="3" s="1"/>
  <c r="H27" i="3"/>
  <c r="J27" i="3" s="1"/>
  <c r="M27" i="3" s="1"/>
  <c r="H26" i="3"/>
  <c r="J26" i="3" s="1"/>
  <c r="M26" i="3" s="1"/>
  <c r="H25" i="3"/>
  <c r="J25" i="3" s="1"/>
  <c r="M25" i="3" s="1"/>
  <c r="H24" i="3"/>
  <c r="J24" i="3" s="1"/>
  <c r="M24" i="3" s="1"/>
  <c r="H23" i="3"/>
  <c r="J23" i="3" s="1"/>
  <c r="M23" i="3" s="1"/>
  <c r="H22" i="3"/>
  <c r="J22" i="3" s="1"/>
  <c r="M22" i="3" s="1"/>
  <c r="H21" i="3"/>
  <c r="J21" i="3" s="1"/>
  <c r="M21" i="3" s="1"/>
  <c r="H20" i="3"/>
  <c r="J20" i="3" s="1"/>
  <c r="M20" i="3" s="1"/>
  <c r="H19" i="3"/>
  <c r="J19" i="3" s="1"/>
  <c r="M19" i="3" s="1"/>
  <c r="H18" i="3"/>
  <c r="J18" i="3" s="1"/>
  <c r="M18" i="3" s="1"/>
  <c r="H17" i="3"/>
  <c r="J17" i="3" s="1"/>
  <c r="M17" i="3" s="1"/>
  <c r="H16" i="3"/>
  <c r="J16" i="3" s="1"/>
  <c r="M16" i="3" s="1"/>
  <c r="J15" i="3"/>
  <c r="M15" i="3" s="1"/>
  <c r="H15" i="3"/>
  <c r="H14" i="3"/>
  <c r="J14" i="3" s="1"/>
  <c r="M14" i="3" s="1"/>
  <c r="H13" i="3"/>
  <c r="J13" i="3" s="1"/>
  <c r="M13" i="3" s="1"/>
  <c r="H12" i="3"/>
  <c r="J12" i="3" s="1"/>
  <c r="M12" i="3" s="1"/>
  <c r="J11" i="3"/>
  <c r="M11" i="3" s="1"/>
  <c r="H11" i="3"/>
  <c r="H10" i="3"/>
  <c r="J10" i="3" s="1"/>
  <c r="M10" i="3" s="1"/>
  <c r="H9" i="3"/>
  <c r="J9" i="3" s="1"/>
  <c r="M9" i="3" s="1"/>
  <c r="H8" i="3"/>
  <c r="J8" i="3" s="1"/>
  <c r="M8" i="3" s="1"/>
  <c r="J7" i="3"/>
  <c r="M7" i="3" s="1"/>
  <c r="H7" i="3"/>
  <c r="H6" i="3"/>
  <c r="J6" i="3" s="1"/>
  <c r="M6" i="3" s="1"/>
  <c r="H5" i="3"/>
  <c r="J5" i="3" s="1"/>
  <c r="M5" i="3" s="1"/>
  <c r="J4" i="3"/>
  <c r="M4" i="3" s="1"/>
  <c r="B92" i="2"/>
  <c r="H35" i="2"/>
  <c r="J35" i="2" s="1"/>
  <c r="M35" i="2" s="1"/>
  <c r="H34" i="2"/>
  <c r="J34" i="2" s="1"/>
  <c r="M34" i="2" s="1"/>
  <c r="H33" i="2"/>
  <c r="J33" i="2" s="1"/>
  <c r="M33" i="2" s="1"/>
  <c r="H32" i="2"/>
  <c r="J32" i="2" s="1"/>
  <c r="M32" i="2" s="1"/>
  <c r="H31" i="2"/>
  <c r="J31" i="2" s="1"/>
  <c r="M31" i="2" s="1"/>
  <c r="H30" i="2"/>
  <c r="J30" i="2" s="1"/>
  <c r="M30" i="2" s="1"/>
  <c r="H29" i="2"/>
  <c r="J29" i="2" s="1"/>
  <c r="M29" i="2" s="1"/>
  <c r="H28" i="2"/>
  <c r="J28" i="2" s="1"/>
  <c r="M28" i="2" s="1"/>
  <c r="H27" i="2"/>
  <c r="J27" i="2" s="1"/>
  <c r="M27" i="2" s="1"/>
  <c r="H26" i="2"/>
  <c r="J26" i="2" s="1"/>
  <c r="M26" i="2" s="1"/>
  <c r="H25" i="2"/>
  <c r="J25" i="2" s="1"/>
  <c r="M25" i="2" s="1"/>
  <c r="H24" i="2"/>
  <c r="J24" i="2" s="1"/>
  <c r="M24" i="2" s="1"/>
  <c r="H23" i="2"/>
  <c r="J23" i="2" s="1"/>
  <c r="M23" i="2" s="1"/>
  <c r="H22" i="2"/>
  <c r="J22" i="2" s="1"/>
  <c r="M22" i="2" s="1"/>
  <c r="H21" i="2"/>
  <c r="J21" i="2" s="1"/>
  <c r="M21" i="2" s="1"/>
  <c r="H20" i="2"/>
  <c r="J20" i="2" s="1"/>
  <c r="M20" i="2" s="1"/>
  <c r="H19" i="2"/>
  <c r="J19" i="2" s="1"/>
  <c r="M19" i="2" s="1"/>
  <c r="H18" i="2"/>
  <c r="J18" i="2" s="1"/>
  <c r="M18" i="2" s="1"/>
  <c r="H17" i="2"/>
  <c r="J17" i="2" s="1"/>
  <c r="M17" i="2" s="1"/>
  <c r="H16" i="2"/>
  <c r="J16" i="2" s="1"/>
  <c r="M16" i="2" s="1"/>
  <c r="H15" i="2"/>
  <c r="J15" i="2" s="1"/>
  <c r="M15" i="2" s="1"/>
  <c r="H14" i="2"/>
  <c r="J14" i="2" s="1"/>
  <c r="M14" i="2" s="1"/>
  <c r="H13" i="2"/>
  <c r="J13" i="2" s="1"/>
  <c r="M13" i="2" s="1"/>
  <c r="H12" i="2"/>
  <c r="J12" i="2" s="1"/>
  <c r="M12" i="2" s="1"/>
  <c r="H11" i="2"/>
  <c r="J11" i="2" s="1"/>
  <c r="M11" i="2" s="1"/>
  <c r="H10" i="2"/>
  <c r="J10" i="2" s="1"/>
  <c r="M10" i="2" s="1"/>
  <c r="H9" i="2"/>
  <c r="J9" i="2" s="1"/>
  <c r="M9" i="2" s="1"/>
  <c r="H8" i="2"/>
  <c r="J8" i="2" s="1"/>
  <c r="M8" i="2" s="1"/>
  <c r="H7" i="2"/>
  <c r="J7" i="2" s="1"/>
  <c r="M7" i="2" s="1"/>
  <c r="H6" i="2"/>
  <c r="J6" i="2" s="1"/>
  <c r="M6" i="2" s="1"/>
  <c r="H5" i="2"/>
  <c r="J5" i="2" s="1"/>
  <c r="M5" i="2" s="1"/>
  <c r="M27" i="1"/>
  <c r="M15" i="1"/>
  <c r="M35" i="4" l="1"/>
  <c r="M36" i="3"/>
  <c r="M37" i="3" s="1"/>
  <c r="N15" i="1"/>
  <c r="O15" i="1" s="1"/>
  <c r="M38" i="2"/>
  <c r="N27" i="1"/>
  <c r="O27" i="1" s="1"/>
</calcChain>
</file>

<file path=xl/sharedStrings.xml><?xml version="1.0" encoding="utf-8"?>
<sst xmlns="http://schemas.openxmlformats.org/spreadsheetml/2006/main" count="157" uniqueCount="101">
  <si>
    <t>Afstand meest voorkomende windrichting</t>
  </si>
  <si>
    <t>*Parkrendement -10%</t>
  </si>
  <si>
    <t>Afstand minst voorkomende windrichting</t>
  </si>
  <si>
    <t>Parkoppervlak</t>
  </si>
  <si>
    <t>[km^2]</t>
  </si>
  <si>
    <t>Type</t>
  </si>
  <si>
    <t>Vermogen[MW]</t>
  </si>
  <si>
    <t>Rotordiameter[m]</t>
  </si>
  <si>
    <t>Tandwielkast</t>
  </si>
  <si>
    <t>Cut-in windspeed[m/s]</t>
  </si>
  <si>
    <t>Rated windspeed[m/s]</t>
  </si>
  <si>
    <t>Cut-out windspeed[m/s]</t>
  </si>
  <si>
    <t>Beschikbaarheid</t>
  </si>
  <si>
    <t>Vermogen bij gem. windverdeling[MW]</t>
  </si>
  <si>
    <t>Park vermogen bij gem. windverdeling[MW]</t>
  </si>
  <si>
    <t>Verwacht vermogen bij gem. verdeling</t>
  </si>
  <si>
    <t>Link</t>
  </si>
  <si>
    <t>Britannia</t>
  </si>
  <si>
    <t>Cancelled</t>
  </si>
  <si>
    <t>Bard 6.5</t>
  </si>
  <si>
    <t>Discontinued</t>
  </si>
  <si>
    <t>SWT-6.0-120</t>
  </si>
  <si>
    <t>http://www.4coffshore.com/windfarms/turbine-siemens-swt-6.0-120-tid86.html</t>
  </si>
  <si>
    <t>6.2M126</t>
  </si>
  <si>
    <t>Ja</t>
  </si>
  <si>
    <t>Beschikbaar</t>
  </si>
  <si>
    <t>http://www.4coffshore.com/windfarms/turbine-senvion-6.2m126-tid36.html</t>
  </si>
  <si>
    <t>ST10</t>
  </si>
  <si>
    <t>Prototype</t>
  </si>
  <si>
    <t>http://www.4coffshore.com/windfarms/turbine-sway-turbine-as-st10-tid51.html</t>
  </si>
  <si>
    <t>AD 5-116(Voorheen: M5000-116)</t>
  </si>
  <si>
    <t>http://www.4coffshore.com/windfarms/turbine-adwen-ad-5-116-tid217.html</t>
  </si>
  <si>
    <t>http://en.wind-turbine-models.com/turbines/22-multibrid-m5000</t>
  </si>
  <si>
    <t>M5000-116</t>
  </si>
  <si>
    <t>Siemens SWT-8.0-154</t>
  </si>
  <si>
    <t>Nee</t>
  </si>
  <si>
    <t>http://www.siemens.com/content/dam/internet/siemens-com/global/market-specific-solutions/wind/data_sheets/swt-8.0-154-data-sheet-wind-turbine.pdf</t>
  </si>
  <si>
    <t>UP6000-136</t>
  </si>
  <si>
    <t>http://www.4coffshore.com/windfarms/turbine-guodian-united-power-up6000-136-tid128.html</t>
  </si>
  <si>
    <t>E112/4500</t>
  </si>
  <si>
    <t>http://www.4coffshore.com/windfarms/turbine-enercon-e112-4500-tid13.html</t>
  </si>
  <si>
    <t>HTW5.2-127</t>
  </si>
  <si>
    <t>http://www.4coffshore.com/windfarms/turbine-hitachi-ltd--htw5.2-127-tid238.html</t>
  </si>
  <si>
    <t>Senvion 5M</t>
  </si>
  <si>
    <t>http://www.4coffshore.com/windfarms/turbine-senvion-5m-tid35.html</t>
  </si>
  <si>
    <t>HTW5.0-126</t>
  </si>
  <si>
    <t>http://www.4coffshore.com/windfarms/turbine-hitachi-ltd--htw5.0-126-tid153.html</t>
  </si>
  <si>
    <t>SL5000/126</t>
  </si>
  <si>
    <t>http://www.4coffshore.com/windfarms/turbine-sinovel-sl5000-tid227.html</t>
  </si>
  <si>
    <t>HZ 127-5MW</t>
  </si>
  <si>
    <t>SCD 6.0MW</t>
  </si>
  <si>
    <t>http://www.scd-technology.com/fileadmin/Download/DataSheet_SCD_6.0MW.pdf</t>
  </si>
  <si>
    <t>Vestas V164 8.0MW</t>
  </si>
  <si>
    <t>http://www.homepages.ucl.ac.uk/~uceseug/Fluids2/Wind_Turbines/Turbines/V164-8MW.pdf</t>
  </si>
  <si>
    <t>GE 4.1-113</t>
  </si>
  <si>
    <t>http://www.4coffshore.com/windfarms/turbine-ge-energy-ge-4.1-113--tid108.html</t>
  </si>
  <si>
    <t>Siemens SWT-7.0-154</t>
  </si>
  <si>
    <t>http://www.siemens.com/content/dam/internet/siemens-com/global/market-specific-solutions/wind/data_sheets/data-sheet-wind-turbine-swt-7.0-154.pdf</t>
  </si>
  <si>
    <t>AD 5-132</t>
  </si>
  <si>
    <t>SeaTitan 5.5MW</t>
  </si>
  <si>
    <t>http://www.amsc.com/documents/wt5500-data-sheet/</t>
  </si>
  <si>
    <t>HQ5500/140</t>
  </si>
  <si>
    <t>SWT-4.0-120</t>
  </si>
  <si>
    <t>http://www.4coffshore.com/windfarms/turbine-siemens-swt-4.0-120-tid179.html</t>
  </si>
  <si>
    <t>SeaTitan 10MW</t>
  </si>
  <si>
    <t>http://www.amsc.com/documents/seatitan-10-mw-wind-turbine-data-sheet/</t>
  </si>
  <si>
    <t>AD 5-135</t>
  </si>
  <si>
    <t>6.2M152</t>
  </si>
  <si>
    <t>http://www.4coffshore.com/windfarms/turbine-senvion-6.2m152-tid192.html</t>
  </si>
  <si>
    <t>Haliade 150-6MW</t>
  </si>
  <si>
    <t>http://www.4coffshore.com/windfarms/turbine-ge-energy-haliade-150-6mw-tid71.html</t>
  </si>
  <si>
    <t>Siemens SWT-6.0-154</t>
  </si>
  <si>
    <t>http://www.siemens.com/content/dam/internet/siemens-com/global/market-specific-solutions/wind/data_sheets/data-sheet-wind-turbine-swt-6.0-154.pdf</t>
  </si>
  <si>
    <t>SL6000/155</t>
  </si>
  <si>
    <t>http://www.4coffshore.com/windfarms/turbine-sinovel-sl6000-155-tid159.html</t>
  </si>
  <si>
    <t>AD 8-180</t>
  </si>
  <si>
    <t>http://www.4coffshore.com/windfarms/turbine-adwen-ad-8-180-tid197.html</t>
  </si>
  <si>
    <t>Siemens SWT-4.0-130</t>
  </si>
  <si>
    <t>http://www.siemens.com/global/en/home/markets/wind/turbines/swt-4-0-130.html</t>
  </si>
  <si>
    <t>S7.0-171</t>
  </si>
  <si>
    <t>http://www.4coffshore.com/windfarms/turbine-samsung-heavy-industries-s7.0-171-tid37.html</t>
  </si>
  <si>
    <t>H 151-5MW</t>
  </si>
  <si>
    <t>EN-4.0-136</t>
  </si>
  <si>
    <t>http://www.4coffshore.com/windfarms/turbine-envision-energy-en-4.0-136-tid229.html</t>
  </si>
  <si>
    <t>Windturbine:</t>
  </si>
  <si>
    <t>AD 5-116</t>
  </si>
  <si>
    <t>Windspeed[m/s]</t>
  </si>
  <si>
    <t>Power[kW]</t>
  </si>
  <si>
    <t>Weibull</t>
  </si>
  <si>
    <t>Aantal uren windsnelheid</t>
  </si>
  <si>
    <t>Opgewekte vermogen[MWh]</t>
  </si>
  <si>
    <t>Totaal vermogen[kWh]:</t>
  </si>
  <si>
    <t>Totaal vermogen[kW]:</t>
  </si>
  <si>
    <t>Theoretisch/Werkelijk</t>
  </si>
  <si>
    <t>%</t>
  </si>
  <si>
    <t>Parkvermogen</t>
  </si>
  <si>
    <t>Vermogen in de wind</t>
  </si>
  <si>
    <t>Totaal vermogen[MWh]:</t>
  </si>
  <si>
    <t>Totaal vermogen[MW]:</t>
  </si>
  <si>
    <t>Minimum aantal turbines</t>
  </si>
  <si>
    <t>Maximum aantal turbines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</si>
</sst>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[Red]\(0\)"/>
  </numFmts>
  <fonts count="3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3" borderId="0" applyNumberFormat="0" applyBorder="0" applyAlignment="0" applyProtection="0"/>
  </cellStyleXfs>
  <cellXfs count="13">
    <xf numFmtId="0" fontId="0" fillId="0" borderId="0" xfId="0">
      <alignment vertical="center"/>
    </xf>
    <xf numFmtId="0" fontId="1" fillId="2" borderId="0" xfId="0" applyNumberFormat="1" applyFont="1" applyFill="1" applyAlignment="1">
      <alignment vertical="center" wrapText="1"/>
    </xf>
    <xf numFmtId="16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1" fillId="2" borderId="0" xfId="0" applyNumberFormat="1" applyFont="1" applyFill="1">
      <alignment vertical="center"/>
    </xf>
    <xf numFmtId="0" fontId="1" fillId="2" borderId="0" xfId="0" applyNumberFormat="1" applyFont="1" applyFill="1">
      <alignment vertical="center"/>
    </xf>
    <xf numFmtId="4" fontId="0" fillId="0" borderId="0" xfId="0" applyNumberFormat="1">
      <alignment vertical="center"/>
    </xf>
    <xf numFmtId="3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2" fillId="3" borderId="0" xfId="1" applyAlignment="1">
      <alignment vertical="center"/>
    </xf>
    <xf numFmtId="0" fontId="2" fillId="3" borderId="0" xfId="1" applyNumberFormat="1" applyAlignment="1">
      <alignment vertical="center"/>
    </xf>
  </cellXfs>
  <cellStyles count="2">
    <cellStyle name="Ongeldig" xfId="1" builtinId="27"/>
    <cellStyle name="Standaard" xfId="0" builtinId="0"/>
  </cellStyles>
  <dxfs count="3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numFmt numFmtId="0" formatCode="General"/>
    </dxf>
    <dxf>
      <numFmt numFmtId="0" formatCode="General"/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'AD 5-116'!$C$1</c:f>
              <c:strCache>
                <c:ptCount val="1"/>
                <c:pt idx="0">
                  <c:v>AD 5-116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'AD 5-116'!$A$5:$A$35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'AD 5-116'!$B$5:$B$35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330</c:v>
                </c:pt>
                <c:pt idx="5">
                  <c:v>560</c:v>
                </c:pt>
                <c:pt idx="6">
                  <c:v>1000</c:v>
                </c:pt>
                <c:pt idx="7">
                  <c:v>1470</c:v>
                </c:pt>
                <c:pt idx="8">
                  <c:v>1980</c:v>
                </c:pt>
                <c:pt idx="9">
                  <c:v>2800</c:v>
                </c:pt>
                <c:pt idx="10">
                  <c:v>4000</c:v>
                </c:pt>
                <c:pt idx="11">
                  <c:v>4800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5000</c:v>
                </c:pt>
                <c:pt idx="16">
                  <c:v>5000</c:v>
                </c:pt>
                <c:pt idx="17">
                  <c:v>5000</c:v>
                </c:pt>
                <c:pt idx="18">
                  <c:v>5000</c:v>
                </c:pt>
                <c:pt idx="19">
                  <c:v>5000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5000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423048"/>
        <c:axId val="485425792"/>
      </c:scatterChart>
      <c:valAx>
        <c:axId val="485423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altLang="en-US"/>
                  <a:t>Windsnelheid [m/s]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5425792"/>
        <c:crosses val="autoZero"/>
        <c:crossBetween val="midCat"/>
      </c:valAx>
      <c:valAx>
        <c:axId val="48542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altLang="en-US"/>
                  <a:t>Vermogen [kW]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5423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intercept val="0"/>
            <c:dispRSqr val="0"/>
            <c:dispEq val="1"/>
            <c:trendlineLbl>
              <c:layout>
                <c:manualLayout>
                  <c:x val="6.8964285714285797E-2"/>
                  <c:y val="-0.152777777777778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'AD 5-116'!$A$75:$A$85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'AD 5-116'!$B$75:$B$85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330</c:v>
                </c:pt>
                <c:pt idx="3">
                  <c:v>560</c:v>
                </c:pt>
                <c:pt idx="4">
                  <c:v>1000</c:v>
                </c:pt>
                <c:pt idx="5">
                  <c:v>1470</c:v>
                </c:pt>
                <c:pt idx="6">
                  <c:v>1980</c:v>
                </c:pt>
                <c:pt idx="7">
                  <c:v>2800</c:v>
                </c:pt>
                <c:pt idx="8">
                  <c:v>4000</c:v>
                </c:pt>
                <c:pt idx="9">
                  <c:v>4800</c:v>
                </c:pt>
                <c:pt idx="10">
                  <c:v>5000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419520"/>
        <c:axId val="485421480"/>
      </c:scatterChart>
      <c:valAx>
        <c:axId val="48541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5421480"/>
        <c:crosses val="autoZero"/>
        <c:crossBetween val="midCat"/>
      </c:valAx>
      <c:valAx>
        <c:axId val="48542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541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Weibullverdeling windsnelheid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'AD 5-116'!$H$5:$H$35</c:f>
              <c:numCache>
                <c:formatCode>General</c:formatCode>
                <c:ptCount val="31"/>
                <c:pt idx="0">
                  <c:v>0</c:v>
                </c:pt>
                <c:pt idx="1">
                  <c:v>1.1871041489185308</c:v>
                </c:pt>
                <c:pt idx="2">
                  <c:v>2.6381929826532615</c:v>
                </c:pt>
                <c:pt idx="3">
                  <c:v>4.1095013782006768</c:v>
                </c:pt>
                <c:pt idx="4">
                  <c:v>5.4760534056918315</c:v>
                </c:pt>
                <c:pt idx="5">
                  <c:v>6.6409132750619086</c:v>
                </c:pt>
                <c:pt idx="6">
                  <c:v>7.531815677697387</c:v>
                </c:pt>
                <c:pt idx="7">
                  <c:v>8.103875984644489</c:v>
                </c:pt>
                <c:pt idx="8">
                  <c:v>8.3413960929251285</c:v>
                </c:pt>
                <c:pt idx="9">
                  <c:v>8.2569956636591133</c:v>
                </c:pt>
                <c:pt idx="10">
                  <c:v>7.8878057009824785</c:v>
                </c:pt>
                <c:pt idx="11">
                  <c:v>7.2892472864250273</c:v>
                </c:pt>
                <c:pt idx="12">
                  <c:v>6.5273772359864948</c:v>
                </c:pt>
                <c:pt idx="13">
                  <c:v>5.6709670635703011</c:v>
                </c:pt>
                <c:pt idx="14">
                  <c:v>4.7844148335522956</c:v>
                </c:pt>
                <c:pt idx="15">
                  <c:v>3.9223236671613795</c:v>
                </c:pt>
                <c:pt idx="16">
                  <c:v>3.126198488288062</c:v>
                </c:pt>
                <c:pt idx="17">
                  <c:v>2.4233085848822249</c:v>
                </c:pt>
                <c:pt idx="18">
                  <c:v>1.8274216637155682</c:v>
                </c:pt>
                <c:pt idx="19">
                  <c:v>1.3408910483772649</c:v>
                </c:pt>
                <c:pt idx="20">
                  <c:v>0.95749120205421834</c:v>
                </c:pt>
                <c:pt idx="21">
                  <c:v>0.66543405077472639</c:v>
                </c:pt>
                <c:pt idx="22">
                  <c:v>0.45012281365397694</c:v>
                </c:pt>
                <c:pt idx="23">
                  <c:v>0.29636524529212604</c:v>
                </c:pt>
                <c:pt idx="24">
                  <c:v>0.18993205752678008</c:v>
                </c:pt>
                <c:pt idx="25">
                  <c:v>0.11847875556973489</c:v>
                </c:pt>
                <c:pt idx="26">
                  <c:v>7.1935592265598716E-2</c:v>
                </c:pt>
                <c:pt idx="27">
                  <c:v>4.2510173573753147E-2</c:v>
                </c:pt>
                <c:pt idx="28">
                  <c:v>2.4449381440920546E-2</c:v>
                </c:pt>
                <c:pt idx="29">
                  <c:v>1.3685021289004746E-2</c:v>
                </c:pt>
                <c:pt idx="30">
                  <c:v>7.4541721508194301E-3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426968"/>
        <c:axId val="485415208"/>
      </c:scatterChart>
      <c:valAx>
        <c:axId val="48542696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Windsnelheid[m/s]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5415208"/>
        <c:crosses val="autoZero"/>
        <c:crossBetween val="midCat"/>
      </c:valAx>
      <c:valAx>
        <c:axId val="48541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Kans</a:t>
                </a:r>
                <a:r>
                  <a:rPr lang="nl-NL" baseline="0"/>
                  <a:t>[%]</a:t>
                </a:r>
                <a:endParaRPr lang="nl-N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5426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Senvion 6.2M 126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'Senvion 6.2M 126'!$A$4:$A$34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'Senvion 6.2M 126'!$B$4:$B$34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109</c:v>
                </c:pt>
                <c:pt idx="5">
                  <c:v>313</c:v>
                </c:pt>
                <c:pt idx="6">
                  <c:v>625</c:v>
                </c:pt>
                <c:pt idx="7">
                  <c:v>1085</c:v>
                </c:pt>
                <c:pt idx="8">
                  <c:v>1700</c:v>
                </c:pt>
                <c:pt idx="9">
                  <c:v>2450</c:v>
                </c:pt>
                <c:pt idx="10">
                  <c:v>3360</c:v>
                </c:pt>
                <c:pt idx="11">
                  <c:v>4405</c:v>
                </c:pt>
                <c:pt idx="12">
                  <c:v>5390</c:v>
                </c:pt>
                <c:pt idx="13">
                  <c:v>6100</c:v>
                </c:pt>
                <c:pt idx="14">
                  <c:v>6200</c:v>
                </c:pt>
                <c:pt idx="15">
                  <c:v>6200</c:v>
                </c:pt>
                <c:pt idx="16">
                  <c:v>6200</c:v>
                </c:pt>
                <c:pt idx="17">
                  <c:v>6200</c:v>
                </c:pt>
                <c:pt idx="18">
                  <c:v>6200</c:v>
                </c:pt>
                <c:pt idx="19">
                  <c:v>6200</c:v>
                </c:pt>
                <c:pt idx="20">
                  <c:v>6200</c:v>
                </c:pt>
                <c:pt idx="21">
                  <c:v>6200</c:v>
                </c:pt>
                <c:pt idx="22">
                  <c:v>6200</c:v>
                </c:pt>
                <c:pt idx="23">
                  <c:v>6200</c:v>
                </c:pt>
                <c:pt idx="24">
                  <c:v>6200</c:v>
                </c:pt>
                <c:pt idx="25">
                  <c:v>6200</c:v>
                </c:pt>
                <c:pt idx="26">
                  <c:v>6200</c:v>
                </c:pt>
                <c:pt idx="27">
                  <c:v>6200</c:v>
                </c:pt>
                <c:pt idx="28">
                  <c:v>6200</c:v>
                </c:pt>
                <c:pt idx="29">
                  <c:v>6200</c:v>
                </c:pt>
                <c:pt idx="30">
                  <c:v>6200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418344"/>
        <c:axId val="485418736"/>
      </c:scatterChart>
      <c:valAx>
        <c:axId val="485418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5418736"/>
        <c:crosses val="autoZero"/>
        <c:crossBetween val="midCat"/>
      </c:valAx>
      <c:valAx>
        <c:axId val="48541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5418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Benadering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-2.2200638268350201E-2"/>
                  <c:y val="-0.1047619047619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'Senvion 6.2M 126'!$A$7:$A$18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numCache>
            </c:numRef>
          </c:xVal>
          <c:yVal>
            <c:numRef>
              <c:f>'Senvion 6.2M 126'!$B$7:$B$18</c:f>
              <c:numCache>
                <c:formatCode>General</c:formatCode>
                <c:ptCount val="12"/>
                <c:pt idx="0">
                  <c:v>0</c:v>
                </c:pt>
                <c:pt idx="1">
                  <c:v>109</c:v>
                </c:pt>
                <c:pt idx="2">
                  <c:v>313</c:v>
                </c:pt>
                <c:pt idx="3">
                  <c:v>625</c:v>
                </c:pt>
                <c:pt idx="4">
                  <c:v>1085</c:v>
                </c:pt>
                <c:pt idx="5">
                  <c:v>1700</c:v>
                </c:pt>
                <c:pt idx="6">
                  <c:v>2450</c:v>
                </c:pt>
                <c:pt idx="7">
                  <c:v>3360</c:v>
                </c:pt>
                <c:pt idx="8">
                  <c:v>4405</c:v>
                </c:pt>
                <c:pt idx="9">
                  <c:v>5390</c:v>
                </c:pt>
                <c:pt idx="10">
                  <c:v>6100</c:v>
                </c:pt>
                <c:pt idx="11">
                  <c:v>6200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420696"/>
        <c:axId val="485421088"/>
      </c:scatterChart>
      <c:valAx>
        <c:axId val="48542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5421088"/>
        <c:crosses val="autoZero"/>
        <c:crossBetween val="midCat"/>
      </c:valAx>
      <c:valAx>
        <c:axId val="48542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5420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'Vestas V164'!$J$1</c:f>
              <c:strCache>
                <c:ptCount val="1"/>
                <c:pt idx="0">
                  <c:v>Aantal uren windsnelheid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'Vestas V164'!$A$2:$A$32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'Vestas V164'!$J$2:$J$32</c:f>
              <c:numCache>
                <c:formatCode>General</c:formatCode>
                <c:ptCount val="31"/>
                <c:pt idx="0">
                  <c:v>0</c:v>
                </c:pt>
                <c:pt idx="1">
                  <c:v>103.9903234452633</c:v>
                </c:pt>
                <c:pt idx="2">
                  <c:v>231.1057052804257</c:v>
                </c:pt>
                <c:pt idx="3">
                  <c:v>359.99232073037933</c:v>
                </c:pt>
                <c:pt idx="4">
                  <c:v>479.70227833860446</c:v>
                </c:pt>
                <c:pt idx="5">
                  <c:v>581.74400289542325</c:v>
                </c:pt>
                <c:pt idx="6">
                  <c:v>659.78705336629116</c:v>
                </c:pt>
                <c:pt idx="7">
                  <c:v>709.89953625485725</c:v>
                </c:pt>
                <c:pt idx="8">
                  <c:v>730.70629774024121</c:v>
                </c:pt>
                <c:pt idx="9">
                  <c:v>723.31282013653822</c:v>
                </c:pt>
                <c:pt idx="10">
                  <c:v>690.97177940606514</c:v>
                </c:pt>
                <c:pt idx="11">
                  <c:v>638.53806229083239</c:v>
                </c:pt>
                <c:pt idx="12">
                  <c:v>571.79824587241694</c:v>
                </c:pt>
                <c:pt idx="13">
                  <c:v>496.77671476875832</c:v>
                </c:pt>
                <c:pt idx="14">
                  <c:v>419.11473941918109</c:v>
                </c:pt>
                <c:pt idx="15">
                  <c:v>343.59555324333684</c:v>
                </c:pt>
                <c:pt idx="16">
                  <c:v>273.85498757403423</c:v>
                </c:pt>
                <c:pt idx="17">
                  <c:v>212.2818320356829</c:v>
                </c:pt>
                <c:pt idx="18">
                  <c:v>160.08213774148376</c:v>
                </c:pt>
                <c:pt idx="19">
                  <c:v>117.46205583784841</c:v>
                </c:pt>
                <c:pt idx="20">
                  <c:v>83.876229299949529</c:v>
                </c:pt>
                <c:pt idx="21">
                  <c:v>58.292022847866036</c:v>
                </c:pt>
                <c:pt idx="22">
                  <c:v>39.430758476088378</c:v>
                </c:pt>
                <c:pt idx="23">
                  <c:v>25.961595487590245</c:v>
                </c:pt>
                <c:pt idx="24">
                  <c:v>16.638048239345935</c:v>
                </c:pt>
                <c:pt idx="25">
                  <c:v>10.378738987908775</c:v>
                </c:pt>
                <c:pt idx="26">
                  <c:v>6.3015578824664473</c:v>
                </c:pt>
                <c:pt idx="27">
                  <c:v>3.723891205060776</c:v>
                </c:pt>
                <c:pt idx="28">
                  <c:v>2.1417658142246401</c:v>
                </c:pt>
                <c:pt idx="29">
                  <c:v>1.1988078649168157</c:v>
                </c:pt>
                <c:pt idx="30">
                  <c:v>0.65298548041178206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5427752"/>
        <c:axId val="485429712"/>
      </c:barChart>
      <c:catAx>
        <c:axId val="485427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5429712"/>
        <c:crosses val="autoZero"/>
        <c:auto val="1"/>
        <c:lblAlgn val="ctr"/>
        <c:lblOffset val="100"/>
        <c:noMultiLvlLbl val="0"/>
      </c:catAx>
      <c:valAx>
        <c:axId val="48542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5427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'Vestas V164'!$B$1</c:f>
              <c:strCache>
                <c:ptCount val="1"/>
                <c:pt idx="0">
                  <c:v>Power[kW]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'Vestas V164'!$A$2:$A$32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'Vestas V164'!$B$2:$B$32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113</c:v>
                </c:pt>
                <c:pt idx="5">
                  <c:v>584</c:v>
                </c:pt>
                <c:pt idx="6" formatCode="#,##0">
                  <c:v>1158</c:v>
                </c:pt>
                <c:pt idx="7" formatCode="#,##0">
                  <c:v>1904</c:v>
                </c:pt>
                <c:pt idx="8" formatCode="#,##0">
                  <c:v>2958</c:v>
                </c:pt>
                <c:pt idx="9" formatCode="#,##0">
                  <c:v>4200</c:v>
                </c:pt>
                <c:pt idx="10" formatCode="#,##0">
                  <c:v>5686</c:v>
                </c:pt>
                <c:pt idx="11" formatCode="#,##0">
                  <c:v>7217</c:v>
                </c:pt>
                <c:pt idx="12" formatCode="#,##0">
                  <c:v>7915</c:v>
                </c:pt>
                <c:pt idx="13" formatCode="#,##0">
                  <c:v>7999</c:v>
                </c:pt>
                <c:pt idx="14" formatCode="#,##0">
                  <c:v>8000</c:v>
                </c:pt>
                <c:pt idx="15" formatCode="#,##0">
                  <c:v>8000</c:v>
                </c:pt>
                <c:pt idx="16" formatCode="#,##0">
                  <c:v>8000</c:v>
                </c:pt>
                <c:pt idx="17" formatCode="#,##0">
                  <c:v>8000</c:v>
                </c:pt>
                <c:pt idx="18" formatCode="#,##0">
                  <c:v>8000</c:v>
                </c:pt>
                <c:pt idx="19" formatCode="#,##0">
                  <c:v>8000</c:v>
                </c:pt>
                <c:pt idx="20" formatCode="#,##0">
                  <c:v>8000</c:v>
                </c:pt>
                <c:pt idx="21" formatCode="#,##0">
                  <c:v>8000</c:v>
                </c:pt>
                <c:pt idx="22" formatCode="#,##0">
                  <c:v>8000</c:v>
                </c:pt>
                <c:pt idx="23" formatCode="#,##0">
                  <c:v>8000</c:v>
                </c:pt>
                <c:pt idx="24" formatCode="#,##0">
                  <c:v>8000</c:v>
                </c:pt>
                <c:pt idx="25" formatCode="#,##0">
                  <c:v>8000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5416776"/>
        <c:axId val="485415600"/>
      </c:barChart>
      <c:catAx>
        <c:axId val="485416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5415600"/>
        <c:crosses val="autoZero"/>
        <c:auto val="1"/>
        <c:lblAlgn val="ctr"/>
        <c:lblOffset val="100"/>
        <c:noMultiLvlLbl val="0"/>
      </c:catAx>
      <c:valAx>
        <c:axId val="48541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5416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'Vestas V164'!$M$1</c:f>
              <c:strCache>
                <c:ptCount val="1"/>
                <c:pt idx="0">
                  <c:v>Opgewekte vermogen[MWh]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'Vestas V164'!$A$2:$A$32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'Vestas V164'!$M$2:$M$32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">
                  <c:v>54.206357452262303</c:v>
                </c:pt>
                <c:pt idx="5" formatCode="0.00">
                  <c:v>339.7384976909272</c:v>
                </c:pt>
                <c:pt idx="6" formatCode="0.00">
                  <c:v>764.03340779816517</c:v>
                </c:pt>
                <c:pt idx="7" formatCode="0.00">
                  <c:v>1351.648717029248</c:v>
                </c:pt>
                <c:pt idx="8" formatCode="0.00">
                  <c:v>2161.4292287156336</c:v>
                </c:pt>
                <c:pt idx="9" formatCode="0.00">
                  <c:v>3037.9138445734607</c:v>
                </c:pt>
                <c:pt idx="10" formatCode="0.00">
                  <c:v>3928.8655377028863</c:v>
                </c:pt>
                <c:pt idx="11" formatCode="0.00">
                  <c:v>4608.3291955529376</c:v>
                </c:pt>
                <c:pt idx="12" formatCode="0.00">
                  <c:v>4525.7831160801798</c:v>
                </c:pt>
                <c:pt idx="13" formatCode="0.00">
                  <c:v>3973.7169414352979</c:v>
                </c:pt>
                <c:pt idx="14" formatCode="0.00">
                  <c:v>3352.9179153534487</c:v>
                </c:pt>
                <c:pt idx="15" formatCode="0.00">
                  <c:v>2748.7644259466947</c:v>
                </c:pt>
                <c:pt idx="16" formatCode="0.00">
                  <c:v>2190.8399005922738</c:v>
                </c:pt>
                <c:pt idx="17" formatCode="0.00">
                  <c:v>1698.2546562854632</c:v>
                </c:pt>
                <c:pt idx="18" formatCode="0.00">
                  <c:v>1280.6571019318703</c:v>
                </c:pt>
                <c:pt idx="19" formatCode="0.00">
                  <c:v>939.69644670278728</c:v>
                </c:pt>
                <c:pt idx="20" formatCode="0.00">
                  <c:v>671.00983439959623</c:v>
                </c:pt>
                <c:pt idx="21" formatCode="0.00">
                  <c:v>466.33618278292829</c:v>
                </c:pt>
                <c:pt idx="22" formatCode="0.00">
                  <c:v>315.44606780870703</c:v>
                </c:pt>
                <c:pt idx="23" formatCode="0.00">
                  <c:v>207.69276390072196</c:v>
                </c:pt>
                <c:pt idx="24" formatCode="0.00">
                  <c:v>133.10438591476748</c:v>
                </c:pt>
                <c:pt idx="25" formatCode="0.00">
                  <c:v>83.029911903270204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5417168"/>
        <c:axId val="485419912"/>
      </c:barChart>
      <c:catAx>
        <c:axId val="48541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5419912"/>
        <c:crosses val="autoZero"/>
        <c:auto val="1"/>
        <c:lblAlgn val="ctr"/>
        <c:lblOffset val="100"/>
        <c:noMultiLvlLbl val="0"/>
      </c:catAx>
      <c:valAx>
        <c:axId val="485419912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5417168"/>
        <c:crosses val="autoZero"/>
        <c:crossBetween val="between"/>
        <c:majorUnit val="500"/>
        <c:min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160020</xdr:colOff>
      <xdr:row>1</xdr:row>
      <xdr:rowOff>12065</xdr:rowOff>
    </xdr:from>
    <xdr:to>
      <xdr:col>28</xdr:col>
      <xdr:colOff>234950</xdr:colOff>
      <xdr:row>23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187960</xdr:colOff>
      <xdr:row>74</xdr:row>
      <xdr:rowOff>60960</xdr:rowOff>
    </xdr:from>
    <xdr:to>
      <xdr:col>11</xdr:col>
      <xdr:colOff>492760</xdr:colOff>
      <xdr:row>89</xdr:row>
      <xdr:rowOff>60960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575945</xdr:colOff>
      <xdr:row>25</xdr:row>
      <xdr:rowOff>144145</xdr:rowOff>
    </xdr:from>
    <xdr:to>
      <xdr:col>25</xdr:col>
      <xdr:colOff>290195</xdr:colOff>
      <xdr:row>40</xdr:row>
      <xdr:rowOff>144145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506095</xdr:colOff>
      <xdr:row>39</xdr:row>
      <xdr:rowOff>35560</xdr:rowOff>
    </xdr:from>
    <xdr:to>
      <xdr:col>17</xdr:col>
      <xdr:colOff>536575</xdr:colOff>
      <xdr:row>54</xdr:row>
      <xdr:rowOff>35560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99695</xdr:colOff>
      <xdr:row>40</xdr:row>
      <xdr:rowOff>13335</xdr:rowOff>
    </xdr:from>
    <xdr:to>
      <xdr:col>9</xdr:col>
      <xdr:colOff>594995</xdr:colOff>
      <xdr:row>55</xdr:row>
      <xdr:rowOff>13335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590550</xdr:colOff>
      <xdr:row>2</xdr:row>
      <xdr:rowOff>23812</xdr:rowOff>
    </xdr:from>
    <xdr:to>
      <xdr:col>26</xdr:col>
      <xdr:colOff>285750</xdr:colOff>
      <xdr:row>16</xdr:row>
      <xdr:rowOff>100012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28575</xdr:colOff>
      <xdr:row>17</xdr:row>
      <xdr:rowOff>52387</xdr:rowOff>
    </xdr:from>
    <xdr:to>
      <xdr:col>26</xdr:col>
      <xdr:colOff>333375</xdr:colOff>
      <xdr:row>31</xdr:row>
      <xdr:rowOff>128587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9525</xdr:colOff>
      <xdr:row>32</xdr:row>
      <xdr:rowOff>42862</xdr:rowOff>
    </xdr:from>
    <xdr:to>
      <xdr:col>26</xdr:col>
      <xdr:colOff>314325</xdr:colOff>
      <xdr:row>46</xdr:row>
      <xdr:rowOff>119062</xdr:rowOff>
    </xdr:to>
    <xdr:graphicFrame macro="">
      <xdr:nvGraphicFramePr>
        <xdr:cNvPr id="5" name="Grafiek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6:Y39" headerRowCount="0" totalsRowShown="0">
  <sortState ref="A6:Y39">
    <sortCondition descending="1" ref="B6:B39"/>
  </sortState>
  <tableColumns count="25">
    <tableColumn id="1" name="Column1"/>
    <tableColumn id="2" name="Column2"/>
    <tableColumn id="3" name="Column3"/>
    <tableColumn id="4" name="Column4" dataDxfId="33">
      <calculatedColumnFormula>ROUNDUP((342/B6),0)</calculatedColumnFormula>
    </tableColumn>
    <tableColumn id="5" name="Column5" dataDxfId="32">
      <calculatedColumnFormula>ROUNDDOWN((380/B6),0)</calculatedColumnFormula>
    </tableColumn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9"/>
  <sheetViews>
    <sheetView tabSelected="1" topLeftCell="A4" zoomScale="90" zoomScaleNormal="90" workbookViewId="0">
      <selection activeCell="H12" sqref="H12"/>
    </sheetView>
  </sheetViews>
  <sheetFormatPr defaultColWidth="8.85546875" defaultRowHeight="15"/>
  <cols>
    <col min="1" max="1" width="27.7109375" customWidth="1"/>
    <col min="2" max="2" width="14.42578125" customWidth="1"/>
    <col min="3" max="3" width="17.5703125" customWidth="1"/>
    <col min="4" max="4" width="9.85546875" customWidth="1"/>
    <col min="5" max="5" width="11" customWidth="1"/>
    <col min="6" max="6" width="17.5703125" customWidth="1"/>
    <col min="7" max="7" width="13"/>
    <col min="8" max="8" width="19.28515625" customWidth="1"/>
    <col min="9" max="9" width="11" customWidth="1"/>
    <col min="10" max="10" width="13.7109375" customWidth="1"/>
    <col min="12" max="12" width="14.7109375" customWidth="1"/>
    <col min="13" max="13" width="15.140625" customWidth="1"/>
    <col min="14" max="14" width="14.7109375" customWidth="1"/>
    <col min="15" max="15" width="18.28515625" customWidth="1"/>
    <col min="16" max="16" width="21" customWidth="1"/>
    <col min="17" max="17" width="18.42578125" customWidth="1"/>
    <col min="18" max="18" width="15.5703125" customWidth="1"/>
  </cols>
  <sheetData>
    <row r="1" spans="1:31">
      <c r="B1" t="s">
        <v>0</v>
      </c>
      <c r="E1">
        <v>5</v>
      </c>
      <c r="I1" t="s">
        <v>1</v>
      </c>
    </row>
    <row r="2" spans="1:31">
      <c r="B2" t="s">
        <v>2</v>
      </c>
      <c r="E2">
        <v>3</v>
      </c>
    </row>
    <row r="3" spans="1:31">
      <c r="B3" t="s">
        <v>3</v>
      </c>
      <c r="E3">
        <v>63.5</v>
      </c>
      <c r="F3" t="s">
        <v>4</v>
      </c>
    </row>
    <row r="5" spans="1:31" ht="60">
      <c r="A5" s="1" t="s">
        <v>5</v>
      </c>
      <c r="B5" s="1" t="s">
        <v>6</v>
      </c>
      <c r="C5" s="1" t="s">
        <v>7</v>
      </c>
      <c r="D5" s="1" t="s">
        <v>99</v>
      </c>
      <c r="E5" s="1" t="s">
        <v>100</v>
      </c>
      <c r="F5" s="1" t="s">
        <v>8</v>
      </c>
      <c r="G5" s="1"/>
      <c r="H5" s="1"/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4" t="s">
        <v>16</v>
      </c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</row>
    <row r="6" spans="1:31">
      <c r="A6" s="12" t="s">
        <v>17</v>
      </c>
      <c r="B6">
        <v>10</v>
      </c>
      <c r="C6">
        <v>150</v>
      </c>
      <c r="D6">
        <f>ROUNDUP((342/B6),0)</f>
        <v>35</v>
      </c>
      <c r="E6">
        <f>ROUNDDOWN((380/B6),0)</f>
        <v>38</v>
      </c>
      <c r="G6" s="2"/>
      <c r="L6" t="s">
        <v>18</v>
      </c>
    </row>
    <row r="7" spans="1:31">
      <c r="A7" s="11" t="s">
        <v>27</v>
      </c>
      <c r="B7">
        <v>10</v>
      </c>
      <c r="C7">
        <v>164</v>
      </c>
      <c r="D7">
        <f>ROUNDUP((342/B7),0)</f>
        <v>35</v>
      </c>
      <c r="E7">
        <f>ROUNDDOWN((380/B7),0)</f>
        <v>38</v>
      </c>
      <c r="G7" s="2"/>
      <c r="L7" t="s">
        <v>28</v>
      </c>
      <c r="M7" s="10"/>
      <c r="N7" s="10"/>
      <c r="O7" s="10"/>
      <c r="P7" t="s">
        <v>29</v>
      </c>
    </row>
    <row r="8" spans="1:31">
      <c r="A8" s="12" t="s">
        <v>64</v>
      </c>
      <c r="B8">
        <v>10</v>
      </c>
      <c r="C8">
        <v>190</v>
      </c>
      <c r="D8">
        <f>ROUNDUP((342/B8),0)</f>
        <v>35</v>
      </c>
      <c r="E8">
        <f>ROUNDDOWN((380/B8),0)</f>
        <v>38</v>
      </c>
      <c r="F8" t="s">
        <v>35</v>
      </c>
      <c r="G8" s="2"/>
      <c r="L8" t="s">
        <v>28</v>
      </c>
      <c r="P8" t="s">
        <v>65</v>
      </c>
    </row>
    <row r="9" spans="1:31">
      <c r="A9" s="11" t="s">
        <v>34</v>
      </c>
      <c r="B9">
        <v>8</v>
      </c>
      <c r="C9">
        <v>154</v>
      </c>
      <c r="D9">
        <f>ROUNDUP((342/B9),0)</f>
        <v>43</v>
      </c>
      <c r="E9">
        <f>ROUNDDOWN((380/B9),0)</f>
        <v>47</v>
      </c>
      <c r="F9" t="s">
        <v>35</v>
      </c>
      <c r="G9" s="2"/>
      <c r="L9" t="s">
        <v>28</v>
      </c>
      <c r="P9" t="s">
        <v>36</v>
      </c>
    </row>
    <row r="10" spans="1:31">
      <c r="A10" t="s">
        <v>52</v>
      </c>
      <c r="B10">
        <v>8</v>
      </c>
      <c r="C10">
        <v>164</v>
      </c>
      <c r="D10">
        <f>ROUNDUP((342/B10),0)</f>
        <v>43</v>
      </c>
      <c r="E10">
        <f>ROUNDDOWN((380/B10),0)</f>
        <v>47</v>
      </c>
      <c r="F10" t="s">
        <v>24</v>
      </c>
      <c r="G10" s="2"/>
      <c r="L10" t="s">
        <v>25</v>
      </c>
      <c r="P10" t="s">
        <v>53</v>
      </c>
    </row>
    <row r="11" spans="1:31" ht="30.95" customHeight="1">
      <c r="A11" s="9" t="s">
        <v>75</v>
      </c>
      <c r="B11">
        <v>8</v>
      </c>
      <c r="C11">
        <v>180</v>
      </c>
      <c r="D11">
        <f>ROUNDUP((342/B11),0)</f>
        <v>43</v>
      </c>
      <c r="E11">
        <f>ROUNDDOWN((380/B11),0)</f>
        <v>47</v>
      </c>
      <c r="G11" s="2"/>
      <c r="L11" t="s">
        <v>25</v>
      </c>
      <c r="P11" t="s">
        <v>76</v>
      </c>
      <c r="AA11" t="s">
        <v>32</v>
      </c>
    </row>
    <row r="12" spans="1:31">
      <c r="A12" t="s">
        <v>56</v>
      </c>
      <c r="B12">
        <v>7</v>
      </c>
      <c r="C12">
        <v>154</v>
      </c>
      <c r="D12">
        <f>ROUNDUP((342/B12),0)</f>
        <v>49</v>
      </c>
      <c r="E12">
        <f>ROUNDDOWN((380/B12),0)</f>
        <v>54</v>
      </c>
      <c r="F12" t="s">
        <v>35</v>
      </c>
      <c r="G12" s="2"/>
      <c r="L12" t="s">
        <v>25</v>
      </c>
      <c r="P12" t="s">
        <v>57</v>
      </c>
      <c r="AA12" t="s">
        <v>32</v>
      </c>
    </row>
    <row r="13" spans="1:31">
      <c r="A13" s="12" t="s">
        <v>79</v>
      </c>
      <c r="B13">
        <v>7</v>
      </c>
      <c r="C13">
        <v>171.2</v>
      </c>
      <c r="D13">
        <f>ROUNDUP((342/B13),0)</f>
        <v>49</v>
      </c>
      <c r="E13">
        <f>ROUNDDOWN((380/B13),0)</f>
        <v>54</v>
      </c>
      <c r="G13" s="2"/>
      <c r="L13" t="s">
        <v>28</v>
      </c>
      <c r="P13" t="s">
        <v>80</v>
      </c>
    </row>
    <row r="14" spans="1:31">
      <c r="A14" s="11" t="s">
        <v>19</v>
      </c>
      <c r="B14">
        <v>6.5</v>
      </c>
      <c r="C14">
        <v>122</v>
      </c>
      <c r="D14">
        <f>ROUNDUP((342/B14),0)</f>
        <v>53</v>
      </c>
      <c r="E14">
        <f>ROUNDDOWN((380/B14),0)</f>
        <v>58</v>
      </c>
      <c r="G14" s="2"/>
      <c r="L14" t="s">
        <v>20</v>
      </c>
    </row>
    <row r="15" spans="1:31">
      <c r="A15" t="s">
        <v>23</v>
      </c>
      <c r="B15">
        <v>6.15</v>
      </c>
      <c r="C15">
        <v>126</v>
      </c>
      <c r="D15">
        <f>ROUNDUP((342/B15),0)</f>
        <v>56</v>
      </c>
      <c r="E15">
        <f>ROUNDDOWN((380/B15),0)</f>
        <v>61</v>
      </c>
      <c r="F15" t="s">
        <v>24</v>
      </c>
      <c r="G15" s="2"/>
      <c r="I15">
        <v>3.5</v>
      </c>
      <c r="J15">
        <v>14</v>
      </c>
      <c r="K15">
        <v>30</v>
      </c>
      <c r="L15" t="s">
        <v>25</v>
      </c>
      <c r="M15" s="10">
        <f>3046/1000</f>
        <v>3.0459999999999998</v>
      </c>
      <c r="N15" s="10">
        <f>IF(G15&gt;96,96*M15,G15*M15)</f>
        <v>0</v>
      </c>
      <c r="O15" s="10">
        <f>0.9*N15</f>
        <v>0</v>
      </c>
      <c r="P15" t="s">
        <v>26</v>
      </c>
    </row>
    <row r="16" spans="1:31">
      <c r="A16" s="9" t="s">
        <v>67</v>
      </c>
      <c r="B16">
        <v>6.15</v>
      </c>
      <c r="C16">
        <v>152</v>
      </c>
      <c r="D16">
        <f>ROUNDUP((342/B16),0)</f>
        <v>56</v>
      </c>
      <c r="E16">
        <f>ROUNDDOWN((380/B16),0)</f>
        <v>61</v>
      </c>
      <c r="G16" s="2"/>
      <c r="L16" t="s">
        <v>25</v>
      </c>
      <c r="P16" t="s">
        <v>68</v>
      </c>
    </row>
    <row r="17" spans="1:16">
      <c r="A17" s="11" t="s">
        <v>21</v>
      </c>
      <c r="B17">
        <v>6</v>
      </c>
      <c r="C17">
        <v>120</v>
      </c>
      <c r="D17">
        <f>ROUNDUP((342/B17),0)</f>
        <v>57</v>
      </c>
      <c r="E17">
        <f>ROUNDDOWN((380/B17),0)</f>
        <v>63</v>
      </c>
      <c r="G17" s="2"/>
      <c r="L17" t="s">
        <v>20</v>
      </c>
      <c r="P17" t="s">
        <v>22</v>
      </c>
    </row>
    <row r="18" spans="1:16">
      <c r="A18" t="s">
        <v>37</v>
      </c>
      <c r="B18">
        <v>6</v>
      </c>
      <c r="C18">
        <v>136</v>
      </c>
      <c r="D18">
        <f>ROUNDUP((342/B18),0)</f>
        <v>57</v>
      </c>
      <c r="E18">
        <f>ROUNDDOWN((380/B18),0)</f>
        <v>63</v>
      </c>
      <c r="G18" s="2"/>
      <c r="L18" t="s">
        <v>25</v>
      </c>
      <c r="P18" t="s">
        <v>38</v>
      </c>
    </row>
    <row r="19" spans="1:16">
      <c r="A19" t="s">
        <v>50</v>
      </c>
      <c r="B19">
        <v>6</v>
      </c>
      <c r="C19">
        <v>140</v>
      </c>
      <c r="D19">
        <f>ROUNDUP((342/B19),0)</f>
        <v>57</v>
      </c>
      <c r="E19">
        <f>ROUNDDOWN((380/B19),0)</f>
        <v>63</v>
      </c>
      <c r="G19" s="2"/>
      <c r="L19" t="s">
        <v>25</v>
      </c>
      <c r="P19" t="s">
        <v>51</v>
      </c>
    </row>
    <row r="20" spans="1:16">
      <c r="A20" s="9" t="s">
        <v>69</v>
      </c>
      <c r="B20">
        <v>6</v>
      </c>
      <c r="C20">
        <v>150</v>
      </c>
      <c r="D20">
        <f>ROUNDUP((342/B20),0)</f>
        <v>57</v>
      </c>
      <c r="E20">
        <f>ROUNDDOWN((380/B20),0)</f>
        <v>63</v>
      </c>
      <c r="G20" s="2"/>
      <c r="L20" t="s">
        <v>25</v>
      </c>
      <c r="P20" t="s">
        <v>70</v>
      </c>
    </row>
    <row r="21" spans="1:16">
      <c r="A21" s="9" t="s">
        <v>71</v>
      </c>
      <c r="B21">
        <v>6</v>
      </c>
      <c r="C21">
        <v>154</v>
      </c>
      <c r="D21">
        <f>ROUNDUP((342/B21),0)</f>
        <v>57</v>
      </c>
      <c r="E21">
        <f>ROUNDDOWN((380/B21),0)</f>
        <v>63</v>
      </c>
      <c r="G21" s="2"/>
      <c r="L21" t="s">
        <v>25</v>
      </c>
      <c r="P21" t="s">
        <v>72</v>
      </c>
    </row>
    <row r="22" spans="1:16">
      <c r="A22" s="9" t="s">
        <v>73</v>
      </c>
      <c r="B22">
        <v>6</v>
      </c>
      <c r="C22">
        <v>155</v>
      </c>
      <c r="D22">
        <f>ROUNDUP((342/B22),0)</f>
        <v>57</v>
      </c>
      <c r="E22">
        <f>ROUNDDOWN((380/B22),0)</f>
        <v>63</v>
      </c>
      <c r="G22" s="2"/>
      <c r="L22" t="s">
        <v>25</v>
      </c>
      <c r="P22" t="s">
        <v>74</v>
      </c>
    </row>
    <row r="23" spans="1:16">
      <c r="A23" s="12" t="s">
        <v>59</v>
      </c>
      <c r="B23">
        <v>5.5</v>
      </c>
      <c r="C23">
        <v>140</v>
      </c>
      <c r="D23">
        <f>ROUNDUP((342/B23),0)</f>
        <v>63</v>
      </c>
      <c r="E23">
        <f>ROUNDDOWN((380/B23),0)</f>
        <v>69</v>
      </c>
      <c r="F23" t="s">
        <v>35</v>
      </c>
      <c r="G23" s="2"/>
      <c r="L23" t="s">
        <v>28</v>
      </c>
      <c r="P23" t="s">
        <v>60</v>
      </c>
    </row>
    <row r="24" spans="1:16">
      <c r="A24" s="9" t="s">
        <v>61</v>
      </c>
      <c r="B24">
        <v>5.5</v>
      </c>
      <c r="C24">
        <v>140</v>
      </c>
      <c r="D24">
        <f>ROUNDUP((342/B24),0)</f>
        <v>63</v>
      </c>
      <c r="E24">
        <f>ROUNDDOWN((380/B24),0)</f>
        <v>69</v>
      </c>
      <c r="G24" s="2"/>
      <c r="L24" t="s">
        <v>25</v>
      </c>
    </row>
    <row r="25" spans="1:16">
      <c r="A25" t="s">
        <v>41</v>
      </c>
      <c r="B25">
        <v>5.2</v>
      </c>
      <c r="C25">
        <v>127</v>
      </c>
      <c r="D25">
        <f>ROUNDUP((342/B25),0)</f>
        <v>66</v>
      </c>
      <c r="E25">
        <f>ROUNDDOWN((380/B25),0)</f>
        <v>73</v>
      </c>
      <c r="G25" s="2"/>
      <c r="L25" t="s">
        <v>25</v>
      </c>
      <c r="P25" t="s">
        <v>42</v>
      </c>
    </row>
    <row r="26" spans="1:16">
      <c r="A26" s="11" t="s">
        <v>43</v>
      </c>
      <c r="B26">
        <v>5.0750000000000002</v>
      </c>
      <c r="C26">
        <v>126</v>
      </c>
      <c r="D26">
        <f>ROUNDUP((342/B26),0)</f>
        <v>68</v>
      </c>
      <c r="E26">
        <f>ROUNDDOWN((380/B26),0)</f>
        <v>74</v>
      </c>
      <c r="G26" s="2"/>
      <c r="L26" t="s">
        <v>20</v>
      </c>
      <c r="P26" t="s">
        <v>44</v>
      </c>
    </row>
    <row r="27" spans="1:16" ht="30">
      <c r="A27" s="3" t="s">
        <v>30</v>
      </c>
      <c r="B27">
        <v>5</v>
      </c>
      <c r="C27">
        <v>116</v>
      </c>
      <c r="D27">
        <f>ROUNDUP((342/B27),0)</f>
        <v>69</v>
      </c>
      <c r="E27">
        <f>ROUNDDOWN((380/B27),0)</f>
        <v>76</v>
      </c>
      <c r="F27" t="s">
        <v>24</v>
      </c>
      <c r="G27" s="2"/>
      <c r="I27">
        <v>3.5</v>
      </c>
      <c r="J27">
        <v>12</v>
      </c>
      <c r="K27">
        <v>25</v>
      </c>
      <c r="L27" t="s">
        <v>25</v>
      </c>
      <c r="M27" s="10">
        <f>2926/1000</f>
        <v>2.9260000000000002</v>
      </c>
      <c r="N27" s="10">
        <f>IF(G27&gt;96,96*M27,G27*M27)</f>
        <v>0</v>
      </c>
      <c r="O27" s="10">
        <f>0.9*N27</f>
        <v>0</v>
      </c>
      <c r="P27" t="s">
        <v>31</v>
      </c>
    </row>
    <row r="28" spans="1:16">
      <c r="A28" s="11" t="s">
        <v>33</v>
      </c>
      <c r="B28">
        <v>5</v>
      </c>
      <c r="C28">
        <v>116</v>
      </c>
      <c r="D28">
        <f>ROUNDUP((342/B28),0)</f>
        <v>69</v>
      </c>
      <c r="E28">
        <f>ROUNDDOWN((380/B28),0)</f>
        <v>76</v>
      </c>
      <c r="F28" t="s">
        <v>24</v>
      </c>
      <c r="G28" s="2"/>
      <c r="I28">
        <v>3.5</v>
      </c>
      <c r="J28">
        <v>12</v>
      </c>
      <c r="K28">
        <v>25</v>
      </c>
      <c r="L28" t="s">
        <v>20</v>
      </c>
    </row>
    <row r="29" spans="1:16">
      <c r="A29" t="s">
        <v>45</v>
      </c>
      <c r="B29">
        <v>5</v>
      </c>
      <c r="C29">
        <v>126</v>
      </c>
      <c r="D29">
        <f>ROUNDUP((342/B29),0)</f>
        <v>69</v>
      </c>
      <c r="E29">
        <f>ROUNDDOWN((380/B29),0)</f>
        <v>76</v>
      </c>
      <c r="G29" s="2"/>
      <c r="L29" t="s">
        <v>25</v>
      </c>
      <c r="P29" t="s">
        <v>46</v>
      </c>
    </row>
    <row r="30" spans="1:16">
      <c r="A30" t="s">
        <v>47</v>
      </c>
      <c r="B30">
        <v>5</v>
      </c>
      <c r="C30">
        <v>126</v>
      </c>
      <c r="D30">
        <f>ROUNDUP((342/B30),0)</f>
        <v>69</v>
      </c>
      <c r="E30">
        <f>ROUNDDOWN((380/B30),0)</f>
        <v>76</v>
      </c>
      <c r="G30" s="2"/>
      <c r="L30" t="s">
        <v>25</v>
      </c>
      <c r="P30" t="s">
        <v>48</v>
      </c>
    </row>
    <row r="31" spans="1:16">
      <c r="A31" t="s">
        <v>49</v>
      </c>
      <c r="B31">
        <v>5</v>
      </c>
      <c r="C31">
        <v>127</v>
      </c>
      <c r="D31">
        <f>ROUNDUP((342/B31),0)</f>
        <v>69</v>
      </c>
      <c r="E31">
        <f>ROUNDDOWN((380/B31),0)</f>
        <v>76</v>
      </c>
      <c r="G31" s="2"/>
      <c r="L31" t="s">
        <v>25</v>
      </c>
    </row>
    <row r="32" spans="1:16">
      <c r="A32" t="s">
        <v>58</v>
      </c>
      <c r="B32">
        <v>5</v>
      </c>
      <c r="C32">
        <v>132</v>
      </c>
      <c r="D32">
        <f>ROUNDUP((342/B32),0)</f>
        <v>69</v>
      </c>
      <c r="E32">
        <f>ROUNDDOWN((380/B32),0)</f>
        <v>76</v>
      </c>
      <c r="G32" s="2"/>
      <c r="L32" t="s">
        <v>25</v>
      </c>
    </row>
    <row r="33" spans="1:16">
      <c r="A33" s="9" t="s">
        <v>66</v>
      </c>
      <c r="B33">
        <v>5</v>
      </c>
      <c r="C33">
        <v>135</v>
      </c>
      <c r="D33">
        <f>ROUNDUP((342/B33),0)</f>
        <v>69</v>
      </c>
      <c r="E33">
        <f>ROUNDDOWN((380/B33),0)</f>
        <v>76</v>
      </c>
      <c r="G33" s="2"/>
      <c r="L33" t="s">
        <v>25</v>
      </c>
    </row>
    <row r="34" spans="1:16">
      <c r="A34" s="9" t="s">
        <v>81</v>
      </c>
      <c r="B34">
        <v>5</v>
      </c>
      <c r="C34">
        <v>151</v>
      </c>
      <c r="D34">
        <f>ROUNDUP((342/B34),0)</f>
        <v>69</v>
      </c>
      <c r="E34">
        <f>ROUNDDOWN((380/B34),0)</f>
        <v>76</v>
      </c>
      <c r="G34" s="2"/>
      <c r="L34" t="s">
        <v>25</v>
      </c>
    </row>
    <row r="35" spans="1:16">
      <c r="A35" s="11" t="s">
        <v>39</v>
      </c>
      <c r="B35">
        <v>4.5</v>
      </c>
      <c r="C35">
        <v>114</v>
      </c>
      <c r="D35">
        <f>ROUNDUP((342/B35),0)</f>
        <v>76</v>
      </c>
      <c r="E35">
        <f>ROUNDDOWN((380/B35),0)</f>
        <v>84</v>
      </c>
      <c r="G35" s="2"/>
      <c r="L35" t="s">
        <v>20</v>
      </c>
      <c r="P35" t="s">
        <v>40</v>
      </c>
    </row>
    <row r="36" spans="1:16">
      <c r="A36" t="s">
        <v>54</v>
      </c>
      <c r="B36">
        <v>4.0999999999999996</v>
      </c>
      <c r="C36">
        <v>113</v>
      </c>
      <c r="D36">
        <f>ROUNDUP((342/B36),0)</f>
        <v>84</v>
      </c>
      <c r="E36">
        <f>ROUNDDOWN((380/B36),0)</f>
        <v>92</v>
      </c>
      <c r="G36" s="2"/>
      <c r="L36" t="s">
        <v>25</v>
      </c>
      <c r="P36" t="s">
        <v>55</v>
      </c>
    </row>
    <row r="37" spans="1:16">
      <c r="A37" s="9" t="s">
        <v>62</v>
      </c>
      <c r="B37">
        <v>4</v>
      </c>
      <c r="C37">
        <v>120</v>
      </c>
      <c r="D37">
        <f>ROUNDUP((342/B37),0)</f>
        <v>86</v>
      </c>
      <c r="E37">
        <f>ROUNDDOWN((380/B37),0)</f>
        <v>95</v>
      </c>
      <c r="G37" s="2"/>
      <c r="L37" t="s">
        <v>25</v>
      </c>
      <c r="P37" t="s">
        <v>63</v>
      </c>
    </row>
    <row r="38" spans="1:16">
      <c r="A38" s="9" t="s">
        <v>77</v>
      </c>
      <c r="B38">
        <v>4</v>
      </c>
      <c r="C38">
        <v>130</v>
      </c>
      <c r="D38">
        <f>ROUNDUP((342/B38),0)</f>
        <v>86</v>
      </c>
      <c r="E38">
        <f>ROUNDDOWN((380/B38),0)</f>
        <v>95</v>
      </c>
      <c r="F38" t="s">
        <v>24</v>
      </c>
      <c r="G38" s="2"/>
      <c r="L38" t="s">
        <v>25</v>
      </c>
      <c r="P38" t="s">
        <v>78</v>
      </c>
    </row>
    <row r="39" spans="1:16">
      <c r="A39" s="9" t="s">
        <v>82</v>
      </c>
      <c r="B39">
        <v>4</v>
      </c>
      <c r="C39">
        <v>136</v>
      </c>
      <c r="D39">
        <f>ROUNDUP((342/B39),0)</f>
        <v>86</v>
      </c>
      <c r="E39">
        <f>ROUNDDOWN((380/B39),0)</f>
        <v>95</v>
      </c>
      <c r="G39" s="2"/>
      <c r="L39" t="s">
        <v>25</v>
      </c>
      <c r="P39" t="s">
        <v>83</v>
      </c>
    </row>
  </sheetData>
  <conditionalFormatting sqref="A6">
    <cfRule type="aboveAverage" dxfId="31" priority="1" aboveAverage="0"/>
    <cfRule type="aboveAverage" dxfId="30" priority="2" aboveAverage="0"/>
  </conditionalFormatting>
  <conditionalFormatting sqref="F6">
    <cfRule type="cellIs" dxfId="29" priority="265" operator="equal">
      <formula>"Ja"</formula>
    </cfRule>
  </conditionalFormatting>
  <conditionalFormatting sqref="F16">
    <cfRule type="cellIs" dxfId="28" priority="244" operator="equal">
      <formula>"Ja"</formula>
    </cfRule>
    <cfRule type="cellIs" dxfId="27" priority="245" operator="equal">
      <formula>"Nee"</formula>
    </cfRule>
  </conditionalFormatting>
  <conditionalFormatting sqref="F17">
    <cfRule type="cellIs" dxfId="26" priority="235" operator="equal">
      <formula>"Ja"</formula>
    </cfRule>
    <cfRule type="cellIs" dxfId="25" priority="236" operator="equal">
      <formula>"Nee"</formula>
    </cfRule>
  </conditionalFormatting>
  <conditionalFormatting sqref="F18">
    <cfRule type="cellIs" dxfId="24" priority="226" operator="equal">
      <formula>"Ja"</formula>
    </cfRule>
    <cfRule type="cellIs" dxfId="23" priority="227" operator="equal">
      <formula>"Nee"</formula>
    </cfRule>
  </conditionalFormatting>
  <conditionalFormatting sqref="F19">
    <cfRule type="cellIs" dxfId="22" priority="217" operator="equal">
      <formula>"Ja"</formula>
    </cfRule>
    <cfRule type="cellIs" dxfId="21" priority="218" operator="equal">
      <formula>"Nee"</formula>
    </cfRule>
  </conditionalFormatting>
  <conditionalFormatting sqref="F20">
    <cfRule type="cellIs" dxfId="20" priority="208" operator="equal">
      <formula>"Ja"</formula>
    </cfRule>
    <cfRule type="cellIs" dxfId="19" priority="209" operator="equal">
      <formula>"Nee"</formula>
    </cfRule>
  </conditionalFormatting>
  <conditionalFormatting sqref="F21">
    <cfRule type="cellIs" dxfId="18" priority="199" operator="equal">
      <formula>"Ja"</formula>
    </cfRule>
    <cfRule type="cellIs" dxfId="17" priority="200" operator="equal">
      <formula>"Nee"</formula>
    </cfRule>
  </conditionalFormatting>
  <conditionalFormatting sqref="F22">
    <cfRule type="cellIs" dxfId="16" priority="190" operator="equal">
      <formula>"Ja"</formula>
    </cfRule>
    <cfRule type="cellIs" dxfId="15" priority="191" operator="equal">
      <formula>"Nee"</formula>
    </cfRule>
  </conditionalFormatting>
  <conditionalFormatting sqref="F23">
    <cfRule type="cellIs" dxfId="14" priority="181" operator="equal">
      <formula>"Ja"</formula>
    </cfRule>
    <cfRule type="cellIs" dxfId="13" priority="182" operator="equal">
      <formula>"Nee"</formula>
    </cfRule>
  </conditionalFormatting>
  <conditionalFormatting sqref="F24">
    <cfRule type="cellIs" dxfId="12" priority="170" operator="equal">
      <formula>"Ja"</formula>
    </cfRule>
    <cfRule type="cellIs" dxfId="11" priority="171" operator="equal">
      <formula>"Nee"</formula>
    </cfRule>
  </conditionalFormatting>
  <conditionalFormatting sqref="A7:A39">
    <cfRule type="aboveAverage" dxfId="10" priority="9" aboveAverage="0"/>
    <cfRule type="aboveAverage" dxfId="9" priority="10" aboveAverage="0"/>
  </conditionalFormatting>
  <conditionalFormatting sqref="G6:G39">
    <cfRule type="cellIs" dxfId="8" priority="73" operator="greaterThan">
      <formula>95</formula>
    </cfRule>
  </conditionalFormatting>
  <conditionalFormatting sqref="F6:F15">
    <cfRule type="cellIs" dxfId="7" priority="263" operator="equal">
      <formula>"Nee"</formula>
    </cfRule>
    <cfRule type="cellIs" dxfId="6" priority="264" operator="equal">
      <formula>"Ja"</formula>
    </cfRule>
  </conditionalFormatting>
  <conditionalFormatting sqref="F6:F39">
    <cfRule type="cellIs" dxfId="5" priority="7" operator="equal">
      <formula>"Nee"</formula>
    </cfRule>
    <cfRule type="cellIs" dxfId="4" priority="8" operator="equal">
      <formula>"Ja"</formula>
    </cfRule>
  </conditionalFormatting>
  <conditionalFormatting sqref="L6:L39">
    <cfRule type="cellIs" dxfId="3" priority="3" operator="equal">
      <formula>"Prototype"</formula>
    </cfRule>
    <cfRule type="cellIs" dxfId="2" priority="4" operator="equal">
      <formula>"Beschikbaar"</formula>
    </cfRule>
    <cfRule type="cellIs" dxfId="1" priority="5" operator="equal">
      <formula>"Cancelled"</formula>
    </cfRule>
    <cfRule type="cellIs" dxfId="0" priority="6" operator="equal">
      <formula>"Discontinued"</formula>
    </cfRule>
  </conditionalFormatting>
  <pageMargins left="0.75" right="0.75" top="1" bottom="1" header="0.51180555555555596" footer="0.51180555555555596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"/>
  <sheetViews>
    <sheetView workbookViewId="0">
      <selection activeCell="H6" sqref="H6"/>
    </sheetView>
  </sheetViews>
  <sheetFormatPr defaultColWidth="8.85546875" defaultRowHeight="15"/>
  <cols>
    <col min="1" max="1" width="14.28515625" customWidth="1"/>
    <col min="2" max="2" width="11.85546875" customWidth="1"/>
    <col min="3" max="3" width="12.5703125" customWidth="1"/>
    <col min="5" max="5" width="14.85546875" customWidth="1"/>
    <col min="8" max="8" width="12.85546875"/>
    <col min="10" max="10" width="12.85546875"/>
    <col min="12" max="12" width="11.7109375" customWidth="1"/>
    <col min="13" max="13" width="12.85546875"/>
    <col min="15" max="15" width="13.28515625" customWidth="1"/>
  </cols>
  <sheetData>
    <row r="1" spans="1:15">
      <c r="A1" t="s">
        <v>84</v>
      </c>
      <c r="C1" t="s">
        <v>85</v>
      </c>
    </row>
    <row r="4" spans="1:15">
      <c r="A4" t="s">
        <v>86</v>
      </c>
      <c r="B4" t="s">
        <v>87</v>
      </c>
      <c r="E4" t="s">
        <v>86</v>
      </c>
      <c r="H4" t="s">
        <v>88</v>
      </c>
      <c r="J4" t="s">
        <v>89</v>
      </c>
      <c r="M4" t="s">
        <v>90</v>
      </c>
    </row>
    <row r="5" spans="1:15">
      <c r="A5">
        <v>0</v>
      </c>
      <c r="B5">
        <v>0</v>
      </c>
      <c r="C5">
        <v>0</v>
      </c>
      <c r="E5">
        <v>0</v>
      </c>
      <c r="H5">
        <f>WEIBULL(A5,2.18,10.9,FALSE)*100</f>
        <v>0</v>
      </c>
      <c r="J5">
        <f>365*24*(H5/100)</f>
        <v>0</v>
      </c>
      <c r="M5">
        <f>(J5*B5)</f>
        <v>0</v>
      </c>
      <c r="O5">
        <f>(J5*C5)</f>
        <v>0</v>
      </c>
    </row>
    <row r="6" spans="1:15">
      <c r="A6">
        <v>1</v>
      </c>
      <c r="B6">
        <v>0</v>
      </c>
      <c r="C6">
        <v>0</v>
      </c>
      <c r="E6">
        <v>1</v>
      </c>
      <c r="H6">
        <f t="shared" ref="H6:H35" si="0">WEIBULL(A6,2.18,10.9,FALSE)*100</f>
        <v>1.1871041489185308</v>
      </c>
      <c r="J6">
        <f t="shared" ref="J6:J35" si="1">365*24*(H6/100)</f>
        <v>103.9903234452633</v>
      </c>
      <c r="M6">
        <f t="shared" ref="M6:M35" si="2">(J6*B6)</f>
        <v>0</v>
      </c>
      <c r="O6">
        <f t="shared" ref="O6:O35" si="3">(J6*C6)</f>
        <v>0</v>
      </c>
    </row>
    <row r="7" spans="1:15">
      <c r="A7">
        <v>2</v>
      </c>
      <c r="B7">
        <v>0</v>
      </c>
      <c r="C7">
        <v>0</v>
      </c>
      <c r="E7">
        <v>2</v>
      </c>
      <c r="H7">
        <f t="shared" si="0"/>
        <v>2.6381929826532615</v>
      </c>
      <c r="J7">
        <f t="shared" si="1"/>
        <v>231.1057052804257</v>
      </c>
      <c r="M7">
        <f t="shared" si="2"/>
        <v>0</v>
      </c>
      <c r="O7">
        <f t="shared" si="3"/>
        <v>0</v>
      </c>
    </row>
    <row r="8" spans="1:15">
      <c r="A8">
        <v>3</v>
      </c>
      <c r="B8">
        <v>10</v>
      </c>
      <c r="C8">
        <v>0</v>
      </c>
      <c r="E8">
        <v>3</v>
      </c>
      <c r="H8">
        <f t="shared" si="0"/>
        <v>4.1095013782006768</v>
      </c>
      <c r="J8">
        <f t="shared" si="1"/>
        <v>359.99232073037933</v>
      </c>
      <c r="M8">
        <f t="shared" si="2"/>
        <v>3599.9232073037933</v>
      </c>
      <c r="O8">
        <f t="shared" si="3"/>
        <v>0</v>
      </c>
    </row>
    <row r="9" spans="1:15">
      <c r="A9">
        <v>4</v>
      </c>
      <c r="B9">
        <v>330</v>
      </c>
      <c r="C9">
        <v>85.6</v>
      </c>
      <c r="E9">
        <v>4</v>
      </c>
      <c r="H9">
        <f t="shared" si="0"/>
        <v>5.4760534056918315</v>
      </c>
      <c r="J9">
        <f t="shared" si="1"/>
        <v>479.70227833860446</v>
      </c>
      <c r="M9">
        <f t="shared" si="2"/>
        <v>158301.75185173948</v>
      </c>
      <c r="O9">
        <f t="shared" si="3"/>
        <v>41062.515025784538</v>
      </c>
    </row>
    <row r="10" spans="1:15">
      <c r="A10">
        <v>5</v>
      </c>
      <c r="B10">
        <v>560</v>
      </c>
      <c r="C10">
        <v>276.2</v>
      </c>
      <c r="E10">
        <v>5</v>
      </c>
      <c r="H10">
        <f t="shared" si="0"/>
        <v>6.6409132750619086</v>
      </c>
      <c r="J10">
        <f t="shared" si="1"/>
        <v>581.74400289542325</v>
      </c>
      <c r="M10">
        <f t="shared" si="2"/>
        <v>325776.64162143704</v>
      </c>
      <c r="O10">
        <f t="shared" si="3"/>
        <v>160677.69359971589</v>
      </c>
    </row>
    <row r="11" spans="1:15">
      <c r="A11">
        <v>6</v>
      </c>
      <c r="B11">
        <v>1000</v>
      </c>
      <c r="C11">
        <v>513.29999999999995</v>
      </c>
      <c r="E11">
        <v>6</v>
      </c>
      <c r="H11">
        <f t="shared" si="0"/>
        <v>7.531815677697387</v>
      </c>
      <c r="J11">
        <f t="shared" si="1"/>
        <v>659.78705336629116</v>
      </c>
      <c r="M11">
        <f t="shared" si="2"/>
        <v>659787.0533662911</v>
      </c>
      <c r="O11">
        <f t="shared" si="3"/>
        <v>338668.69449291722</v>
      </c>
    </row>
    <row r="12" spans="1:15">
      <c r="A12">
        <v>7</v>
      </c>
      <c r="B12">
        <v>1470</v>
      </c>
      <c r="C12">
        <v>879.8</v>
      </c>
      <c r="E12">
        <v>7</v>
      </c>
      <c r="H12">
        <f t="shared" si="0"/>
        <v>8.103875984644489</v>
      </c>
      <c r="J12">
        <f t="shared" si="1"/>
        <v>709.89953625485725</v>
      </c>
      <c r="M12">
        <f t="shared" si="2"/>
        <v>1043552.3182946402</v>
      </c>
      <c r="O12">
        <f t="shared" si="3"/>
        <v>624569.61199702334</v>
      </c>
    </row>
    <row r="13" spans="1:15">
      <c r="A13">
        <v>8</v>
      </c>
      <c r="B13">
        <v>1980</v>
      </c>
      <c r="C13" s="6">
        <v>1319.7</v>
      </c>
      <c r="E13">
        <v>8</v>
      </c>
      <c r="H13">
        <f t="shared" si="0"/>
        <v>8.3413960929251285</v>
      </c>
      <c r="J13">
        <f t="shared" si="1"/>
        <v>730.70629774024121</v>
      </c>
      <c r="M13">
        <f t="shared" si="2"/>
        <v>1446798.4695256776</v>
      </c>
      <c r="O13">
        <f t="shared" si="3"/>
        <v>964313.10112779634</v>
      </c>
    </row>
    <row r="14" spans="1:15">
      <c r="A14">
        <v>9</v>
      </c>
      <c r="B14">
        <v>2800</v>
      </c>
      <c r="C14" s="6">
        <v>1867.9</v>
      </c>
      <c r="E14">
        <v>9</v>
      </c>
      <c r="H14">
        <f t="shared" si="0"/>
        <v>8.2569956636591133</v>
      </c>
      <c r="J14">
        <f t="shared" si="1"/>
        <v>723.31282013653822</v>
      </c>
      <c r="M14">
        <f t="shared" si="2"/>
        <v>2025275.8963823069</v>
      </c>
      <c r="O14">
        <f t="shared" si="3"/>
        <v>1351076.0167330399</v>
      </c>
    </row>
    <row r="15" spans="1:15">
      <c r="A15">
        <v>10</v>
      </c>
      <c r="B15">
        <v>4000</v>
      </c>
      <c r="C15" s="6">
        <v>2643.4</v>
      </c>
      <c r="E15">
        <v>10</v>
      </c>
      <c r="H15">
        <f t="shared" si="0"/>
        <v>7.8878057009824785</v>
      </c>
      <c r="J15">
        <f t="shared" si="1"/>
        <v>690.97177940606514</v>
      </c>
      <c r="M15">
        <f t="shared" si="2"/>
        <v>2763887.1176242605</v>
      </c>
      <c r="O15">
        <f t="shared" si="3"/>
        <v>1826514.8016819926</v>
      </c>
    </row>
    <row r="16" spans="1:15">
      <c r="A16">
        <v>11</v>
      </c>
      <c r="B16">
        <v>4800</v>
      </c>
      <c r="C16" s="6">
        <v>3552.2</v>
      </c>
      <c r="E16">
        <v>11</v>
      </c>
      <c r="H16">
        <f t="shared" si="0"/>
        <v>7.2892472864250273</v>
      </c>
      <c r="J16">
        <f t="shared" si="1"/>
        <v>638.53806229083239</v>
      </c>
      <c r="M16">
        <f t="shared" si="2"/>
        <v>3064982.6989959953</v>
      </c>
      <c r="O16">
        <f t="shared" si="3"/>
        <v>2268214.9048694945</v>
      </c>
    </row>
    <row r="17" spans="1:15">
      <c r="A17">
        <v>12</v>
      </c>
      <c r="B17">
        <v>5000</v>
      </c>
      <c r="C17" s="6">
        <v>4702.3999999999996</v>
      </c>
      <c r="E17">
        <v>12</v>
      </c>
      <c r="H17">
        <f t="shared" si="0"/>
        <v>6.5273772359864948</v>
      </c>
      <c r="J17">
        <f t="shared" si="1"/>
        <v>571.79824587241694</v>
      </c>
      <c r="M17">
        <f t="shared" si="2"/>
        <v>2858991.2293620845</v>
      </c>
      <c r="O17">
        <f t="shared" si="3"/>
        <v>2688824.0713904533</v>
      </c>
    </row>
    <row r="18" spans="1:15">
      <c r="A18">
        <v>13</v>
      </c>
      <c r="B18">
        <v>5000</v>
      </c>
      <c r="C18" s="6">
        <v>5000</v>
      </c>
      <c r="E18">
        <v>13</v>
      </c>
      <c r="H18">
        <f t="shared" si="0"/>
        <v>5.6709670635703011</v>
      </c>
      <c r="J18">
        <f t="shared" si="1"/>
        <v>496.77671476875832</v>
      </c>
      <c r="M18">
        <f t="shared" si="2"/>
        <v>2483883.5738437916</v>
      </c>
      <c r="O18">
        <f t="shared" si="3"/>
        <v>2483883.5738437916</v>
      </c>
    </row>
    <row r="19" spans="1:15">
      <c r="A19">
        <v>14</v>
      </c>
      <c r="B19">
        <v>5000</v>
      </c>
      <c r="C19">
        <v>5000</v>
      </c>
      <c r="E19">
        <v>14</v>
      </c>
      <c r="H19">
        <f t="shared" si="0"/>
        <v>4.7844148335522956</v>
      </c>
      <c r="J19">
        <f t="shared" si="1"/>
        <v>419.11473941918109</v>
      </c>
      <c r="M19">
        <f t="shared" si="2"/>
        <v>2095573.6970959054</v>
      </c>
      <c r="O19">
        <f t="shared" si="3"/>
        <v>2095573.6970959054</v>
      </c>
    </row>
    <row r="20" spans="1:15">
      <c r="A20">
        <v>15</v>
      </c>
      <c r="B20">
        <v>5000</v>
      </c>
      <c r="C20">
        <v>5000</v>
      </c>
      <c r="E20">
        <v>15</v>
      </c>
      <c r="H20">
        <f t="shared" si="0"/>
        <v>3.9223236671613795</v>
      </c>
      <c r="J20">
        <f t="shared" si="1"/>
        <v>343.59555324333684</v>
      </c>
      <c r="M20">
        <f t="shared" si="2"/>
        <v>1717977.7662166841</v>
      </c>
      <c r="O20">
        <f t="shared" si="3"/>
        <v>1717977.7662166841</v>
      </c>
    </row>
    <row r="21" spans="1:15">
      <c r="A21">
        <v>16</v>
      </c>
      <c r="B21">
        <v>5000</v>
      </c>
      <c r="C21">
        <v>5000</v>
      </c>
      <c r="E21">
        <v>16</v>
      </c>
      <c r="H21">
        <f t="shared" si="0"/>
        <v>3.126198488288062</v>
      </c>
      <c r="J21">
        <f t="shared" si="1"/>
        <v>273.85498757403423</v>
      </c>
      <c r="M21">
        <f t="shared" si="2"/>
        <v>1369274.9378701712</v>
      </c>
      <c r="O21">
        <f t="shared" si="3"/>
        <v>1369274.9378701712</v>
      </c>
    </row>
    <row r="22" spans="1:15">
      <c r="A22">
        <v>17</v>
      </c>
      <c r="B22">
        <v>5000</v>
      </c>
      <c r="C22">
        <v>5000</v>
      </c>
      <c r="E22">
        <v>17</v>
      </c>
      <c r="H22">
        <f t="shared" si="0"/>
        <v>2.4233085848822249</v>
      </c>
      <c r="J22">
        <f t="shared" si="1"/>
        <v>212.2818320356829</v>
      </c>
      <c r="M22">
        <f t="shared" si="2"/>
        <v>1061409.1601784145</v>
      </c>
      <c r="O22">
        <f t="shared" si="3"/>
        <v>1061409.1601784145</v>
      </c>
    </row>
    <row r="23" spans="1:15">
      <c r="A23">
        <v>18</v>
      </c>
      <c r="B23">
        <v>5000</v>
      </c>
      <c r="C23">
        <v>5000</v>
      </c>
      <c r="E23">
        <v>18</v>
      </c>
      <c r="H23">
        <f t="shared" si="0"/>
        <v>1.8274216637155682</v>
      </c>
      <c r="J23">
        <f t="shared" si="1"/>
        <v>160.08213774148376</v>
      </c>
      <c r="M23">
        <f t="shared" si="2"/>
        <v>800410.68870741886</v>
      </c>
      <c r="O23">
        <f t="shared" si="3"/>
        <v>800410.68870741886</v>
      </c>
    </row>
    <row r="24" spans="1:15">
      <c r="A24">
        <v>19</v>
      </c>
      <c r="B24">
        <v>5000</v>
      </c>
      <c r="C24">
        <v>5000</v>
      </c>
      <c r="E24">
        <v>19</v>
      </c>
      <c r="H24">
        <f t="shared" si="0"/>
        <v>1.3408910483772649</v>
      </c>
      <c r="J24">
        <f t="shared" si="1"/>
        <v>117.46205583784841</v>
      </c>
      <c r="M24">
        <f t="shared" si="2"/>
        <v>587310.27918924205</v>
      </c>
      <c r="O24">
        <f t="shared" si="3"/>
        <v>587310.27918924205</v>
      </c>
    </row>
    <row r="25" spans="1:15">
      <c r="A25">
        <v>20</v>
      </c>
      <c r="B25">
        <v>5000</v>
      </c>
      <c r="C25">
        <v>5000</v>
      </c>
      <c r="E25">
        <v>20</v>
      </c>
      <c r="H25">
        <f t="shared" si="0"/>
        <v>0.95749120205421834</v>
      </c>
      <c r="J25">
        <f t="shared" si="1"/>
        <v>83.876229299949529</v>
      </c>
      <c r="M25">
        <f t="shared" si="2"/>
        <v>419381.14649974764</v>
      </c>
      <c r="O25">
        <f t="shared" si="3"/>
        <v>419381.14649974764</v>
      </c>
    </row>
    <row r="26" spans="1:15">
      <c r="A26">
        <v>21</v>
      </c>
      <c r="B26">
        <v>5000</v>
      </c>
      <c r="C26">
        <v>5000</v>
      </c>
      <c r="E26">
        <v>21</v>
      </c>
      <c r="H26">
        <f t="shared" si="0"/>
        <v>0.66543405077472639</v>
      </c>
      <c r="J26">
        <f t="shared" si="1"/>
        <v>58.292022847866036</v>
      </c>
      <c r="M26">
        <f t="shared" si="2"/>
        <v>291460.11423933017</v>
      </c>
      <c r="O26">
        <f t="shared" si="3"/>
        <v>291460.11423933017</v>
      </c>
    </row>
    <row r="27" spans="1:15">
      <c r="A27">
        <v>22</v>
      </c>
      <c r="B27">
        <v>5000</v>
      </c>
      <c r="C27">
        <v>5000</v>
      </c>
      <c r="E27">
        <v>22</v>
      </c>
      <c r="H27">
        <f t="shared" si="0"/>
        <v>0.45012281365397694</v>
      </c>
      <c r="J27">
        <f t="shared" si="1"/>
        <v>39.430758476088378</v>
      </c>
      <c r="M27">
        <f t="shared" si="2"/>
        <v>197153.79238044188</v>
      </c>
      <c r="O27">
        <f t="shared" si="3"/>
        <v>197153.79238044188</v>
      </c>
    </row>
    <row r="28" spans="1:15">
      <c r="A28">
        <v>23</v>
      </c>
      <c r="B28">
        <v>5000</v>
      </c>
      <c r="C28">
        <v>5000</v>
      </c>
      <c r="E28">
        <v>23</v>
      </c>
      <c r="H28">
        <f t="shared" si="0"/>
        <v>0.29636524529212604</v>
      </c>
      <c r="J28">
        <f t="shared" si="1"/>
        <v>25.961595487590245</v>
      </c>
      <c r="M28">
        <f t="shared" si="2"/>
        <v>129807.97743795122</v>
      </c>
      <c r="O28">
        <f t="shared" si="3"/>
        <v>129807.97743795122</v>
      </c>
    </row>
    <row r="29" spans="1:15">
      <c r="A29">
        <v>24</v>
      </c>
      <c r="B29">
        <v>5000</v>
      </c>
      <c r="C29">
        <v>5000</v>
      </c>
      <c r="E29">
        <v>24</v>
      </c>
      <c r="H29">
        <f t="shared" si="0"/>
        <v>0.18993205752678008</v>
      </c>
      <c r="J29">
        <f t="shared" si="1"/>
        <v>16.638048239345935</v>
      </c>
      <c r="M29">
        <f t="shared" si="2"/>
        <v>83190.241196729679</v>
      </c>
      <c r="O29">
        <f t="shared" si="3"/>
        <v>83190.241196729679</v>
      </c>
    </row>
    <row r="30" spans="1:15">
      <c r="A30">
        <v>25</v>
      </c>
      <c r="B30">
        <v>5000</v>
      </c>
      <c r="C30">
        <v>5000</v>
      </c>
      <c r="E30">
        <v>25</v>
      </c>
      <c r="H30">
        <f t="shared" si="0"/>
        <v>0.11847875556973489</v>
      </c>
      <c r="J30">
        <f t="shared" si="1"/>
        <v>10.378738987908775</v>
      </c>
      <c r="M30">
        <f t="shared" si="2"/>
        <v>51893.694939543879</v>
      </c>
      <c r="O30">
        <f t="shared" si="3"/>
        <v>51893.694939543879</v>
      </c>
    </row>
    <row r="31" spans="1:15">
      <c r="A31">
        <v>26</v>
      </c>
      <c r="B31">
        <v>0</v>
      </c>
      <c r="C31">
        <v>0</v>
      </c>
      <c r="E31">
        <v>26</v>
      </c>
      <c r="H31">
        <f t="shared" si="0"/>
        <v>7.1935592265598716E-2</v>
      </c>
      <c r="J31">
        <f t="shared" si="1"/>
        <v>6.3015578824664473</v>
      </c>
      <c r="M31">
        <f t="shared" si="2"/>
        <v>0</v>
      </c>
      <c r="O31">
        <f t="shared" si="3"/>
        <v>0</v>
      </c>
    </row>
    <row r="32" spans="1:15">
      <c r="A32">
        <v>27</v>
      </c>
      <c r="B32">
        <v>0</v>
      </c>
      <c r="C32">
        <v>0</v>
      </c>
      <c r="E32">
        <v>27</v>
      </c>
      <c r="H32">
        <f t="shared" si="0"/>
        <v>4.2510173573753147E-2</v>
      </c>
      <c r="J32">
        <f t="shared" si="1"/>
        <v>3.723891205060776</v>
      </c>
      <c r="M32">
        <f t="shared" si="2"/>
        <v>0</v>
      </c>
      <c r="O32">
        <f t="shared" si="3"/>
        <v>0</v>
      </c>
    </row>
    <row r="33" spans="1:15">
      <c r="A33">
        <v>28</v>
      </c>
      <c r="B33">
        <v>0</v>
      </c>
      <c r="C33">
        <v>0</v>
      </c>
      <c r="E33">
        <v>28</v>
      </c>
      <c r="H33">
        <f t="shared" si="0"/>
        <v>2.4449381440920546E-2</v>
      </c>
      <c r="J33">
        <f t="shared" si="1"/>
        <v>2.1417658142246401</v>
      </c>
      <c r="M33">
        <f t="shared" si="2"/>
        <v>0</v>
      </c>
      <c r="O33">
        <f t="shared" si="3"/>
        <v>0</v>
      </c>
    </row>
    <row r="34" spans="1:15">
      <c r="A34">
        <v>29</v>
      </c>
      <c r="B34">
        <v>0</v>
      </c>
      <c r="C34">
        <v>0</v>
      </c>
      <c r="E34">
        <v>29</v>
      </c>
      <c r="H34">
        <f t="shared" si="0"/>
        <v>1.3685021289004746E-2</v>
      </c>
      <c r="J34">
        <f t="shared" si="1"/>
        <v>1.1988078649168157</v>
      </c>
      <c r="M34">
        <f t="shared" si="2"/>
        <v>0</v>
      </c>
      <c r="O34">
        <f t="shared" si="3"/>
        <v>0</v>
      </c>
    </row>
    <row r="35" spans="1:15">
      <c r="A35">
        <v>30</v>
      </c>
      <c r="B35">
        <v>0</v>
      </c>
      <c r="C35">
        <v>0</v>
      </c>
      <c r="E35">
        <v>30</v>
      </c>
      <c r="H35">
        <f t="shared" si="0"/>
        <v>7.4541721508194301E-3</v>
      </c>
      <c r="J35">
        <f t="shared" si="1"/>
        <v>0.65298548041178206</v>
      </c>
      <c r="M35">
        <f t="shared" si="2"/>
        <v>0</v>
      </c>
      <c r="O35">
        <f t="shared" si="3"/>
        <v>0</v>
      </c>
    </row>
    <row r="37" spans="1:15">
      <c r="K37" t="s">
        <v>91</v>
      </c>
      <c r="M37">
        <f>SUM(M5:M35)</f>
        <v>25639680.170027107</v>
      </c>
      <c r="O37">
        <f>SUM(O5:O35)</f>
        <v>21552648.480713591</v>
      </c>
    </row>
    <row r="38" spans="1:15">
      <c r="K38" t="s">
        <v>92</v>
      </c>
      <c r="M38">
        <f>M37/(365*24)</f>
        <v>2926.904128998528</v>
      </c>
      <c r="O38">
        <f>O37/(365*24)</f>
        <v>2460.3480000814602</v>
      </c>
    </row>
    <row r="39" spans="1:15">
      <c r="K39" t="s">
        <v>93</v>
      </c>
      <c r="M39">
        <f>(M38/8000)*100</f>
        <v>36.586301612481599</v>
      </c>
      <c r="O39" t="e">
        <f>O37/Sheet1!#REF!</f>
        <v>#REF!</v>
      </c>
    </row>
    <row r="75" spans="1:2">
      <c r="A75">
        <v>2</v>
      </c>
      <c r="B75">
        <v>0</v>
      </c>
    </row>
    <row r="76" spans="1:2">
      <c r="A76">
        <v>3</v>
      </c>
      <c r="B76">
        <v>10</v>
      </c>
    </row>
    <row r="77" spans="1:2">
      <c r="A77">
        <v>4</v>
      </c>
      <c r="B77">
        <v>330</v>
      </c>
    </row>
    <row r="78" spans="1:2">
      <c r="A78">
        <v>5</v>
      </c>
      <c r="B78">
        <v>560</v>
      </c>
    </row>
    <row r="79" spans="1:2">
      <c r="A79">
        <v>6</v>
      </c>
      <c r="B79">
        <v>1000</v>
      </c>
    </row>
    <row r="80" spans="1:2">
      <c r="A80">
        <v>7</v>
      </c>
      <c r="B80">
        <v>1470</v>
      </c>
    </row>
    <row r="81" spans="1:2">
      <c r="A81">
        <v>8</v>
      </c>
      <c r="B81">
        <v>1980</v>
      </c>
    </row>
    <row r="82" spans="1:2">
      <c r="A82">
        <v>9</v>
      </c>
      <c r="B82">
        <v>2800</v>
      </c>
    </row>
    <row r="83" spans="1:2">
      <c r="A83">
        <v>10</v>
      </c>
      <c r="B83">
        <v>4000</v>
      </c>
    </row>
    <row r="84" spans="1:2">
      <c r="A84">
        <v>11</v>
      </c>
      <c r="B84">
        <v>4800</v>
      </c>
    </row>
    <row r="85" spans="1:2">
      <c r="A85">
        <v>12</v>
      </c>
      <c r="B85">
        <v>5000</v>
      </c>
    </row>
    <row r="90" spans="1:2">
      <c r="B90">
        <v>9.44</v>
      </c>
    </row>
    <row r="92" spans="1:2">
      <c r="B92">
        <f>-0.0727*(B90^6)+2.3619*(B90^5)-28.739*(B90^4)+162.81*(B90^3)-380.22*(B90^2)+295.01*B90</f>
        <v>3252.7164736810323</v>
      </c>
    </row>
  </sheetData>
  <pageMargins left="0.75" right="0.75" top="1" bottom="1" header="0.51180555555555596" footer="0.51180555555555596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92"/>
  <sheetViews>
    <sheetView topLeftCell="A25" zoomScale="90" zoomScaleNormal="90" workbookViewId="0">
      <selection activeCell="AC20" sqref="AC20"/>
    </sheetView>
  </sheetViews>
  <sheetFormatPr defaultColWidth="8.85546875" defaultRowHeight="15"/>
  <cols>
    <col min="1" max="1" width="16.5703125" customWidth="1"/>
    <col min="4" max="4" width="10.7109375"/>
    <col min="5" max="5" width="15" customWidth="1"/>
    <col min="12" max="12" width="12.28515625" customWidth="1"/>
    <col min="13" max="13" width="12.85546875"/>
    <col min="15" max="15" width="20.42578125" customWidth="1"/>
    <col min="21" max="21" width="12.140625" bestFit="1" customWidth="1"/>
  </cols>
  <sheetData>
    <row r="3" spans="1:15">
      <c r="A3" t="s">
        <v>86</v>
      </c>
      <c r="B3" t="s">
        <v>87</v>
      </c>
      <c r="E3" t="s">
        <v>86</v>
      </c>
      <c r="H3" t="s">
        <v>88</v>
      </c>
      <c r="J3" t="s">
        <v>89</v>
      </c>
      <c r="M3" t="s">
        <v>90</v>
      </c>
    </row>
    <row r="4" spans="1:15">
      <c r="A4">
        <v>0</v>
      </c>
      <c r="B4">
        <v>0</v>
      </c>
      <c r="C4">
        <v>0</v>
      </c>
      <c r="E4">
        <v>0</v>
      </c>
      <c r="H4">
        <f>WEIBULL(A4,2.18,10.9,FALSE)*100</f>
        <v>0</v>
      </c>
      <c r="J4">
        <f t="shared" ref="J4:J34" si="0">365*24*(H4/100)</f>
        <v>0</v>
      </c>
      <c r="M4">
        <f t="shared" ref="M4:M11" si="1">(J4*B4)</f>
        <v>0</v>
      </c>
      <c r="O4">
        <f>J4*C4</f>
        <v>0</v>
      </c>
    </row>
    <row r="5" spans="1:15">
      <c r="A5">
        <v>1</v>
      </c>
      <c r="B5">
        <v>0</v>
      </c>
      <c r="C5">
        <v>0</v>
      </c>
      <c r="E5">
        <v>1</v>
      </c>
      <c r="H5">
        <f t="shared" ref="H5:H34" si="2">WEIBULL(A5,2.18,10.9,FALSE)*100</f>
        <v>1.1871041489185308</v>
      </c>
      <c r="J5">
        <f t="shared" si="0"/>
        <v>103.9903234452633</v>
      </c>
      <c r="M5">
        <f t="shared" si="1"/>
        <v>0</v>
      </c>
      <c r="O5">
        <f t="shared" ref="O5:O34" si="3">J5*C5</f>
        <v>0</v>
      </c>
    </row>
    <row r="6" spans="1:15">
      <c r="A6">
        <v>2</v>
      </c>
      <c r="B6">
        <v>0</v>
      </c>
      <c r="C6">
        <v>0</v>
      </c>
      <c r="E6">
        <v>2</v>
      </c>
      <c r="H6">
        <f t="shared" si="2"/>
        <v>2.6381929826532615</v>
      </c>
      <c r="J6">
        <f t="shared" si="0"/>
        <v>231.1057052804257</v>
      </c>
      <c r="M6">
        <f t="shared" si="1"/>
        <v>0</v>
      </c>
      <c r="O6">
        <f t="shared" si="3"/>
        <v>0</v>
      </c>
    </row>
    <row r="7" spans="1:15">
      <c r="A7">
        <v>3</v>
      </c>
      <c r="B7">
        <v>0</v>
      </c>
      <c r="C7">
        <v>0</v>
      </c>
      <c r="E7">
        <v>3</v>
      </c>
      <c r="H7">
        <f t="shared" si="2"/>
        <v>4.1095013782006768</v>
      </c>
      <c r="J7">
        <f t="shared" si="0"/>
        <v>359.99232073037933</v>
      </c>
      <c r="M7">
        <f t="shared" si="1"/>
        <v>0</v>
      </c>
      <c r="O7">
        <f t="shared" si="3"/>
        <v>0</v>
      </c>
    </row>
    <row r="8" spans="1:15">
      <c r="A8">
        <v>4</v>
      </c>
      <c r="B8">
        <v>109</v>
      </c>
      <c r="C8">
        <v>101</v>
      </c>
      <c r="E8">
        <v>4</v>
      </c>
      <c r="H8">
        <f t="shared" si="2"/>
        <v>5.4760534056918315</v>
      </c>
      <c r="J8">
        <f t="shared" si="0"/>
        <v>479.70227833860446</v>
      </c>
      <c r="M8">
        <f t="shared" si="1"/>
        <v>52287.548338907887</v>
      </c>
      <c r="O8">
        <f t="shared" si="3"/>
        <v>48449.93011219905</v>
      </c>
    </row>
    <row r="9" spans="1:15">
      <c r="A9">
        <v>5</v>
      </c>
      <c r="B9">
        <v>313</v>
      </c>
      <c r="C9">
        <v>347</v>
      </c>
      <c r="E9">
        <v>5</v>
      </c>
      <c r="H9">
        <f t="shared" si="2"/>
        <v>6.6409132750619086</v>
      </c>
      <c r="J9">
        <f t="shared" si="0"/>
        <v>581.74400289542325</v>
      </c>
      <c r="M9">
        <f t="shared" si="1"/>
        <v>182085.87290626747</v>
      </c>
      <c r="O9">
        <f t="shared" si="3"/>
        <v>201865.16900471188</v>
      </c>
    </row>
    <row r="10" spans="1:15">
      <c r="A10">
        <v>6</v>
      </c>
      <c r="B10">
        <v>625</v>
      </c>
      <c r="C10">
        <v>700</v>
      </c>
      <c r="E10">
        <v>6</v>
      </c>
      <c r="H10">
        <f t="shared" si="2"/>
        <v>7.531815677697387</v>
      </c>
      <c r="J10">
        <f t="shared" si="0"/>
        <v>659.78705336629116</v>
      </c>
      <c r="M10">
        <f t="shared" si="1"/>
        <v>412366.90835393197</v>
      </c>
      <c r="O10">
        <f t="shared" si="3"/>
        <v>461850.9373564038</v>
      </c>
    </row>
    <row r="11" spans="1:15">
      <c r="A11">
        <v>7</v>
      </c>
      <c r="B11">
        <v>1085</v>
      </c>
      <c r="C11" s="6">
        <v>1180</v>
      </c>
      <c r="E11">
        <v>7</v>
      </c>
      <c r="H11">
        <f t="shared" si="2"/>
        <v>8.103875984644489</v>
      </c>
      <c r="J11">
        <f t="shared" si="0"/>
        <v>709.89953625485725</v>
      </c>
      <c r="M11">
        <f t="shared" si="1"/>
        <v>770240.99683652015</v>
      </c>
      <c r="O11">
        <f t="shared" si="3"/>
        <v>837681.4527807316</v>
      </c>
    </row>
    <row r="12" spans="1:15">
      <c r="A12">
        <v>8</v>
      </c>
      <c r="B12">
        <v>1700</v>
      </c>
      <c r="C12" s="6">
        <v>1805</v>
      </c>
      <c r="E12">
        <v>8</v>
      </c>
      <c r="H12">
        <f t="shared" si="2"/>
        <v>8.3413960929251285</v>
      </c>
      <c r="J12">
        <f t="shared" si="0"/>
        <v>730.70629774024121</v>
      </c>
      <c r="M12">
        <f t="shared" ref="M12:M34" si="4">(J12*B12)</f>
        <v>1242200.7061584101</v>
      </c>
      <c r="O12">
        <f t="shared" si="3"/>
        <v>1318924.8674211353</v>
      </c>
    </row>
    <row r="13" spans="1:15">
      <c r="A13">
        <v>9</v>
      </c>
      <c r="B13">
        <v>2450</v>
      </c>
      <c r="C13" s="6">
        <v>2590</v>
      </c>
      <c r="E13">
        <v>9</v>
      </c>
      <c r="H13">
        <f t="shared" si="2"/>
        <v>8.2569956636591133</v>
      </c>
      <c r="J13">
        <f t="shared" si="0"/>
        <v>723.31282013653822</v>
      </c>
      <c r="M13">
        <f t="shared" si="4"/>
        <v>1772116.4093345187</v>
      </c>
      <c r="O13">
        <f t="shared" si="3"/>
        <v>1873380.2041536339</v>
      </c>
    </row>
    <row r="14" spans="1:15">
      <c r="A14">
        <v>10</v>
      </c>
      <c r="B14">
        <v>3360</v>
      </c>
      <c r="C14" s="6">
        <v>3444</v>
      </c>
      <c r="E14">
        <v>10</v>
      </c>
      <c r="H14">
        <f t="shared" si="2"/>
        <v>7.8878057009824785</v>
      </c>
      <c r="J14">
        <f t="shared" si="0"/>
        <v>690.97177940606514</v>
      </c>
      <c r="M14">
        <f t="shared" si="4"/>
        <v>2321665.178804379</v>
      </c>
      <c r="O14">
        <f t="shared" si="3"/>
        <v>2379706.8082744884</v>
      </c>
    </row>
    <row r="15" spans="1:15">
      <c r="A15">
        <v>11</v>
      </c>
      <c r="B15">
        <v>4405</v>
      </c>
      <c r="C15" s="6">
        <v>4363</v>
      </c>
      <c r="E15">
        <v>11</v>
      </c>
      <c r="H15">
        <f t="shared" si="2"/>
        <v>7.2892472864250273</v>
      </c>
      <c r="J15">
        <f t="shared" si="0"/>
        <v>638.53806229083239</v>
      </c>
      <c r="M15">
        <f t="shared" si="4"/>
        <v>2812760.1643911167</v>
      </c>
      <c r="O15">
        <f t="shared" si="3"/>
        <v>2785941.5657749018</v>
      </c>
    </row>
    <row r="16" spans="1:15">
      <c r="A16">
        <v>12</v>
      </c>
      <c r="B16">
        <v>5390</v>
      </c>
      <c r="C16" s="6">
        <v>5252</v>
      </c>
      <c r="E16">
        <v>12</v>
      </c>
      <c r="H16">
        <f t="shared" si="2"/>
        <v>6.5273772359864948</v>
      </c>
      <c r="J16">
        <f t="shared" si="0"/>
        <v>571.79824587241694</v>
      </c>
      <c r="M16">
        <f t="shared" si="4"/>
        <v>3081992.5452523273</v>
      </c>
      <c r="O16">
        <f t="shared" si="3"/>
        <v>3003084.3873219336</v>
      </c>
    </row>
    <row r="17" spans="1:15">
      <c r="A17">
        <v>13</v>
      </c>
      <c r="B17">
        <v>6100</v>
      </c>
      <c r="C17" s="6">
        <v>5889</v>
      </c>
      <c r="E17">
        <v>13</v>
      </c>
      <c r="H17">
        <f t="shared" si="2"/>
        <v>5.6709670635703011</v>
      </c>
      <c r="J17">
        <f t="shared" si="0"/>
        <v>496.77671476875832</v>
      </c>
      <c r="M17">
        <f t="shared" si="4"/>
        <v>3030337.9600894256</v>
      </c>
      <c r="O17">
        <f t="shared" si="3"/>
        <v>2925518.0732732178</v>
      </c>
    </row>
    <row r="18" spans="1:15">
      <c r="A18">
        <v>14</v>
      </c>
      <c r="B18">
        <v>6200</v>
      </c>
      <c r="C18" s="6">
        <v>6138</v>
      </c>
      <c r="E18">
        <v>14</v>
      </c>
      <c r="H18">
        <f t="shared" si="2"/>
        <v>4.7844148335522956</v>
      </c>
      <c r="J18">
        <f t="shared" si="0"/>
        <v>419.11473941918109</v>
      </c>
      <c r="M18">
        <f t="shared" si="4"/>
        <v>2598511.3843989228</v>
      </c>
      <c r="O18">
        <f t="shared" si="3"/>
        <v>2572526.2705549337</v>
      </c>
    </row>
    <row r="19" spans="1:15">
      <c r="A19">
        <v>15</v>
      </c>
      <c r="B19">
        <v>6200</v>
      </c>
      <c r="C19" s="6">
        <v>6150</v>
      </c>
      <c r="E19">
        <v>15</v>
      </c>
      <c r="H19">
        <f t="shared" si="2"/>
        <v>3.9223236671613795</v>
      </c>
      <c r="J19">
        <f t="shared" si="0"/>
        <v>343.59555324333684</v>
      </c>
      <c r="M19">
        <f t="shared" si="4"/>
        <v>2130292.4301086883</v>
      </c>
      <c r="O19">
        <f t="shared" si="3"/>
        <v>2113112.6524465214</v>
      </c>
    </row>
    <row r="20" spans="1:15">
      <c r="A20">
        <v>16</v>
      </c>
      <c r="B20">
        <v>6200</v>
      </c>
      <c r="C20" s="6">
        <v>6150</v>
      </c>
      <c r="E20">
        <v>16</v>
      </c>
      <c r="H20">
        <f t="shared" si="2"/>
        <v>3.126198488288062</v>
      </c>
      <c r="J20">
        <f t="shared" si="0"/>
        <v>273.85498757403423</v>
      </c>
      <c r="M20">
        <f t="shared" si="4"/>
        <v>1697900.9229590122</v>
      </c>
      <c r="O20">
        <f t="shared" si="3"/>
        <v>1684208.1735803105</v>
      </c>
    </row>
    <row r="21" spans="1:15">
      <c r="A21">
        <v>17</v>
      </c>
      <c r="B21">
        <v>6200</v>
      </c>
      <c r="C21" s="6">
        <v>6150</v>
      </c>
      <c r="E21">
        <v>17</v>
      </c>
      <c r="H21">
        <f t="shared" si="2"/>
        <v>2.4233085848822249</v>
      </c>
      <c r="J21">
        <f t="shared" si="0"/>
        <v>212.2818320356829</v>
      </c>
      <c r="M21">
        <f t="shared" si="4"/>
        <v>1316147.3586212338</v>
      </c>
      <c r="O21">
        <f t="shared" si="3"/>
        <v>1305533.2670194497</v>
      </c>
    </row>
    <row r="22" spans="1:15">
      <c r="A22">
        <v>18</v>
      </c>
      <c r="B22">
        <v>6200</v>
      </c>
      <c r="C22" s="6">
        <v>6150</v>
      </c>
      <c r="E22">
        <v>18</v>
      </c>
      <c r="H22">
        <f t="shared" si="2"/>
        <v>1.8274216637155682</v>
      </c>
      <c r="J22">
        <f t="shared" si="0"/>
        <v>160.08213774148376</v>
      </c>
      <c r="M22">
        <f t="shared" si="4"/>
        <v>992509.25399719935</v>
      </c>
      <c r="O22">
        <f t="shared" si="3"/>
        <v>984505.14711012517</v>
      </c>
    </row>
    <row r="23" spans="1:15">
      <c r="A23">
        <v>19</v>
      </c>
      <c r="B23">
        <v>6200</v>
      </c>
      <c r="C23" s="6">
        <v>6150</v>
      </c>
      <c r="E23">
        <v>19</v>
      </c>
      <c r="H23">
        <f t="shared" si="2"/>
        <v>1.3408910483772649</v>
      </c>
      <c r="J23">
        <f t="shared" si="0"/>
        <v>117.46205583784841</v>
      </c>
      <c r="M23">
        <f t="shared" si="4"/>
        <v>728264.7461946602</v>
      </c>
      <c r="O23">
        <f t="shared" si="3"/>
        <v>722391.64340276772</v>
      </c>
    </row>
    <row r="24" spans="1:15">
      <c r="A24">
        <v>20</v>
      </c>
      <c r="B24">
        <v>6200</v>
      </c>
      <c r="C24" s="6">
        <v>6150</v>
      </c>
      <c r="E24">
        <v>20</v>
      </c>
      <c r="H24">
        <f t="shared" si="2"/>
        <v>0.95749120205421834</v>
      </c>
      <c r="J24">
        <f t="shared" si="0"/>
        <v>83.876229299949529</v>
      </c>
      <c r="M24">
        <f t="shared" si="4"/>
        <v>520032.62165968708</v>
      </c>
      <c r="O24">
        <f t="shared" si="3"/>
        <v>515838.81019468961</v>
      </c>
    </row>
    <row r="25" spans="1:15">
      <c r="A25">
        <v>21</v>
      </c>
      <c r="B25">
        <v>6200</v>
      </c>
      <c r="C25" s="6">
        <v>6150</v>
      </c>
      <c r="E25">
        <v>21</v>
      </c>
      <c r="H25">
        <f t="shared" si="2"/>
        <v>0.66543405077472639</v>
      </c>
      <c r="J25">
        <f t="shared" si="0"/>
        <v>58.292022847866036</v>
      </c>
      <c r="M25">
        <f t="shared" si="4"/>
        <v>361410.5416567694</v>
      </c>
      <c r="O25">
        <f t="shared" si="3"/>
        <v>358495.9405143761</v>
      </c>
    </row>
    <row r="26" spans="1:15">
      <c r="A26">
        <v>22</v>
      </c>
      <c r="B26">
        <v>6200</v>
      </c>
      <c r="C26" s="6">
        <v>6150</v>
      </c>
      <c r="E26">
        <v>22</v>
      </c>
      <c r="H26">
        <f t="shared" si="2"/>
        <v>0.45012281365397694</v>
      </c>
      <c r="J26">
        <f t="shared" si="0"/>
        <v>39.430758476088378</v>
      </c>
      <c r="M26">
        <f t="shared" si="4"/>
        <v>244470.70255174793</v>
      </c>
      <c r="O26">
        <f t="shared" si="3"/>
        <v>242499.16462794354</v>
      </c>
    </row>
    <row r="27" spans="1:15">
      <c r="A27">
        <v>23</v>
      </c>
      <c r="B27">
        <v>6200</v>
      </c>
      <c r="C27" s="6">
        <v>6150</v>
      </c>
      <c r="E27">
        <v>23</v>
      </c>
      <c r="H27">
        <f t="shared" si="2"/>
        <v>0.29636524529212604</v>
      </c>
      <c r="J27">
        <f t="shared" si="0"/>
        <v>25.961595487590245</v>
      </c>
      <c r="M27">
        <f t="shared" si="4"/>
        <v>160961.89202305951</v>
      </c>
      <c r="O27">
        <f t="shared" si="3"/>
        <v>159663.81224868001</v>
      </c>
    </row>
    <row r="28" spans="1:15">
      <c r="A28">
        <v>24</v>
      </c>
      <c r="B28">
        <v>6200</v>
      </c>
      <c r="C28" s="6">
        <v>6150</v>
      </c>
      <c r="E28">
        <v>24</v>
      </c>
      <c r="H28">
        <f t="shared" si="2"/>
        <v>0.18993205752678008</v>
      </c>
      <c r="J28">
        <f t="shared" si="0"/>
        <v>16.638048239345935</v>
      </c>
      <c r="M28">
        <f t="shared" si="4"/>
        <v>103155.89908394479</v>
      </c>
      <c r="O28">
        <f t="shared" si="3"/>
        <v>102323.9966719775</v>
      </c>
    </row>
    <row r="29" spans="1:15">
      <c r="A29">
        <v>25</v>
      </c>
      <c r="B29">
        <v>6200</v>
      </c>
      <c r="C29" s="6">
        <v>6150</v>
      </c>
      <c r="E29">
        <v>25</v>
      </c>
      <c r="H29">
        <f t="shared" si="2"/>
        <v>0.11847875556973489</v>
      </c>
      <c r="J29">
        <f t="shared" si="0"/>
        <v>10.378738987908775</v>
      </c>
      <c r="M29">
        <f t="shared" si="4"/>
        <v>64348.18172503441</v>
      </c>
      <c r="O29">
        <f t="shared" si="3"/>
        <v>63829.244775638967</v>
      </c>
    </row>
    <row r="30" spans="1:15">
      <c r="A30">
        <v>26</v>
      </c>
      <c r="B30">
        <v>6200</v>
      </c>
      <c r="C30" s="6">
        <v>6150</v>
      </c>
      <c r="E30">
        <v>26</v>
      </c>
      <c r="H30">
        <f t="shared" si="2"/>
        <v>7.1935592265598716E-2</v>
      </c>
      <c r="J30">
        <f t="shared" si="0"/>
        <v>6.3015578824664473</v>
      </c>
      <c r="M30">
        <f t="shared" si="4"/>
        <v>39069.658871291977</v>
      </c>
      <c r="O30">
        <f t="shared" si="3"/>
        <v>38754.580977168654</v>
      </c>
    </row>
    <row r="31" spans="1:15">
      <c r="A31">
        <v>27</v>
      </c>
      <c r="B31">
        <v>6200</v>
      </c>
      <c r="C31" s="6">
        <v>6150</v>
      </c>
      <c r="E31">
        <v>27</v>
      </c>
      <c r="H31">
        <f t="shared" si="2"/>
        <v>4.2510173573753147E-2</v>
      </c>
      <c r="J31">
        <f t="shared" si="0"/>
        <v>3.723891205060776</v>
      </c>
      <c r="M31">
        <f t="shared" si="4"/>
        <v>23088.12547137681</v>
      </c>
      <c r="O31">
        <f t="shared" si="3"/>
        <v>22901.930911123771</v>
      </c>
    </row>
    <row r="32" spans="1:15">
      <c r="A32">
        <v>28</v>
      </c>
      <c r="B32">
        <v>6200</v>
      </c>
      <c r="C32" s="6">
        <v>6150</v>
      </c>
      <c r="E32">
        <v>28</v>
      </c>
      <c r="H32">
        <f t="shared" si="2"/>
        <v>2.4449381440920546E-2</v>
      </c>
      <c r="J32">
        <f t="shared" si="0"/>
        <v>2.1417658142246401</v>
      </c>
      <c r="M32">
        <f t="shared" si="4"/>
        <v>13278.948048192768</v>
      </c>
      <c r="O32">
        <f t="shared" si="3"/>
        <v>13171.859757481536</v>
      </c>
    </row>
    <row r="33" spans="1:21">
      <c r="A33">
        <v>29</v>
      </c>
      <c r="B33">
        <v>6200</v>
      </c>
      <c r="C33" s="6">
        <v>6150</v>
      </c>
      <c r="E33">
        <v>29</v>
      </c>
      <c r="H33">
        <f t="shared" si="2"/>
        <v>1.3685021289004746E-2</v>
      </c>
      <c r="J33">
        <f t="shared" si="0"/>
        <v>1.1988078649168157</v>
      </c>
      <c r="M33">
        <f t="shared" si="4"/>
        <v>7432.6087624842576</v>
      </c>
      <c r="O33">
        <f t="shared" si="3"/>
        <v>7372.6683692384167</v>
      </c>
    </row>
    <row r="34" spans="1:21">
      <c r="A34">
        <v>30</v>
      </c>
      <c r="B34">
        <v>6200</v>
      </c>
      <c r="C34" s="6">
        <v>6150</v>
      </c>
      <c r="E34">
        <v>30</v>
      </c>
      <c r="H34">
        <f t="shared" si="2"/>
        <v>7.4541721508194301E-3</v>
      </c>
      <c r="J34">
        <f t="shared" si="0"/>
        <v>0.65298548041178206</v>
      </c>
      <c r="M34">
        <f t="shared" si="4"/>
        <v>4048.5099785530488</v>
      </c>
      <c r="O34">
        <f t="shared" si="3"/>
        <v>4015.8607045324597</v>
      </c>
    </row>
    <row r="36" spans="1:21">
      <c r="K36" t="s">
        <v>91</v>
      </c>
      <c r="M36">
        <f>SUM(M4:M34)</f>
        <v>26682978.076577663</v>
      </c>
      <c r="O36">
        <f>SUM(O4:O34)</f>
        <v>26747548.41934032</v>
      </c>
      <c r="S36" t="s">
        <v>95</v>
      </c>
      <c r="U36">
        <f>61*M36</f>
        <v>1627661662.6712375</v>
      </c>
    </row>
    <row r="37" spans="1:21">
      <c r="K37" t="s">
        <v>92</v>
      </c>
      <c r="M37">
        <f>M36/(365*24)</f>
        <v>3046.002063536263</v>
      </c>
      <c r="O37">
        <f>O36/(365*24)</f>
        <v>3053.37310723063</v>
      </c>
    </row>
    <row r="38" spans="1:21">
      <c r="K38" t="s">
        <v>93</v>
      </c>
      <c r="M38">
        <f>(M37/8000)*100</f>
        <v>38.075025794203285</v>
      </c>
      <c r="O38" t="e">
        <f>O36/Sheet1!#REF!</f>
        <v>#REF!</v>
      </c>
    </row>
    <row r="58" spans="4:4">
      <c r="D58">
        <v>13</v>
      </c>
    </row>
    <row r="60" spans="4:4">
      <c r="D60">
        <f>-0.1801*(D58^5)+5.9399*(D58^4)-73.079*(D58^3)+481.82*(D58^2)-1473.9*(D58)+1624.9</f>
        <v>6116.8315999999922</v>
      </c>
    </row>
    <row r="78" spans="1:1">
      <c r="A78">
        <v>4</v>
      </c>
    </row>
    <row r="79" spans="1:1">
      <c r="A79">
        <v>5</v>
      </c>
    </row>
    <row r="80" spans="1:1">
      <c r="A80">
        <v>6</v>
      </c>
    </row>
    <row r="81" spans="1:2">
      <c r="A81">
        <v>7</v>
      </c>
    </row>
    <row r="82" spans="1:2">
      <c r="A82">
        <v>8</v>
      </c>
    </row>
    <row r="83" spans="1:2">
      <c r="A83">
        <v>9</v>
      </c>
    </row>
    <row r="84" spans="1:2">
      <c r="A84">
        <v>10</v>
      </c>
    </row>
    <row r="85" spans="1:2">
      <c r="A85">
        <v>11</v>
      </c>
    </row>
    <row r="86" spans="1:2">
      <c r="A86">
        <v>12</v>
      </c>
    </row>
    <row r="87" spans="1:2">
      <c r="A87">
        <v>13</v>
      </c>
    </row>
    <row r="88" spans="1:2">
      <c r="A88">
        <v>14</v>
      </c>
    </row>
    <row r="92" spans="1:2">
      <c r="B92" s="6"/>
    </row>
  </sheetData>
  <pageMargins left="0.75" right="0.75" top="1" bottom="1" header="0.51180555555555596" footer="0.51180555555555596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zoomScale="85" zoomScaleNormal="85" workbookViewId="0">
      <selection activeCell="J2" sqref="J2"/>
    </sheetView>
  </sheetViews>
  <sheetFormatPr defaultRowHeight="15"/>
  <cols>
    <col min="12" max="12" width="13" customWidth="1"/>
    <col min="13" max="13" width="10.7109375" bestFit="1" customWidth="1"/>
    <col min="18" max="18" width="11" bestFit="1" customWidth="1"/>
  </cols>
  <sheetData>
    <row r="1" spans="1:19">
      <c r="A1" t="s">
        <v>86</v>
      </c>
      <c r="B1" t="s">
        <v>87</v>
      </c>
      <c r="E1" t="s">
        <v>86</v>
      </c>
      <c r="H1" t="s">
        <v>88</v>
      </c>
      <c r="J1" t="s">
        <v>89</v>
      </c>
      <c r="M1" t="s">
        <v>90</v>
      </c>
      <c r="S1" t="s">
        <v>96</v>
      </c>
    </row>
    <row r="2" spans="1:19">
      <c r="A2">
        <v>0</v>
      </c>
      <c r="B2">
        <v>0</v>
      </c>
      <c r="E2">
        <v>0</v>
      </c>
      <c r="H2">
        <f t="shared" ref="H2:H27" si="0">WEIBULL(A2,2.18,10.9,FALSE)*100</f>
        <v>0</v>
      </c>
      <c r="J2">
        <f t="shared" ref="J2:J32" si="1">365*24*(H2/100)</f>
        <v>0</v>
      </c>
      <c r="M2">
        <f>(J2*B2)/1000</f>
        <v>0</v>
      </c>
    </row>
    <row r="3" spans="1:19">
      <c r="A3">
        <v>1</v>
      </c>
      <c r="B3">
        <v>0</v>
      </c>
      <c r="E3">
        <v>1</v>
      </c>
      <c r="H3">
        <f t="shared" si="0"/>
        <v>1.1871041489185308</v>
      </c>
      <c r="J3">
        <f t="shared" si="1"/>
        <v>103.9903234452633</v>
      </c>
      <c r="M3">
        <f t="shared" ref="M3:M32" si="2">(J3*B3)/1000</f>
        <v>0</v>
      </c>
    </row>
    <row r="4" spans="1:19">
      <c r="A4">
        <v>2</v>
      </c>
      <c r="B4">
        <v>0</v>
      </c>
      <c r="E4">
        <v>2</v>
      </c>
      <c r="H4">
        <f t="shared" si="0"/>
        <v>2.6381929826532615</v>
      </c>
      <c r="J4">
        <f t="shared" si="1"/>
        <v>231.1057052804257</v>
      </c>
      <c r="M4">
        <f t="shared" si="2"/>
        <v>0</v>
      </c>
    </row>
    <row r="5" spans="1:19">
      <c r="A5">
        <v>3</v>
      </c>
      <c r="B5">
        <v>0</v>
      </c>
      <c r="E5">
        <v>3</v>
      </c>
      <c r="H5">
        <f t="shared" si="0"/>
        <v>4.1095013782006768</v>
      </c>
      <c r="J5">
        <f t="shared" si="1"/>
        <v>359.99232073037933</v>
      </c>
      <c r="M5">
        <f t="shared" si="2"/>
        <v>0</v>
      </c>
    </row>
    <row r="6" spans="1:19">
      <c r="A6">
        <v>4</v>
      </c>
      <c r="B6">
        <v>113</v>
      </c>
      <c r="E6">
        <v>4</v>
      </c>
      <c r="H6">
        <f t="shared" si="0"/>
        <v>5.4760534056918315</v>
      </c>
      <c r="J6">
        <f>365*24*(H6/100)</f>
        <v>479.70227833860446</v>
      </c>
      <c r="M6" s="8">
        <f t="shared" si="2"/>
        <v>54.206357452262303</v>
      </c>
    </row>
    <row r="7" spans="1:19">
      <c r="A7">
        <v>5</v>
      </c>
      <c r="B7">
        <v>584</v>
      </c>
      <c r="E7">
        <v>5</v>
      </c>
      <c r="H7">
        <f t="shared" si="0"/>
        <v>6.6409132750619086</v>
      </c>
      <c r="J7">
        <f t="shared" si="1"/>
        <v>581.74400289542325</v>
      </c>
      <c r="M7" s="8">
        <f t="shared" si="2"/>
        <v>339.7384976909272</v>
      </c>
    </row>
    <row r="8" spans="1:19">
      <c r="A8">
        <v>6</v>
      </c>
      <c r="B8" s="7">
        <v>1158</v>
      </c>
      <c r="E8">
        <v>6</v>
      </c>
      <c r="H8">
        <f t="shared" si="0"/>
        <v>7.531815677697387</v>
      </c>
      <c r="J8">
        <f t="shared" si="1"/>
        <v>659.78705336629116</v>
      </c>
      <c r="M8" s="8">
        <f t="shared" si="2"/>
        <v>764.03340779816517</v>
      </c>
    </row>
    <row r="9" spans="1:19">
      <c r="A9">
        <v>7</v>
      </c>
      <c r="B9" s="7">
        <v>1904</v>
      </c>
      <c r="C9" s="6"/>
      <c r="E9">
        <v>7</v>
      </c>
      <c r="H9">
        <f t="shared" si="0"/>
        <v>8.103875984644489</v>
      </c>
      <c r="J9">
        <f t="shared" si="1"/>
        <v>709.89953625485725</v>
      </c>
      <c r="M9" s="8">
        <f t="shared" si="2"/>
        <v>1351.648717029248</v>
      </c>
    </row>
    <row r="10" spans="1:19">
      <c r="A10">
        <v>8</v>
      </c>
      <c r="B10" s="7">
        <v>2958</v>
      </c>
      <c r="C10" s="6"/>
      <c r="E10">
        <v>8</v>
      </c>
      <c r="H10">
        <f t="shared" si="0"/>
        <v>8.3413960929251285</v>
      </c>
      <c r="J10">
        <f t="shared" si="1"/>
        <v>730.70629774024121</v>
      </c>
      <c r="M10" s="8">
        <f t="shared" si="2"/>
        <v>2161.4292287156336</v>
      </c>
    </row>
    <row r="11" spans="1:19">
      <c r="A11">
        <v>9</v>
      </c>
      <c r="B11" s="7">
        <v>4200</v>
      </c>
      <c r="C11" s="6"/>
      <c r="E11">
        <v>9</v>
      </c>
      <c r="H11">
        <f t="shared" si="0"/>
        <v>8.2569956636591133</v>
      </c>
      <c r="J11">
        <f t="shared" si="1"/>
        <v>723.31282013653822</v>
      </c>
      <c r="M11" s="8">
        <f t="shared" si="2"/>
        <v>3037.9138445734607</v>
      </c>
    </row>
    <row r="12" spans="1:19">
      <c r="A12">
        <v>10</v>
      </c>
      <c r="B12" s="7">
        <v>5686</v>
      </c>
      <c r="C12" s="6"/>
      <c r="E12">
        <v>10</v>
      </c>
      <c r="H12">
        <f t="shared" si="0"/>
        <v>7.8878057009824785</v>
      </c>
      <c r="J12">
        <f t="shared" si="1"/>
        <v>690.97177940606514</v>
      </c>
      <c r="M12" s="8">
        <f t="shared" si="2"/>
        <v>3928.8655377028863</v>
      </c>
    </row>
    <row r="13" spans="1:19">
      <c r="A13">
        <v>11</v>
      </c>
      <c r="B13" s="7">
        <v>7217</v>
      </c>
      <c r="C13" s="6"/>
      <c r="E13">
        <v>11</v>
      </c>
      <c r="H13">
        <f t="shared" si="0"/>
        <v>7.2892472864250273</v>
      </c>
      <c r="J13">
        <f t="shared" si="1"/>
        <v>638.53806229083239</v>
      </c>
      <c r="M13" s="8">
        <f t="shared" si="2"/>
        <v>4608.3291955529376</v>
      </c>
    </row>
    <row r="14" spans="1:19">
      <c r="A14">
        <v>12</v>
      </c>
      <c r="B14" s="7">
        <v>7915</v>
      </c>
      <c r="C14" s="6"/>
      <c r="E14">
        <v>12</v>
      </c>
      <c r="H14">
        <f t="shared" si="0"/>
        <v>6.5273772359864948</v>
      </c>
      <c r="J14">
        <f t="shared" si="1"/>
        <v>571.79824587241694</v>
      </c>
      <c r="M14" s="8">
        <f t="shared" si="2"/>
        <v>4525.7831160801798</v>
      </c>
    </row>
    <row r="15" spans="1:19">
      <c r="A15">
        <v>13</v>
      </c>
      <c r="B15" s="7">
        <v>7999</v>
      </c>
      <c r="C15" s="6"/>
      <c r="E15">
        <v>13</v>
      </c>
      <c r="H15">
        <f t="shared" si="0"/>
        <v>5.6709670635703011</v>
      </c>
      <c r="J15">
        <f t="shared" si="1"/>
        <v>496.77671476875832</v>
      </c>
      <c r="M15" s="8">
        <f t="shared" si="2"/>
        <v>3973.7169414352979</v>
      </c>
    </row>
    <row r="16" spans="1:19">
      <c r="A16">
        <v>14</v>
      </c>
      <c r="B16" s="7">
        <v>8000</v>
      </c>
      <c r="C16" s="6"/>
      <c r="E16">
        <v>14</v>
      </c>
      <c r="H16">
        <f t="shared" si="0"/>
        <v>4.7844148335522956</v>
      </c>
      <c r="J16">
        <f t="shared" si="1"/>
        <v>419.11473941918109</v>
      </c>
      <c r="M16" s="8">
        <f t="shared" si="2"/>
        <v>3352.9179153534487</v>
      </c>
    </row>
    <row r="17" spans="1:13">
      <c r="A17">
        <v>15</v>
      </c>
      <c r="B17" s="7">
        <v>8000</v>
      </c>
      <c r="C17" s="6"/>
      <c r="E17">
        <v>15</v>
      </c>
      <c r="H17">
        <f t="shared" si="0"/>
        <v>3.9223236671613795</v>
      </c>
      <c r="J17">
        <f t="shared" si="1"/>
        <v>343.59555324333684</v>
      </c>
      <c r="M17" s="8">
        <f t="shared" si="2"/>
        <v>2748.7644259466947</v>
      </c>
    </row>
    <row r="18" spans="1:13">
      <c r="A18">
        <v>16</v>
      </c>
      <c r="B18" s="7">
        <v>8000</v>
      </c>
      <c r="C18" s="6"/>
      <c r="E18">
        <v>16</v>
      </c>
      <c r="H18">
        <f t="shared" si="0"/>
        <v>3.126198488288062</v>
      </c>
      <c r="J18">
        <f t="shared" si="1"/>
        <v>273.85498757403423</v>
      </c>
      <c r="M18" s="8">
        <f t="shared" si="2"/>
        <v>2190.8399005922738</v>
      </c>
    </row>
    <row r="19" spans="1:13">
      <c r="A19">
        <v>17</v>
      </c>
      <c r="B19" s="7">
        <v>8000</v>
      </c>
      <c r="C19" s="6"/>
      <c r="E19">
        <v>17</v>
      </c>
      <c r="H19">
        <f t="shared" si="0"/>
        <v>2.4233085848822249</v>
      </c>
      <c r="J19">
        <f t="shared" si="1"/>
        <v>212.2818320356829</v>
      </c>
      <c r="M19" s="8">
        <f t="shared" si="2"/>
        <v>1698.2546562854632</v>
      </c>
    </row>
    <row r="20" spans="1:13">
      <c r="A20">
        <v>18</v>
      </c>
      <c r="B20" s="7">
        <v>8000</v>
      </c>
      <c r="C20" s="6"/>
      <c r="E20">
        <v>18</v>
      </c>
      <c r="H20">
        <f t="shared" si="0"/>
        <v>1.8274216637155682</v>
      </c>
      <c r="J20">
        <f t="shared" si="1"/>
        <v>160.08213774148376</v>
      </c>
      <c r="M20" s="8">
        <f t="shared" si="2"/>
        <v>1280.6571019318703</v>
      </c>
    </row>
    <row r="21" spans="1:13">
      <c r="A21">
        <v>19</v>
      </c>
      <c r="B21" s="7">
        <v>8000</v>
      </c>
      <c r="C21" s="6"/>
      <c r="E21">
        <v>19</v>
      </c>
      <c r="H21">
        <f t="shared" si="0"/>
        <v>1.3408910483772649</v>
      </c>
      <c r="J21">
        <f t="shared" si="1"/>
        <v>117.46205583784841</v>
      </c>
      <c r="M21" s="8">
        <f t="shared" si="2"/>
        <v>939.69644670278728</v>
      </c>
    </row>
    <row r="22" spans="1:13">
      <c r="A22">
        <v>20</v>
      </c>
      <c r="B22" s="7">
        <v>8000</v>
      </c>
      <c r="C22" s="6"/>
      <c r="E22">
        <v>20</v>
      </c>
      <c r="H22">
        <f t="shared" si="0"/>
        <v>0.95749120205421834</v>
      </c>
      <c r="J22">
        <f t="shared" si="1"/>
        <v>83.876229299949529</v>
      </c>
      <c r="M22" s="8">
        <f t="shared" si="2"/>
        <v>671.00983439959623</v>
      </c>
    </row>
    <row r="23" spans="1:13">
      <c r="A23">
        <v>21</v>
      </c>
      <c r="B23" s="7">
        <v>8000</v>
      </c>
      <c r="C23" s="6"/>
      <c r="E23">
        <v>21</v>
      </c>
      <c r="H23">
        <f t="shared" si="0"/>
        <v>0.66543405077472639</v>
      </c>
      <c r="J23">
        <f t="shared" si="1"/>
        <v>58.292022847866036</v>
      </c>
      <c r="M23" s="8">
        <f t="shared" si="2"/>
        <v>466.33618278292829</v>
      </c>
    </row>
    <row r="24" spans="1:13">
      <c r="A24">
        <v>22</v>
      </c>
      <c r="B24" s="7">
        <v>8000</v>
      </c>
      <c r="C24" s="6"/>
      <c r="E24">
        <v>22</v>
      </c>
      <c r="H24">
        <f t="shared" si="0"/>
        <v>0.45012281365397694</v>
      </c>
      <c r="J24">
        <f t="shared" si="1"/>
        <v>39.430758476088378</v>
      </c>
      <c r="M24" s="8">
        <f t="shared" si="2"/>
        <v>315.44606780870703</v>
      </c>
    </row>
    <row r="25" spans="1:13">
      <c r="A25">
        <v>23</v>
      </c>
      <c r="B25" s="7">
        <v>8000</v>
      </c>
      <c r="C25" s="6"/>
      <c r="E25">
        <v>23</v>
      </c>
      <c r="H25">
        <f t="shared" si="0"/>
        <v>0.29636524529212604</v>
      </c>
      <c r="J25">
        <f t="shared" si="1"/>
        <v>25.961595487590245</v>
      </c>
      <c r="M25" s="8">
        <f t="shared" si="2"/>
        <v>207.69276390072196</v>
      </c>
    </row>
    <row r="26" spans="1:13">
      <c r="A26">
        <v>24</v>
      </c>
      <c r="B26" s="7">
        <v>8000</v>
      </c>
      <c r="C26" s="6"/>
      <c r="E26">
        <v>24</v>
      </c>
      <c r="H26">
        <f t="shared" si="0"/>
        <v>0.18993205752678008</v>
      </c>
      <c r="J26">
        <f t="shared" si="1"/>
        <v>16.638048239345935</v>
      </c>
      <c r="M26" s="8">
        <f t="shared" si="2"/>
        <v>133.10438591476748</v>
      </c>
    </row>
    <row r="27" spans="1:13">
      <c r="A27">
        <v>25</v>
      </c>
      <c r="B27" s="7">
        <v>8000</v>
      </c>
      <c r="C27" s="6"/>
      <c r="E27">
        <v>25</v>
      </c>
      <c r="H27">
        <f t="shared" si="0"/>
        <v>0.11847875556973489</v>
      </c>
      <c r="J27">
        <f t="shared" si="1"/>
        <v>10.378738987908775</v>
      </c>
      <c r="M27" s="8">
        <f t="shared" si="2"/>
        <v>83.029911903270204</v>
      </c>
    </row>
    <row r="28" spans="1:13">
      <c r="A28">
        <v>26</v>
      </c>
      <c r="B28">
        <v>0</v>
      </c>
      <c r="C28" s="6"/>
      <c r="E28">
        <v>26</v>
      </c>
      <c r="H28">
        <f t="shared" ref="H28:H32" si="3">WEIBULL(A28,2.18,10.9,FALSE)*100</f>
        <v>7.1935592265598716E-2</v>
      </c>
      <c r="J28">
        <f t="shared" si="1"/>
        <v>6.3015578824664473</v>
      </c>
      <c r="M28">
        <f t="shared" si="2"/>
        <v>0</v>
      </c>
    </row>
    <row r="29" spans="1:13">
      <c r="A29">
        <v>27</v>
      </c>
      <c r="B29">
        <v>0</v>
      </c>
      <c r="C29" s="6"/>
      <c r="E29">
        <v>27</v>
      </c>
      <c r="H29">
        <f t="shared" si="3"/>
        <v>4.2510173573753147E-2</v>
      </c>
      <c r="J29">
        <f t="shared" si="1"/>
        <v>3.723891205060776</v>
      </c>
      <c r="M29">
        <f t="shared" si="2"/>
        <v>0</v>
      </c>
    </row>
    <row r="30" spans="1:13">
      <c r="A30">
        <v>28</v>
      </c>
      <c r="B30">
        <v>0</v>
      </c>
      <c r="C30" s="6"/>
      <c r="E30">
        <v>28</v>
      </c>
      <c r="H30">
        <f t="shared" si="3"/>
        <v>2.4449381440920546E-2</v>
      </c>
      <c r="J30">
        <f t="shared" si="1"/>
        <v>2.1417658142246401</v>
      </c>
      <c r="M30">
        <f t="shared" si="2"/>
        <v>0</v>
      </c>
    </row>
    <row r="31" spans="1:13">
      <c r="A31">
        <v>29</v>
      </c>
      <c r="B31">
        <v>0</v>
      </c>
      <c r="C31" s="6"/>
      <c r="E31">
        <v>29</v>
      </c>
      <c r="H31">
        <f t="shared" si="3"/>
        <v>1.3685021289004746E-2</v>
      </c>
      <c r="J31">
        <f t="shared" si="1"/>
        <v>1.1988078649168157</v>
      </c>
      <c r="M31">
        <f t="shared" si="2"/>
        <v>0</v>
      </c>
    </row>
    <row r="32" spans="1:13">
      <c r="A32">
        <v>30</v>
      </c>
      <c r="B32">
        <v>0</v>
      </c>
      <c r="C32" s="6"/>
      <c r="E32">
        <v>30</v>
      </c>
      <c r="H32">
        <f t="shared" si="3"/>
        <v>7.4541721508194301E-3</v>
      </c>
      <c r="J32">
        <f t="shared" si="1"/>
        <v>0.65298548041178206</v>
      </c>
      <c r="M32">
        <f t="shared" si="2"/>
        <v>0</v>
      </c>
    </row>
    <row r="34" spans="11:18">
      <c r="K34" t="s">
        <v>97</v>
      </c>
      <c r="M34">
        <f>SUM(M2:M32)</f>
        <v>38833.414437553532</v>
      </c>
      <c r="P34" t="s">
        <v>95</v>
      </c>
      <c r="R34">
        <f>47*M34</f>
        <v>1825170.4785650161</v>
      </c>
    </row>
    <row r="35" spans="11:18">
      <c r="K35" t="s">
        <v>98</v>
      </c>
      <c r="M35">
        <f>M34/(365*24)</f>
        <v>4.4330381778029144</v>
      </c>
      <c r="R35">
        <v>1627661663</v>
      </c>
    </row>
    <row r="36" spans="11:18">
      <c r="K36" t="s">
        <v>93</v>
      </c>
      <c r="M36">
        <f>(1000*M35/8000)*100</f>
        <v>55.412977222536433</v>
      </c>
      <c r="N36" t="s">
        <v>94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Sheet1</vt:lpstr>
      <vt:lpstr>AD 5-116</vt:lpstr>
      <vt:lpstr>Senvion 6.2M 126</vt:lpstr>
      <vt:lpstr>Vestas V164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</dc:creator>
  <cp:lastModifiedBy>Martijn van Essen</cp:lastModifiedBy>
  <dcterms:created xsi:type="dcterms:W3CDTF">2016-12-13T14:57:48Z</dcterms:created>
  <dcterms:modified xsi:type="dcterms:W3CDTF">2017-01-10T13:26:58Z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1033-10.1.0.5795</vt:lpwstr>
  </property>
</Properties>
</file>