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  <sheet name="AD 5-116" sheetId="2" r:id="rId2"/>
    <sheet name="Senvion 6.2M 126" sheetId="3" r:id="rId3"/>
  </sheets>
  <calcPr calcId="144525"/>
</workbook>
</file>

<file path=xl/sharedStrings.xml><?xml version="1.0" encoding="utf-8"?>
<sst xmlns="http://schemas.openxmlformats.org/spreadsheetml/2006/main" count="100">
  <si>
    <t>Afstand meest voorkomende windrichting</t>
  </si>
  <si>
    <t>*Parkrendement -10%</t>
  </si>
  <si>
    <t>Afstand minst voorkomende windrichting</t>
  </si>
  <si>
    <t>Parkoppervlak</t>
  </si>
  <si>
    <t>[km^2]</t>
  </si>
  <si>
    <t>Type</t>
  </si>
  <si>
    <t>Vermogen[MW]</t>
  </si>
  <si>
    <t>Rotordiameter[m]</t>
  </si>
  <si>
    <t>Breedte[m]</t>
  </si>
  <si>
    <t>Lengte[m]</t>
  </si>
  <si>
    <t>Oppervlakte[km^2]</t>
  </si>
  <si>
    <t>Aantal turbines</t>
  </si>
  <si>
    <t>Theoretisch park vermogen</t>
  </si>
  <si>
    <t>Verwacht vermogen*</t>
  </si>
  <si>
    <t>Vermogen/Diameter</t>
  </si>
  <si>
    <t>Tandwielkast</t>
  </si>
  <si>
    <t>Cut-in windspeed[m/s]</t>
  </si>
  <si>
    <t>Rated windspeed[m/s]</t>
  </si>
  <si>
    <t>Cut-out windspeed[m/s]</t>
  </si>
  <si>
    <t>Beschikbaarheid</t>
  </si>
  <si>
    <t>Vermogen bij gem. windverdeling[MW]</t>
  </si>
  <si>
    <t>Park vermogen bij gem. windverdeling[MW]</t>
  </si>
  <si>
    <t>Verwacht vermogen bij gem. verdeling</t>
  </si>
  <si>
    <t>Link</t>
  </si>
  <si>
    <t>Britannia</t>
  </si>
  <si>
    <t>Cancelled</t>
  </si>
  <si>
    <t>Bard 6.5</t>
  </si>
  <si>
    <t>Discontinued</t>
  </si>
  <si>
    <t>SWT-6.0-120</t>
  </si>
  <si>
    <t>http://www.4coffshore.com/windfarms/turbine-siemens-swt-6.0-120-tid86.html</t>
  </si>
  <si>
    <t>6.2M126</t>
  </si>
  <si>
    <t>Ja</t>
  </si>
  <si>
    <t>Beschikbaar</t>
  </si>
  <si>
    <t>http://www.4coffshore.com/windfarms/turbine-senvion-6.2m126-tid36.html</t>
  </si>
  <si>
    <t>ST10</t>
  </si>
  <si>
    <t>Prototype</t>
  </si>
  <si>
    <t>http://www.4coffshore.com/windfarms/turbine-sway-turbine-as-st10-tid51.html</t>
  </si>
  <si>
    <t>AD 5-116(Voorheen: M5000-116)</t>
  </si>
  <si>
    <t>http://www.4coffshore.com/windfarms/turbine-adwen-ad-5-116-tid217.html</t>
  </si>
  <si>
    <t>http://en.wind-turbine-models.com/turbines/22-multibrid-m5000</t>
  </si>
  <si>
    <t>M5000-116</t>
  </si>
  <si>
    <t>Siemens SWT-8.0-154</t>
  </si>
  <si>
    <t>Nee</t>
  </si>
  <si>
    <t>http://www.siemens.com/content/dam/internet/siemens-com/global/market-specific-solutions/wind/data_sheets/swt-8.0-154-data-sheet-wind-turbine.pdf</t>
  </si>
  <si>
    <t>UP6000-136</t>
  </si>
  <si>
    <t>http://www.4coffshore.com/windfarms/turbine-guodian-united-power-up6000-136-tid128.html</t>
  </si>
  <si>
    <t>E112/4500</t>
  </si>
  <si>
    <t>http://www.4coffshore.com/windfarms/turbine-enercon-e112-4500-tid13.html</t>
  </si>
  <si>
    <t>HTW5.2-127</t>
  </si>
  <si>
    <t>http://www.4coffshore.com/windfarms/turbine-hitachi-ltd--htw5.2-127-tid238.html</t>
  </si>
  <si>
    <t>Senvion 5M</t>
  </si>
  <si>
    <t>http://www.4coffshore.com/windfarms/turbine-senvion-5m-tid35.html</t>
  </si>
  <si>
    <t>HTW5.0-126</t>
  </si>
  <si>
    <t>http://www.4coffshore.com/windfarms/turbine-hitachi-ltd--htw5.0-126-tid153.html</t>
  </si>
  <si>
    <t>SL5000/126</t>
  </si>
  <si>
    <t>http://www.4coffshore.com/windfarms/turbine-sinovel-sl5000-tid227.html</t>
  </si>
  <si>
    <t>HZ 127-5MW</t>
  </si>
  <si>
    <t>SCD 6.0MW</t>
  </si>
  <si>
    <t>http://www.scd-technology.com/fileadmin/Download/DataSheet_SCD_6.0MW.pdf</t>
  </si>
  <si>
    <t>Vestas V164 8.0MW</t>
  </si>
  <si>
    <t>http://www.homepages.ucl.ac.uk/~uceseug/Fluids2/Wind_Turbines/Turbines/V164-8MW.pdf</t>
  </si>
  <si>
    <t>GE 4.1-113</t>
  </si>
  <si>
    <t>http://www.4coffshore.com/windfarms/turbine-ge-energy-ge-4.1-113--tid108.html</t>
  </si>
  <si>
    <t>Siemens SWT-7.0-154</t>
  </si>
  <si>
    <t>http://www.siemens.com/content/dam/internet/siemens-com/global/market-specific-solutions/wind/data_sheets/data-sheet-wind-turbine-swt-7.0-154.pdf</t>
  </si>
  <si>
    <t>AD 5-132</t>
  </si>
  <si>
    <t>SeaTitan 5.5MW</t>
  </si>
  <si>
    <t>http://www.amsc.com/documents/wt5500-data-sheet/</t>
  </si>
  <si>
    <t>HQ5500/140</t>
  </si>
  <si>
    <t>SWT-4.0-120</t>
  </si>
  <si>
    <t>http://www.4coffshore.com/windfarms/turbine-siemens-swt-4.0-120-tid179.html</t>
  </si>
  <si>
    <t>SeaTitan 10MW</t>
  </si>
  <si>
    <t>http://www.amsc.com/documents/seatitan-10-mw-wind-turbine-data-sheet/</t>
  </si>
  <si>
    <t>AD 5-135</t>
  </si>
  <si>
    <t>6.2M152</t>
  </si>
  <si>
    <t>http://www.4coffshore.com/windfarms/turbine-senvion-6.2m152-tid192.html</t>
  </si>
  <si>
    <t>Haliade 150-6MW</t>
  </si>
  <si>
    <t>http://www.4coffshore.com/windfarms/turbine-ge-energy-haliade-150-6mw-tid71.html</t>
  </si>
  <si>
    <t>Siemens SWT-6.0-154</t>
  </si>
  <si>
    <t>http://www.siemens.com/content/dam/internet/siemens-com/global/market-specific-solutions/wind/data_sheets/data-sheet-wind-turbine-swt-6.0-154.pdf</t>
  </si>
  <si>
    <t>SL6000/155</t>
  </si>
  <si>
    <t>http://www.4coffshore.com/windfarms/turbine-sinovel-sl6000-155-tid159.html</t>
  </si>
  <si>
    <t>AD 8-180</t>
  </si>
  <si>
    <t>http://www.4coffshore.com/windfarms/turbine-adwen-ad-8-180-tid197.html</t>
  </si>
  <si>
    <t>Siemens SWT-4.0-130</t>
  </si>
  <si>
    <t>http://www.siemens.com/global/en/home/markets/wind/turbines/swt-4-0-130.html</t>
  </si>
  <si>
    <t>S7.0-171</t>
  </si>
  <si>
    <t>http://www.4coffshore.com/windfarms/turbine-samsung-heavy-industries-s7.0-171-tid37.html</t>
  </si>
  <si>
    <t>H 151-5MW</t>
  </si>
  <si>
    <t>EN-4.0-136</t>
  </si>
  <si>
    <t>http://www.4coffshore.com/windfarms/turbine-envision-energy-en-4.0-136-tid229.html</t>
  </si>
  <si>
    <t>Windturbine:</t>
  </si>
  <si>
    <t>AD 5-116</t>
  </si>
  <si>
    <t>Windspeed[m/s]</t>
  </si>
  <si>
    <t>Power[kW]</t>
  </si>
  <si>
    <t>Weibull</t>
  </si>
  <si>
    <t>Aantal uren windsnelheid</t>
  </si>
  <si>
    <t>Opgewekte vermogen[MWh]</t>
  </si>
  <si>
    <t>Totaal vermogen[kWh]:</t>
  </si>
  <si>
    <t>Totaal vermogen[kW]: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</si>
</sst>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 wrapText="1"/>
    </xf>
    <xf numFmtId="0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 5-116'!$C$1</c:f>
              <c:strCache>
                <c:ptCount val="1"/>
                <c:pt idx="0">
                  <c:v>AD 5-116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'AD 5-116'!$A$5:$A$35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'AD 5-116'!$B$5:$B$35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330</c:v>
                </c:pt>
                <c:pt idx="5">
                  <c:v>560</c:v>
                </c:pt>
                <c:pt idx="6">
                  <c:v>1000</c:v>
                </c:pt>
                <c:pt idx="7">
                  <c:v>1470</c:v>
                </c:pt>
                <c:pt idx="8">
                  <c:v>1980</c:v>
                </c:pt>
                <c:pt idx="9">
                  <c:v>2800</c:v>
                </c:pt>
                <c:pt idx="10">
                  <c:v>4000</c:v>
                </c:pt>
                <c:pt idx="11">
                  <c:v>4800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70641"/>
        <c:axId val="543186021"/>
      </c:scatterChart>
      <c:valAx>
        <c:axId val="8911706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Windsnelheid [m/s]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186021"/>
        <c:crosses val="autoZero"/>
        <c:crossBetween val="midCat"/>
      </c:valAx>
      <c:valAx>
        <c:axId val="5431860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Vermogen [kW]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706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0.0689642857142858"/>
                  <c:y val="-0.152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'AD 5-116'!$A$75:$A$85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'AD 5-116'!$B$75:$B$85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330</c:v>
                </c:pt>
                <c:pt idx="3">
                  <c:v>560</c:v>
                </c:pt>
                <c:pt idx="4">
                  <c:v>1000</c:v>
                </c:pt>
                <c:pt idx="5">
                  <c:v>1470</c:v>
                </c:pt>
                <c:pt idx="6">
                  <c:v>1980</c:v>
                </c:pt>
                <c:pt idx="7">
                  <c:v>2800</c:v>
                </c:pt>
                <c:pt idx="8">
                  <c:v>4000</c:v>
                </c:pt>
                <c:pt idx="9">
                  <c:v>4800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3330"/>
        <c:axId val="309321977"/>
      </c:scatterChart>
      <c:valAx>
        <c:axId val="1148933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321977"/>
        <c:crosses val="autoZero"/>
        <c:crossBetween val="midCat"/>
      </c:valAx>
      <c:valAx>
        <c:axId val="3093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8933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'AD 5-116'!$H$5:$H$35</c:f>
              <c:numCache>
                <c:formatCode>General</c:formatCode>
                <c:ptCount val="31"/>
                <c:pt idx="0">
                  <c:v>0</c:v>
                </c:pt>
                <c:pt idx="1">
                  <c:v>1.18710414891853</c:v>
                </c:pt>
                <c:pt idx="2">
                  <c:v>2.63819298265326</c:v>
                </c:pt>
                <c:pt idx="3">
                  <c:v>4.10950137820068</c:v>
                </c:pt>
                <c:pt idx="4">
                  <c:v>5.47605340569183</c:v>
                </c:pt>
                <c:pt idx="5">
                  <c:v>6.64091327506191</c:v>
                </c:pt>
                <c:pt idx="6">
                  <c:v>7.53181567769739</c:v>
                </c:pt>
                <c:pt idx="7">
                  <c:v>8.10387598464449</c:v>
                </c:pt>
                <c:pt idx="8">
                  <c:v>8.34139609292513</c:v>
                </c:pt>
                <c:pt idx="9">
                  <c:v>8.25699566365911</c:v>
                </c:pt>
                <c:pt idx="10">
                  <c:v>7.88780570098248</c:v>
                </c:pt>
                <c:pt idx="11">
                  <c:v>7.28924728642503</c:v>
                </c:pt>
                <c:pt idx="12">
                  <c:v>6.5273772359865</c:v>
                </c:pt>
                <c:pt idx="13">
                  <c:v>5.6709670635703</c:v>
                </c:pt>
                <c:pt idx="14">
                  <c:v>4.7844148335523</c:v>
                </c:pt>
                <c:pt idx="15">
                  <c:v>3.92232366716138</c:v>
                </c:pt>
                <c:pt idx="16">
                  <c:v>3.12619848828806</c:v>
                </c:pt>
                <c:pt idx="17">
                  <c:v>2.42330858488223</c:v>
                </c:pt>
                <c:pt idx="18">
                  <c:v>1.82742166371557</c:v>
                </c:pt>
                <c:pt idx="19">
                  <c:v>1.34089104837727</c:v>
                </c:pt>
                <c:pt idx="20">
                  <c:v>0.957491202054218</c:v>
                </c:pt>
                <c:pt idx="21">
                  <c:v>0.665434050774727</c:v>
                </c:pt>
                <c:pt idx="22">
                  <c:v>0.450122813653977</c:v>
                </c:pt>
                <c:pt idx="23">
                  <c:v>0.296365245292126</c:v>
                </c:pt>
                <c:pt idx="24">
                  <c:v>0.18993205752678</c:v>
                </c:pt>
                <c:pt idx="25">
                  <c:v>0.118478755569735</c:v>
                </c:pt>
                <c:pt idx="26">
                  <c:v>0.0719355922655988</c:v>
                </c:pt>
                <c:pt idx="27">
                  <c:v>0.0425101735737532</c:v>
                </c:pt>
                <c:pt idx="28">
                  <c:v>0.0244493814409206</c:v>
                </c:pt>
                <c:pt idx="29">
                  <c:v>0.0136850212890047</c:v>
                </c:pt>
                <c:pt idx="30">
                  <c:v>0.00745417215081942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57490"/>
        <c:axId val="135586339"/>
      </c:scatterChart>
      <c:valAx>
        <c:axId val="476057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586339"/>
        <c:crosses val="autoZero"/>
        <c:crossBetween val="midCat"/>
      </c:valAx>
      <c:valAx>
        <c:axId val="135586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574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"Senvion 6.2M 126"</c:f>
              <c:strCache>
                <c:ptCount val="1"/>
                <c:pt idx="0">
                  <c:v>Senvion 6.2M 126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'Senvion 6.2M 126'!$A$4:$A$34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'Senvion 6.2M 126'!$B$4:$B$34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</c:v>
                </c:pt>
                <c:pt idx="5">
                  <c:v>313</c:v>
                </c:pt>
                <c:pt idx="6">
                  <c:v>625</c:v>
                </c:pt>
                <c:pt idx="7">
                  <c:v>1085</c:v>
                </c:pt>
                <c:pt idx="8">
                  <c:v>1700</c:v>
                </c:pt>
                <c:pt idx="9">
                  <c:v>2450</c:v>
                </c:pt>
                <c:pt idx="10">
                  <c:v>3360</c:v>
                </c:pt>
                <c:pt idx="11">
                  <c:v>4405</c:v>
                </c:pt>
                <c:pt idx="12">
                  <c:v>5390</c:v>
                </c:pt>
                <c:pt idx="13">
                  <c:v>6100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6200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6200</c:v>
                </c:pt>
                <c:pt idx="23">
                  <c:v>6200</c:v>
                </c:pt>
                <c:pt idx="24">
                  <c:v>6200</c:v>
                </c:pt>
                <c:pt idx="25">
                  <c:v>6200</c:v>
                </c:pt>
                <c:pt idx="26">
                  <c:v>6200</c:v>
                </c:pt>
                <c:pt idx="27">
                  <c:v>6200</c:v>
                </c:pt>
                <c:pt idx="28">
                  <c:v>6200</c:v>
                </c:pt>
                <c:pt idx="29">
                  <c:v>6200</c:v>
                </c:pt>
                <c:pt idx="30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21822"/>
        <c:axId val="97961079"/>
      </c:scatterChart>
      <c:valAx>
        <c:axId val="6677218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61079"/>
        <c:crosses val="autoZero"/>
        <c:crossBetween val="midCat"/>
      </c:valAx>
      <c:valAx>
        <c:axId val="9796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7218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"Benadering"</c:f>
              <c:strCache>
                <c:ptCount val="1"/>
                <c:pt idx="0">
                  <c:v>Benadering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0222006382683502"/>
                  <c:y val="-0.1047619047619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'Senvion 6.2M 126'!$A$7:$A$18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'Senvion 6.2M 126'!$B$7:$B$18</c:f>
              <c:numCache>
                <c:formatCode>General</c:formatCode>
                <c:ptCount val="12"/>
                <c:pt idx="0">
                  <c:v>0</c:v>
                </c:pt>
                <c:pt idx="1">
                  <c:v>109</c:v>
                </c:pt>
                <c:pt idx="2">
                  <c:v>313</c:v>
                </c:pt>
                <c:pt idx="3">
                  <c:v>625</c:v>
                </c:pt>
                <c:pt idx="4">
                  <c:v>1085</c:v>
                </c:pt>
                <c:pt idx="5">
                  <c:v>1700</c:v>
                </c:pt>
                <c:pt idx="6">
                  <c:v>2450</c:v>
                </c:pt>
                <c:pt idx="7">
                  <c:v>3360</c:v>
                </c:pt>
                <c:pt idx="8">
                  <c:v>4405</c:v>
                </c:pt>
                <c:pt idx="9">
                  <c:v>5390</c:v>
                </c:pt>
                <c:pt idx="10">
                  <c:v>6100</c:v>
                </c:pt>
                <c:pt idx="11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4773"/>
        <c:axId val="435177328"/>
      </c:scatterChart>
      <c:valAx>
        <c:axId val="1424247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77328"/>
        <c:crosses val="autoZero"/>
        <c:crossBetween val="midCat"/>
      </c:valAx>
      <c:valAx>
        <c:axId val="4351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247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7620</xdr:colOff>
      <xdr:row>0</xdr:row>
      <xdr:rowOff>116840</xdr:rowOff>
    </xdr:from>
    <xdr:to>
      <xdr:col>26</xdr:col>
      <xdr:colOff>82550</xdr:colOff>
      <xdr:row>22</xdr:row>
      <xdr:rowOff>161925</xdr:rowOff>
    </xdr:to>
    <xdr:graphicFrame>
      <xdr:nvGraphicFramePr>
        <xdr:cNvPr id="4" name="Chart 3"/>
        <xdr:cNvGraphicFramePr/>
      </xdr:nvGraphicFramePr>
      <xdr:xfrm>
        <a:off x="11018520" y="116840"/>
        <a:ext cx="6780530" cy="406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187960</xdr:colOff>
      <xdr:row>74</xdr:row>
      <xdr:rowOff>60960</xdr:rowOff>
    </xdr:from>
    <xdr:to>
      <xdr:col>11</xdr:col>
      <xdr:colOff>492760</xdr:colOff>
      <xdr:row>89</xdr:row>
      <xdr:rowOff>60960</xdr:rowOff>
    </xdr:to>
    <xdr:graphicFrame>
      <xdr:nvGraphicFramePr>
        <xdr:cNvPr id="5" name="Chart 4"/>
        <xdr:cNvGraphicFramePr/>
      </xdr:nvGraphicFramePr>
      <xdr:xfrm>
        <a:off x="3068320" y="13594080"/>
        <a:ext cx="5532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147320</xdr:colOff>
      <xdr:row>25</xdr:row>
      <xdr:rowOff>134620</xdr:rowOff>
    </xdr:from>
    <xdr:to>
      <xdr:col>22</xdr:col>
      <xdr:colOff>452120</xdr:colOff>
      <xdr:row>40</xdr:row>
      <xdr:rowOff>134620</xdr:rowOff>
    </xdr:to>
    <xdr:graphicFrame>
      <xdr:nvGraphicFramePr>
        <xdr:cNvPr id="7" name="Chart 6"/>
        <xdr:cNvGraphicFramePr/>
      </xdr:nvGraphicFramePr>
      <xdr:xfrm>
        <a:off x="11158220" y="4706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506095</xdr:colOff>
      <xdr:row>39</xdr:row>
      <xdr:rowOff>35560</xdr:rowOff>
    </xdr:from>
    <xdr:to>
      <xdr:col>17</xdr:col>
      <xdr:colOff>536575</xdr:colOff>
      <xdr:row>54</xdr:row>
      <xdr:rowOff>35560</xdr:rowOff>
    </xdr:to>
    <xdr:graphicFrame>
      <xdr:nvGraphicFramePr>
        <xdr:cNvPr id="2" name="Chart 1"/>
        <xdr:cNvGraphicFramePr/>
      </xdr:nvGraphicFramePr>
      <xdr:xfrm>
        <a:off x="7470775" y="7167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</xdr:colOff>
      <xdr:row>40</xdr:row>
      <xdr:rowOff>13335</xdr:rowOff>
    </xdr:from>
    <xdr:to>
      <xdr:col>9</xdr:col>
      <xdr:colOff>594995</xdr:colOff>
      <xdr:row>55</xdr:row>
      <xdr:rowOff>13335</xdr:rowOff>
    </xdr:to>
    <xdr:graphicFrame>
      <xdr:nvGraphicFramePr>
        <xdr:cNvPr id="3" name="Chart 2"/>
        <xdr:cNvGraphicFramePr/>
      </xdr:nvGraphicFramePr>
      <xdr:xfrm>
        <a:off x="2256155" y="7328535"/>
        <a:ext cx="4693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6:Y39" headerRowCount="0" totalsRowShown="0">
  <sortState ref="A6:Y39">
    <sortCondition ref="I6:I39" descending="1"/>
  </sortState>
  <tableColumns count="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9"/>
  <sheetViews>
    <sheetView tabSelected="1" zoomScale="90" zoomScaleNormal="90" topLeftCell="G5" workbookViewId="0">
      <selection activeCell="Q11" sqref="Q11"/>
    </sheetView>
  </sheetViews>
  <sheetFormatPr defaultColWidth="8.88888888888889" defaultRowHeight="14.4"/>
  <cols>
    <col min="1" max="1" width="27.7777777777778" customWidth="1"/>
    <col min="2" max="2" width="14.4444444444444" customWidth="1"/>
    <col min="3" max="3" width="17.5555555555556" customWidth="1"/>
    <col min="4" max="4" width="9.88888888888889" customWidth="1"/>
    <col min="5" max="5" width="11" customWidth="1"/>
    <col min="6" max="6" width="17.5555555555556" customWidth="1"/>
    <col min="7" max="7" width="13"/>
    <col min="8" max="8" width="19.3333333333333" customWidth="1"/>
    <col min="9" max="9" width="10.9907407407407" customWidth="1"/>
    <col min="10" max="10" width="13.6666666666667" customWidth="1"/>
    <col min="12" max="12" width="14.7777777777778" customWidth="1"/>
    <col min="13" max="13" width="15.1111111111111" customWidth="1"/>
    <col min="14" max="14" width="14.6666666666667" customWidth="1"/>
    <col min="15" max="15" width="18.3333333333333" customWidth="1"/>
    <col min="16" max="16" width="20.9814814814815" customWidth="1"/>
    <col min="17" max="17" width="18.3981481481481" customWidth="1"/>
    <col min="18" max="18" width="15.5555555555556" customWidth="1"/>
  </cols>
  <sheetData>
    <row r="1" spans="2:9">
      <c r="B1" t="s">
        <v>0</v>
      </c>
      <c r="E1">
        <v>5</v>
      </c>
      <c r="I1" t="s">
        <v>1</v>
      </c>
    </row>
    <row r="2" spans="2:5">
      <c r="B2" t="s">
        <v>2</v>
      </c>
      <c r="E2">
        <v>3</v>
      </c>
    </row>
    <row r="3" spans="2:6">
      <c r="B3" t="s">
        <v>3</v>
      </c>
      <c r="E3">
        <v>63.5</v>
      </c>
      <c r="F3" t="s">
        <v>4</v>
      </c>
    </row>
    <row r="5" ht="43.2" spans="1:31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5" t="s">
        <v>23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15">
      <c r="A6" s="2" t="s">
        <v>24</v>
      </c>
      <c r="B6">
        <v>10</v>
      </c>
      <c r="C6">
        <v>150</v>
      </c>
      <c r="D6">
        <f>5*C6</f>
        <v>750</v>
      </c>
      <c r="E6">
        <f>4*C6</f>
        <v>600</v>
      </c>
      <c r="F6">
        <f>D6*E6*PI()/1000000</f>
        <v>1.41371669411541</v>
      </c>
      <c r="G6" s="3">
        <f>ROUNDDOWN(63.5/F6,0)</f>
        <v>44</v>
      </c>
      <c r="H6">
        <f>IF(G6&gt;96,96*B6,G6*B6)</f>
        <v>440</v>
      </c>
      <c r="I6">
        <f>H6*0.9</f>
        <v>396</v>
      </c>
      <c r="J6">
        <f>B6/C6</f>
        <v>0.0666666666666667</v>
      </c>
      <c r="O6" t="s">
        <v>25</v>
      </c>
    </row>
    <row r="7" spans="1:15">
      <c r="A7" t="s">
        <v>26</v>
      </c>
      <c r="B7">
        <v>6.5</v>
      </c>
      <c r="C7">
        <v>122</v>
      </c>
      <c r="D7">
        <f t="shared" ref="D7:D39" si="0">5*C7</f>
        <v>610</v>
      </c>
      <c r="E7">
        <f t="shared" ref="E7:E39" si="1">4*C7</f>
        <v>488</v>
      </c>
      <c r="F7">
        <f>D7*E7*PI()/1000000</f>
        <v>0.93518930112061</v>
      </c>
      <c r="G7" s="3">
        <f t="shared" ref="G7:G39" si="2">ROUNDDOWN(63.5/F7,0)</f>
        <v>67</v>
      </c>
      <c r="H7">
        <f t="shared" ref="H7:H39" si="3">IF(G7&gt;96,96*B7,G7*B7)</f>
        <v>435.5</v>
      </c>
      <c r="I7">
        <f>H7*0.9</f>
        <v>391.95</v>
      </c>
      <c r="J7">
        <f>B7/C7</f>
        <v>0.0532786885245902</v>
      </c>
      <c r="O7" t="s">
        <v>27</v>
      </c>
    </row>
    <row r="8" spans="1:19">
      <c r="A8" t="s">
        <v>28</v>
      </c>
      <c r="B8">
        <v>6</v>
      </c>
      <c r="C8">
        <v>120</v>
      </c>
      <c r="D8">
        <f t="shared" si="0"/>
        <v>600</v>
      </c>
      <c r="E8">
        <f t="shared" si="1"/>
        <v>480</v>
      </c>
      <c r="F8">
        <f>D8*E8*PI()/1000000</f>
        <v>0.90477868423386</v>
      </c>
      <c r="G8" s="3">
        <f t="shared" si="2"/>
        <v>70</v>
      </c>
      <c r="H8">
        <f t="shared" si="3"/>
        <v>420</v>
      </c>
      <c r="I8">
        <f>H8*0.9</f>
        <v>378</v>
      </c>
      <c r="J8">
        <f>B8/C8</f>
        <v>0.05</v>
      </c>
      <c r="O8" t="s">
        <v>27</v>
      </c>
      <c r="S8" t="s">
        <v>29</v>
      </c>
    </row>
    <row r="9" spans="1:19">
      <c r="A9" t="s">
        <v>30</v>
      </c>
      <c r="B9">
        <v>6.15</v>
      </c>
      <c r="C9">
        <v>126</v>
      </c>
      <c r="D9">
        <f t="shared" si="0"/>
        <v>630</v>
      </c>
      <c r="E9">
        <f t="shared" si="1"/>
        <v>504</v>
      </c>
      <c r="F9">
        <f>D9*E9*PI()/1000000</f>
        <v>0.997518499367831</v>
      </c>
      <c r="G9" s="3">
        <f t="shared" si="2"/>
        <v>63</v>
      </c>
      <c r="H9">
        <f t="shared" si="3"/>
        <v>387.45</v>
      </c>
      <c r="I9">
        <f>H9*0.9</f>
        <v>348.705</v>
      </c>
      <c r="J9">
        <f>B9/C9</f>
        <v>0.0488095238095238</v>
      </c>
      <c r="K9" t="s">
        <v>31</v>
      </c>
      <c r="L9">
        <v>3.5</v>
      </c>
      <c r="M9">
        <v>14</v>
      </c>
      <c r="N9">
        <v>30</v>
      </c>
      <c r="O9" t="s">
        <v>32</v>
      </c>
      <c r="P9">
        <f>3046/1000</f>
        <v>3.046</v>
      </c>
      <c r="Q9">
        <f>IF(G9&gt;96,96*P9,G9*P9)</f>
        <v>191.898</v>
      </c>
      <c r="R9">
        <f>0.9*Q9</f>
        <v>172.7082</v>
      </c>
      <c r="S9" t="s">
        <v>33</v>
      </c>
    </row>
    <row r="10" spans="1:19">
      <c r="A10" t="s">
        <v>34</v>
      </c>
      <c r="B10">
        <v>10</v>
      </c>
      <c r="C10">
        <v>164</v>
      </c>
      <c r="D10">
        <f t="shared" si="0"/>
        <v>820</v>
      </c>
      <c r="E10">
        <f t="shared" si="1"/>
        <v>656</v>
      </c>
      <c r="F10">
        <f>D10*E10*PI()/1000000</f>
        <v>1.68992552021902</v>
      </c>
      <c r="G10" s="3">
        <f t="shared" si="2"/>
        <v>37</v>
      </c>
      <c r="H10">
        <f t="shared" si="3"/>
        <v>370</v>
      </c>
      <c r="I10">
        <f>H10*0.9</f>
        <v>333</v>
      </c>
      <c r="J10">
        <f>B10/C10</f>
        <v>0.0609756097560976</v>
      </c>
      <c r="O10" t="s">
        <v>35</v>
      </c>
      <c r="S10" t="s">
        <v>36</v>
      </c>
    </row>
    <row r="11" ht="31" customHeight="1" spans="1:27">
      <c r="A11" s="4" t="s">
        <v>37</v>
      </c>
      <c r="B11">
        <v>5</v>
      </c>
      <c r="C11">
        <v>116</v>
      </c>
      <c r="D11">
        <f t="shared" si="0"/>
        <v>580</v>
      </c>
      <c r="E11">
        <f t="shared" si="1"/>
        <v>464</v>
      </c>
      <c r="F11">
        <f>D11*E11*PI()/1000000</f>
        <v>0.845465414934085</v>
      </c>
      <c r="G11" s="3">
        <f t="shared" si="2"/>
        <v>75</v>
      </c>
      <c r="H11">
        <f>IF(G11&gt;96,96*B11,G11*B11)</f>
        <v>375</v>
      </c>
      <c r="I11">
        <f>H11*0.9</f>
        <v>337.5</v>
      </c>
      <c r="J11">
        <f>B11/C11</f>
        <v>0.0431034482758621</v>
      </c>
      <c r="K11" t="s">
        <v>31</v>
      </c>
      <c r="L11">
        <v>3.5</v>
      </c>
      <c r="M11">
        <v>12</v>
      </c>
      <c r="N11">
        <v>25</v>
      </c>
      <c r="O11" t="s">
        <v>32</v>
      </c>
      <c r="P11">
        <f>2926/1000</f>
        <v>2.926</v>
      </c>
      <c r="Q11">
        <f>IF(G11&gt;96,96*P11,G11*P11)</f>
        <v>219.45</v>
      </c>
      <c r="R11">
        <f>0.9*Q11</f>
        <v>197.505</v>
      </c>
      <c r="S11" t="s">
        <v>38</v>
      </c>
      <c r="AA11" t="s">
        <v>39</v>
      </c>
    </row>
    <row r="12" spans="1:27">
      <c r="A12" t="s">
        <v>40</v>
      </c>
      <c r="B12">
        <v>5</v>
      </c>
      <c r="C12">
        <v>116</v>
      </c>
      <c r="D12">
        <f t="shared" si="0"/>
        <v>580</v>
      </c>
      <c r="E12">
        <f t="shared" si="1"/>
        <v>464</v>
      </c>
      <c r="F12">
        <f>D12*E12*PI()/1000000</f>
        <v>0.845465414934085</v>
      </c>
      <c r="G12" s="3">
        <f t="shared" si="2"/>
        <v>75</v>
      </c>
      <c r="H12">
        <f t="shared" si="3"/>
        <v>375</v>
      </c>
      <c r="I12">
        <f>H12*0.9</f>
        <v>337.5</v>
      </c>
      <c r="J12">
        <f>B12/C12</f>
        <v>0.0431034482758621</v>
      </c>
      <c r="K12" t="s">
        <v>31</v>
      </c>
      <c r="L12">
        <v>3.5</v>
      </c>
      <c r="M12">
        <v>12</v>
      </c>
      <c r="N12">
        <v>25</v>
      </c>
      <c r="O12" t="s">
        <v>27</v>
      </c>
      <c r="AA12" t="s">
        <v>39</v>
      </c>
    </row>
    <row r="13" spans="1:19">
      <c r="A13" t="s">
        <v>41</v>
      </c>
      <c r="B13">
        <v>8</v>
      </c>
      <c r="C13">
        <v>154</v>
      </c>
      <c r="D13">
        <f t="shared" si="0"/>
        <v>770</v>
      </c>
      <c r="E13">
        <f t="shared" si="1"/>
        <v>616</v>
      </c>
      <c r="F13">
        <f>D13*E13*PI()/1000000</f>
        <v>1.49012022745071</v>
      </c>
      <c r="G13" s="3">
        <f t="shared" si="2"/>
        <v>42</v>
      </c>
      <c r="H13">
        <f t="shared" si="3"/>
        <v>336</v>
      </c>
      <c r="I13">
        <f>H13*0.9</f>
        <v>302.4</v>
      </c>
      <c r="J13">
        <f>B13/C13</f>
        <v>0.051948051948052</v>
      </c>
      <c r="K13" t="s">
        <v>42</v>
      </c>
      <c r="O13" t="s">
        <v>35</v>
      </c>
      <c r="S13" t="s">
        <v>43</v>
      </c>
    </row>
    <row r="14" spans="1:19">
      <c r="A14" t="s">
        <v>44</v>
      </c>
      <c r="B14">
        <v>6</v>
      </c>
      <c r="C14">
        <v>136</v>
      </c>
      <c r="D14">
        <f t="shared" si="0"/>
        <v>680</v>
      </c>
      <c r="E14">
        <f t="shared" si="1"/>
        <v>544</v>
      </c>
      <c r="F14">
        <f>D14*E14*PI()/1000000</f>
        <v>1.16213795441594</v>
      </c>
      <c r="G14" s="3">
        <f t="shared" si="2"/>
        <v>54</v>
      </c>
      <c r="H14">
        <f t="shared" si="3"/>
        <v>324</v>
      </c>
      <c r="I14">
        <f>H14*0.9</f>
        <v>291.6</v>
      </c>
      <c r="J14">
        <f>B14/C14</f>
        <v>0.0441176470588235</v>
      </c>
      <c r="O14" t="s">
        <v>32</v>
      </c>
      <c r="S14" t="s">
        <v>45</v>
      </c>
    </row>
    <row r="15" spans="1:19">
      <c r="A15" t="s">
        <v>46</v>
      </c>
      <c r="B15">
        <v>4.5</v>
      </c>
      <c r="C15">
        <v>114</v>
      </c>
      <c r="D15">
        <f>5*C15</f>
        <v>570</v>
      </c>
      <c r="E15">
        <f t="shared" si="1"/>
        <v>456</v>
      </c>
      <c r="F15">
        <f>D15*E15*PI()/1000000</f>
        <v>0.816562762521059</v>
      </c>
      <c r="G15" s="3">
        <f>ROUNDDOWN(63.5/F15,0)</f>
        <v>77</v>
      </c>
      <c r="H15">
        <f>IF(G15&gt;96,96*B15,G15*B15)</f>
        <v>346.5</v>
      </c>
      <c r="I15">
        <f>H15*0.9</f>
        <v>311.85</v>
      </c>
      <c r="J15">
        <f>B15/C15</f>
        <v>0.0394736842105263</v>
      </c>
      <c r="O15" t="s">
        <v>27</v>
      </c>
      <c r="S15" t="s">
        <v>47</v>
      </c>
    </row>
    <row r="16" spans="1:19">
      <c r="A16" t="s">
        <v>48</v>
      </c>
      <c r="B16">
        <v>5.2</v>
      </c>
      <c r="C16">
        <v>127</v>
      </c>
      <c r="D16">
        <f>5*C16</f>
        <v>635</v>
      </c>
      <c r="E16">
        <f t="shared" si="1"/>
        <v>508</v>
      </c>
      <c r="F16">
        <f>D16*E16*PI()/1000000</f>
        <v>1.013414958195</v>
      </c>
      <c r="G16" s="3">
        <f>ROUNDDOWN(63.5/F16,0)</f>
        <v>62</v>
      </c>
      <c r="H16">
        <f>IF(G16&gt;96,96*B16,G16*B16)</f>
        <v>322.4</v>
      </c>
      <c r="I16">
        <f>H16*0.9</f>
        <v>290.16</v>
      </c>
      <c r="J16">
        <f>B16/C16</f>
        <v>0.0409448818897638</v>
      </c>
      <c r="O16" t="s">
        <v>32</v>
      </c>
      <c r="S16" t="s">
        <v>49</v>
      </c>
    </row>
    <row r="17" spans="1:19">
      <c r="A17" t="s">
        <v>50</v>
      </c>
      <c r="B17">
        <v>5.075</v>
      </c>
      <c r="C17">
        <v>126</v>
      </c>
      <c r="D17">
        <f t="shared" si="0"/>
        <v>630</v>
      </c>
      <c r="E17">
        <f t="shared" si="1"/>
        <v>504</v>
      </c>
      <c r="F17">
        <f>D17*E17*PI()/1000000</f>
        <v>0.997518499367831</v>
      </c>
      <c r="G17" s="3">
        <f t="shared" si="2"/>
        <v>63</v>
      </c>
      <c r="H17">
        <f t="shared" si="3"/>
        <v>319.725</v>
      </c>
      <c r="I17">
        <f>H17*0.9</f>
        <v>287.7525</v>
      </c>
      <c r="J17">
        <f>B17/C17</f>
        <v>0.0402777777777778</v>
      </c>
      <c r="O17" t="s">
        <v>27</v>
      </c>
      <c r="S17" t="s">
        <v>51</v>
      </c>
    </row>
    <row r="18" spans="1:19">
      <c r="A18" t="s">
        <v>52</v>
      </c>
      <c r="B18">
        <v>5</v>
      </c>
      <c r="C18">
        <v>126</v>
      </c>
      <c r="D18">
        <f t="shared" si="0"/>
        <v>630</v>
      </c>
      <c r="E18">
        <f t="shared" si="1"/>
        <v>504</v>
      </c>
      <c r="F18">
        <f>D18*E18*PI()/1000000</f>
        <v>0.997518499367831</v>
      </c>
      <c r="G18" s="3">
        <f t="shared" si="2"/>
        <v>63</v>
      </c>
      <c r="H18">
        <f t="shared" si="3"/>
        <v>315</v>
      </c>
      <c r="I18">
        <f>H18*0.9</f>
        <v>283.5</v>
      </c>
      <c r="J18">
        <f>B18/C18</f>
        <v>0.0396825396825397</v>
      </c>
      <c r="O18" t="s">
        <v>32</v>
      </c>
      <c r="S18" t="s">
        <v>53</v>
      </c>
    </row>
    <row r="19" spans="1:19">
      <c r="A19" t="s">
        <v>54</v>
      </c>
      <c r="B19">
        <v>5</v>
      </c>
      <c r="C19">
        <v>126</v>
      </c>
      <c r="D19">
        <f t="shared" si="0"/>
        <v>630</v>
      </c>
      <c r="E19">
        <f t="shared" si="1"/>
        <v>504</v>
      </c>
      <c r="F19">
        <f>D19*E19*PI()/1000000</f>
        <v>0.997518499367831</v>
      </c>
      <c r="G19" s="3">
        <f t="shared" si="2"/>
        <v>63</v>
      </c>
      <c r="H19">
        <f t="shared" si="3"/>
        <v>315</v>
      </c>
      <c r="I19">
        <f>H19*0.9</f>
        <v>283.5</v>
      </c>
      <c r="J19">
        <f>B19/C19</f>
        <v>0.0396825396825397</v>
      </c>
      <c r="O19" t="s">
        <v>32</v>
      </c>
      <c r="S19" t="s">
        <v>55</v>
      </c>
    </row>
    <row r="20" spans="1:15">
      <c r="A20" t="s">
        <v>56</v>
      </c>
      <c r="B20">
        <v>5</v>
      </c>
      <c r="C20">
        <v>127</v>
      </c>
      <c r="D20">
        <f t="shared" si="0"/>
        <v>635</v>
      </c>
      <c r="E20">
        <f t="shared" si="1"/>
        <v>508</v>
      </c>
      <c r="F20">
        <f>D20*E20*PI()/1000000</f>
        <v>1.013414958195</v>
      </c>
      <c r="G20" s="3">
        <f t="shared" si="2"/>
        <v>62</v>
      </c>
      <c r="H20">
        <f t="shared" si="3"/>
        <v>310</v>
      </c>
      <c r="I20">
        <f>H20*0.9</f>
        <v>279</v>
      </c>
      <c r="J20">
        <f>B20/C20</f>
        <v>0.0393700787401575</v>
      </c>
      <c r="O20" t="s">
        <v>32</v>
      </c>
    </row>
    <row r="21" spans="1:19">
      <c r="A21" t="s">
        <v>57</v>
      </c>
      <c r="B21">
        <v>6</v>
      </c>
      <c r="C21">
        <v>140</v>
      </c>
      <c r="D21">
        <f t="shared" si="0"/>
        <v>700</v>
      </c>
      <c r="E21">
        <f t="shared" si="1"/>
        <v>560</v>
      </c>
      <c r="F21">
        <f>D21*E21*PI()/1000000</f>
        <v>1.2315043202072</v>
      </c>
      <c r="G21" s="3">
        <f t="shared" si="2"/>
        <v>51</v>
      </c>
      <c r="H21">
        <f t="shared" si="3"/>
        <v>306</v>
      </c>
      <c r="I21">
        <f>H21*0.9</f>
        <v>275.4</v>
      </c>
      <c r="J21">
        <f>B21/C21</f>
        <v>0.0428571428571429</v>
      </c>
      <c r="O21" t="s">
        <v>32</v>
      </c>
      <c r="S21" t="s">
        <v>58</v>
      </c>
    </row>
    <row r="22" spans="1:19">
      <c r="A22" t="s">
        <v>59</v>
      </c>
      <c r="B22">
        <v>8</v>
      </c>
      <c r="C22">
        <v>164</v>
      </c>
      <c r="D22">
        <f t="shared" si="0"/>
        <v>820</v>
      </c>
      <c r="E22">
        <f t="shared" si="1"/>
        <v>656</v>
      </c>
      <c r="F22">
        <f>D22*E22*PI()/1000000</f>
        <v>1.68992552021902</v>
      </c>
      <c r="G22" s="3">
        <f t="shared" si="2"/>
        <v>37</v>
      </c>
      <c r="H22">
        <f t="shared" si="3"/>
        <v>296</v>
      </c>
      <c r="I22">
        <f>H22*0.9</f>
        <v>266.4</v>
      </c>
      <c r="J22">
        <f>B22/C22</f>
        <v>0.0487804878048781</v>
      </c>
      <c r="O22" t="s">
        <v>32</v>
      </c>
      <c r="S22" t="s">
        <v>60</v>
      </c>
    </row>
    <row r="23" spans="1:19">
      <c r="A23" t="s">
        <v>61</v>
      </c>
      <c r="B23">
        <v>4.1</v>
      </c>
      <c r="C23">
        <v>113</v>
      </c>
      <c r="D23">
        <f>5*C23</f>
        <v>565</v>
      </c>
      <c r="E23">
        <f t="shared" si="1"/>
        <v>452</v>
      </c>
      <c r="F23">
        <f>D23*E23*PI()/1000000</f>
        <v>0.802299931873761</v>
      </c>
      <c r="G23" s="3">
        <f>ROUNDDOWN(63.5/F23,0)</f>
        <v>79</v>
      </c>
      <c r="H23">
        <f>IF(G23&gt;96,96*B23,G23*B23)</f>
        <v>323.9</v>
      </c>
      <c r="I23">
        <f>H23*0.9</f>
        <v>291.51</v>
      </c>
      <c r="J23">
        <f>B23/C23</f>
        <v>0.036283185840708</v>
      </c>
      <c r="O23" t="s">
        <v>32</v>
      </c>
      <c r="S23" t="s">
        <v>62</v>
      </c>
    </row>
    <row r="24" spans="1:19">
      <c r="A24" t="s">
        <v>63</v>
      </c>
      <c r="B24">
        <v>7</v>
      </c>
      <c r="C24">
        <v>154</v>
      </c>
      <c r="D24">
        <f>5*C24</f>
        <v>770</v>
      </c>
      <c r="E24">
        <f t="shared" si="1"/>
        <v>616</v>
      </c>
      <c r="F24">
        <f>D24*E24*PI()/1000000</f>
        <v>1.49012022745071</v>
      </c>
      <c r="G24" s="3">
        <f>ROUNDDOWN(63.5/F24,0)</f>
        <v>42</v>
      </c>
      <c r="H24">
        <f>IF(G24&gt;96,96*B24,G24*B24)</f>
        <v>294</v>
      </c>
      <c r="I24">
        <f>H24*0.9</f>
        <v>264.6</v>
      </c>
      <c r="J24">
        <f>B24/C24</f>
        <v>0.0454545454545455</v>
      </c>
      <c r="K24" t="s">
        <v>42</v>
      </c>
      <c r="O24" t="s">
        <v>32</v>
      </c>
      <c r="S24" t="s">
        <v>64</v>
      </c>
    </row>
    <row r="25" spans="1:15">
      <c r="A25" t="s">
        <v>65</v>
      </c>
      <c r="B25">
        <v>5</v>
      </c>
      <c r="C25">
        <v>132</v>
      </c>
      <c r="D25">
        <f t="shared" si="0"/>
        <v>660</v>
      </c>
      <c r="E25">
        <f t="shared" si="1"/>
        <v>528</v>
      </c>
      <c r="F25">
        <f>D25*E25*PI()/1000000</f>
        <v>1.09478220792297</v>
      </c>
      <c r="G25" s="3">
        <f t="shared" si="2"/>
        <v>58</v>
      </c>
      <c r="H25">
        <f t="shared" si="3"/>
        <v>290</v>
      </c>
      <c r="I25">
        <f>H25*0.9</f>
        <v>261</v>
      </c>
      <c r="J25">
        <f>B25/C25</f>
        <v>0.0378787878787879</v>
      </c>
      <c r="O25" t="s">
        <v>32</v>
      </c>
    </row>
    <row r="26" spans="1:19">
      <c r="A26" s="2" t="s">
        <v>66</v>
      </c>
      <c r="B26">
        <v>5.5</v>
      </c>
      <c r="C26">
        <v>140</v>
      </c>
      <c r="D26">
        <f t="shared" si="0"/>
        <v>700</v>
      </c>
      <c r="E26">
        <f t="shared" si="1"/>
        <v>560</v>
      </c>
      <c r="F26">
        <f>D26*E26*PI()/1000000</f>
        <v>1.2315043202072</v>
      </c>
      <c r="G26" s="3">
        <f t="shared" si="2"/>
        <v>51</v>
      </c>
      <c r="H26">
        <f t="shared" si="3"/>
        <v>280.5</v>
      </c>
      <c r="I26">
        <f>H26*0.9</f>
        <v>252.45</v>
      </c>
      <c r="J26">
        <f>B26/C26</f>
        <v>0.0392857142857143</v>
      </c>
      <c r="K26" t="s">
        <v>42</v>
      </c>
      <c r="O26" t="s">
        <v>35</v>
      </c>
      <c r="S26" t="s">
        <v>67</v>
      </c>
    </row>
    <row r="27" spans="1:15">
      <c r="A27" s="2" t="s">
        <v>68</v>
      </c>
      <c r="B27">
        <v>5.5</v>
      </c>
      <c r="C27">
        <v>140</v>
      </c>
      <c r="D27">
        <f t="shared" si="0"/>
        <v>700</v>
      </c>
      <c r="E27">
        <f t="shared" si="1"/>
        <v>560</v>
      </c>
      <c r="F27">
        <f>D27*E27*PI()/1000000</f>
        <v>1.2315043202072</v>
      </c>
      <c r="G27" s="3">
        <f t="shared" si="2"/>
        <v>51</v>
      </c>
      <c r="H27">
        <f t="shared" si="3"/>
        <v>280.5</v>
      </c>
      <c r="I27">
        <f>H27*0.9</f>
        <v>252.45</v>
      </c>
      <c r="J27">
        <f>B27/C27</f>
        <v>0.0392857142857143</v>
      </c>
      <c r="O27" t="s">
        <v>32</v>
      </c>
    </row>
    <row r="28" spans="1:19">
      <c r="A28" s="2" t="s">
        <v>69</v>
      </c>
      <c r="B28">
        <v>4</v>
      </c>
      <c r="C28">
        <v>120</v>
      </c>
      <c r="D28">
        <f t="shared" si="0"/>
        <v>600</v>
      </c>
      <c r="E28">
        <f t="shared" si="1"/>
        <v>480</v>
      </c>
      <c r="F28">
        <f>D28*E28*PI()/1000000</f>
        <v>0.90477868423386</v>
      </c>
      <c r="G28" s="3">
        <f t="shared" si="2"/>
        <v>70</v>
      </c>
      <c r="H28">
        <f t="shared" si="3"/>
        <v>280</v>
      </c>
      <c r="I28">
        <f>H28*0.9</f>
        <v>252</v>
      </c>
      <c r="J28">
        <f>B28/C28</f>
        <v>0.0333333333333333</v>
      </c>
      <c r="O28" t="s">
        <v>32</v>
      </c>
      <c r="S28" t="s">
        <v>70</v>
      </c>
    </row>
    <row r="29" spans="1:19">
      <c r="A29" s="2" t="s">
        <v>71</v>
      </c>
      <c r="B29">
        <v>10</v>
      </c>
      <c r="C29">
        <v>190</v>
      </c>
      <c r="D29">
        <f t="shared" si="0"/>
        <v>950</v>
      </c>
      <c r="E29">
        <f t="shared" si="1"/>
        <v>760</v>
      </c>
      <c r="F29">
        <f>D29*E29*PI()/1000000</f>
        <v>2.26822989589183</v>
      </c>
      <c r="G29" s="3">
        <f t="shared" si="2"/>
        <v>27</v>
      </c>
      <c r="H29">
        <f t="shared" si="3"/>
        <v>270</v>
      </c>
      <c r="I29">
        <f>H29*0.9</f>
        <v>243</v>
      </c>
      <c r="J29">
        <f>B29/C29</f>
        <v>0.0526315789473684</v>
      </c>
      <c r="K29" t="s">
        <v>42</v>
      </c>
      <c r="O29" t="s">
        <v>35</v>
      </c>
      <c r="S29" t="s">
        <v>72</v>
      </c>
    </row>
    <row r="30" spans="1:15">
      <c r="A30" s="2" t="s">
        <v>73</v>
      </c>
      <c r="B30">
        <v>5</v>
      </c>
      <c r="C30">
        <v>135</v>
      </c>
      <c r="D30">
        <f t="shared" si="0"/>
        <v>675</v>
      </c>
      <c r="E30">
        <f t="shared" si="1"/>
        <v>540</v>
      </c>
      <c r="F30">
        <f>D30*E30*PI()/1000000</f>
        <v>1.14511052223348</v>
      </c>
      <c r="G30" s="3">
        <f t="shared" si="2"/>
        <v>55</v>
      </c>
      <c r="H30">
        <f t="shared" si="3"/>
        <v>275</v>
      </c>
      <c r="I30">
        <f>H30*0.9</f>
        <v>247.5</v>
      </c>
      <c r="J30">
        <f>B30/C30</f>
        <v>0.037037037037037</v>
      </c>
      <c r="O30" t="s">
        <v>32</v>
      </c>
    </row>
    <row r="31" spans="1:19">
      <c r="A31" s="2" t="s">
        <v>74</v>
      </c>
      <c r="B31">
        <v>6.15</v>
      </c>
      <c r="C31">
        <v>152</v>
      </c>
      <c r="D31">
        <f t="shared" si="0"/>
        <v>760</v>
      </c>
      <c r="E31">
        <f t="shared" si="1"/>
        <v>608</v>
      </c>
      <c r="F31">
        <f>D31*E31*PI()/1000000</f>
        <v>1.45166713337077</v>
      </c>
      <c r="G31" s="3">
        <f t="shared" si="2"/>
        <v>43</v>
      </c>
      <c r="H31">
        <f t="shared" si="3"/>
        <v>264.45</v>
      </c>
      <c r="I31">
        <f>H31*0.9</f>
        <v>238.005</v>
      </c>
      <c r="J31">
        <f>B31/C31</f>
        <v>0.0404605263157895</v>
      </c>
      <c r="O31" t="s">
        <v>32</v>
      </c>
      <c r="S31" t="s">
        <v>75</v>
      </c>
    </row>
    <row r="32" spans="1:19">
      <c r="A32" s="2" t="s">
        <v>76</v>
      </c>
      <c r="B32">
        <v>6</v>
      </c>
      <c r="C32">
        <v>150</v>
      </c>
      <c r="D32">
        <f t="shared" si="0"/>
        <v>750</v>
      </c>
      <c r="E32">
        <f t="shared" si="1"/>
        <v>600</v>
      </c>
      <c r="F32">
        <f>D32*E32*PI()/1000000</f>
        <v>1.41371669411541</v>
      </c>
      <c r="G32" s="3">
        <f t="shared" si="2"/>
        <v>44</v>
      </c>
      <c r="H32">
        <f t="shared" si="3"/>
        <v>264</v>
      </c>
      <c r="I32">
        <f>H32*0.9</f>
        <v>237.6</v>
      </c>
      <c r="J32">
        <f>B32/C32</f>
        <v>0.04</v>
      </c>
      <c r="O32" t="s">
        <v>32</v>
      </c>
      <c r="S32" t="s">
        <v>77</v>
      </c>
    </row>
    <row r="33" spans="1:19">
      <c r="A33" s="2" t="s">
        <v>78</v>
      </c>
      <c r="B33">
        <v>6</v>
      </c>
      <c r="C33">
        <v>154</v>
      </c>
      <c r="D33">
        <f t="shared" si="0"/>
        <v>770</v>
      </c>
      <c r="E33">
        <f t="shared" si="1"/>
        <v>616</v>
      </c>
      <c r="F33">
        <f>D33*E33*PI()/1000000</f>
        <v>1.49012022745071</v>
      </c>
      <c r="G33" s="3">
        <f t="shared" si="2"/>
        <v>42</v>
      </c>
      <c r="H33">
        <f t="shared" si="3"/>
        <v>252</v>
      </c>
      <c r="I33">
        <f>H33*0.9</f>
        <v>226.8</v>
      </c>
      <c r="J33">
        <f>B33/C33</f>
        <v>0.038961038961039</v>
      </c>
      <c r="O33" t="s">
        <v>32</v>
      </c>
      <c r="S33" t="s">
        <v>79</v>
      </c>
    </row>
    <row r="34" spans="1:19">
      <c r="A34" s="2" t="s">
        <v>80</v>
      </c>
      <c r="B34">
        <v>6</v>
      </c>
      <c r="C34">
        <v>155</v>
      </c>
      <c r="D34">
        <f t="shared" si="0"/>
        <v>775</v>
      </c>
      <c r="E34">
        <f t="shared" si="1"/>
        <v>620</v>
      </c>
      <c r="F34">
        <f>D34*E34*PI()/1000000</f>
        <v>1.5095352700499</v>
      </c>
      <c r="G34" s="3">
        <f t="shared" si="2"/>
        <v>42</v>
      </c>
      <c r="H34">
        <f t="shared" si="3"/>
        <v>252</v>
      </c>
      <c r="I34">
        <f>H34*0.9</f>
        <v>226.8</v>
      </c>
      <c r="J34">
        <f>B34/C34</f>
        <v>0.0387096774193548</v>
      </c>
      <c r="O34" t="s">
        <v>32</v>
      </c>
      <c r="S34" t="s">
        <v>81</v>
      </c>
    </row>
    <row r="35" spans="1:19">
      <c r="A35" s="2" t="s">
        <v>82</v>
      </c>
      <c r="B35">
        <v>8</v>
      </c>
      <c r="C35">
        <v>180</v>
      </c>
      <c r="D35">
        <f t="shared" si="0"/>
        <v>900</v>
      </c>
      <c r="E35">
        <f t="shared" si="1"/>
        <v>720</v>
      </c>
      <c r="F35">
        <f>D35*E35*PI()/1000000</f>
        <v>2.03575203952619</v>
      </c>
      <c r="G35" s="3">
        <f t="shared" si="2"/>
        <v>31</v>
      </c>
      <c r="H35">
        <f t="shared" si="3"/>
        <v>248</v>
      </c>
      <c r="I35">
        <f>H35*0.9</f>
        <v>223.2</v>
      </c>
      <c r="J35">
        <f>B35/C35</f>
        <v>0.0444444444444444</v>
      </c>
      <c r="O35" t="s">
        <v>32</v>
      </c>
      <c r="S35" t="s">
        <v>83</v>
      </c>
    </row>
    <row r="36" spans="1:19">
      <c r="A36" s="2" t="s">
        <v>84</v>
      </c>
      <c r="B36">
        <v>4</v>
      </c>
      <c r="C36">
        <v>130</v>
      </c>
      <c r="D36">
        <f t="shared" si="0"/>
        <v>650</v>
      </c>
      <c r="E36">
        <f t="shared" si="1"/>
        <v>520</v>
      </c>
      <c r="F36">
        <f>D36*E36*PI()/1000000</f>
        <v>1.06185831691335</v>
      </c>
      <c r="G36" s="3">
        <f t="shared" si="2"/>
        <v>59</v>
      </c>
      <c r="H36">
        <f t="shared" si="3"/>
        <v>236</v>
      </c>
      <c r="I36">
        <f>H36*0.9</f>
        <v>212.4</v>
      </c>
      <c r="J36">
        <f>B36/C36</f>
        <v>0.0307692307692308</v>
      </c>
      <c r="K36" t="s">
        <v>31</v>
      </c>
      <c r="O36" t="s">
        <v>32</v>
      </c>
      <c r="S36" t="s">
        <v>85</v>
      </c>
    </row>
    <row r="37" spans="1:19">
      <c r="A37" s="2" t="s">
        <v>86</v>
      </c>
      <c r="B37">
        <v>7</v>
      </c>
      <c r="C37">
        <v>171.2</v>
      </c>
      <c r="D37">
        <f t="shared" si="0"/>
        <v>856</v>
      </c>
      <c r="E37">
        <f t="shared" si="1"/>
        <v>684.8</v>
      </c>
      <c r="F37">
        <f>D37*E37*PI()/1000000</f>
        <v>1.84156642769662</v>
      </c>
      <c r="G37" s="3">
        <f t="shared" si="2"/>
        <v>34</v>
      </c>
      <c r="H37">
        <f t="shared" si="3"/>
        <v>238</v>
      </c>
      <c r="I37">
        <f>H37*0.9</f>
        <v>214.2</v>
      </c>
      <c r="J37">
        <f>B37/C37</f>
        <v>0.0408878504672897</v>
      </c>
      <c r="O37" t="s">
        <v>35</v>
      </c>
      <c r="S37" t="s">
        <v>87</v>
      </c>
    </row>
    <row r="38" spans="1:15">
      <c r="A38" s="2" t="s">
        <v>88</v>
      </c>
      <c r="B38">
        <v>5</v>
      </c>
      <c r="C38">
        <v>151</v>
      </c>
      <c r="D38">
        <f t="shared" si="0"/>
        <v>755</v>
      </c>
      <c r="E38">
        <f t="shared" si="1"/>
        <v>604</v>
      </c>
      <c r="F38">
        <f>D38*E38*PI()/1000000</f>
        <v>1.43262908189002</v>
      </c>
      <c r="G38" s="3">
        <f t="shared" si="2"/>
        <v>44</v>
      </c>
      <c r="H38">
        <f t="shared" si="3"/>
        <v>220</v>
      </c>
      <c r="I38">
        <f>H38*0.9</f>
        <v>198</v>
      </c>
      <c r="J38">
        <f>B38/C38</f>
        <v>0.033112582781457</v>
      </c>
      <c r="O38" t="s">
        <v>32</v>
      </c>
    </row>
    <row r="39" spans="1:19">
      <c r="A39" s="2" t="s">
        <v>89</v>
      </c>
      <c r="B39">
        <v>4</v>
      </c>
      <c r="C39">
        <v>136</v>
      </c>
      <c r="D39">
        <f t="shared" si="0"/>
        <v>680</v>
      </c>
      <c r="E39">
        <f t="shared" si="1"/>
        <v>544</v>
      </c>
      <c r="F39">
        <f>D39*E39*PI()/1000000</f>
        <v>1.16213795441594</v>
      </c>
      <c r="G39" s="3">
        <f t="shared" si="2"/>
        <v>54</v>
      </c>
      <c r="H39">
        <f t="shared" si="3"/>
        <v>216</v>
      </c>
      <c r="I39">
        <f>H39*0.9</f>
        <v>194.4</v>
      </c>
      <c r="J39">
        <f>B39/C39</f>
        <v>0.0294117647058824</v>
      </c>
      <c r="O39" t="s">
        <v>32</v>
      </c>
      <c r="S39" t="s">
        <v>90</v>
      </c>
    </row>
  </sheetData>
  <conditionalFormatting sqref="A6">
    <cfRule type="aboveAverage" dxfId="0" priority="2" aboveAverage="0"/>
    <cfRule type="aboveAverage" dxfId="1" priority="1" aboveAverage="0"/>
  </conditionalFormatting>
  <conditionalFormatting sqref="K6">
    <cfRule type="cellIs" dxfId="2" priority="265" operator="equal">
      <formula>"Ja"</formula>
    </cfRule>
  </conditionalFormatting>
  <conditionalFormatting sqref="I1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J1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ellIs" dxfId="3" priority="245" operator="equal">
      <formula>"Ja"</formula>
    </cfRule>
    <cfRule type="cellIs" dxfId="4" priority="244" operator="equal">
      <formula>"Nee"</formula>
    </cfRule>
  </conditionalFormatting>
  <conditionalFormatting sqref="I1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J17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ellIs" dxfId="5" priority="236" operator="equal">
      <formula>"Ja"</formula>
    </cfRule>
    <cfRule type="cellIs" dxfId="6" priority="235" operator="equal">
      <formula>"Nee"</formula>
    </cfRule>
  </conditionalFormatting>
  <conditionalFormatting sqref="I1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ellIs" dxfId="7" priority="227" operator="equal">
      <formula>"Ja"</formula>
    </cfRule>
    <cfRule type="cellIs" dxfId="8" priority="226" operator="equal">
      <formula>"Nee"</formula>
    </cfRule>
  </conditionalFormatting>
  <conditionalFormatting sqref="I1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J1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ellIs" dxfId="9" priority="218" operator="equal">
      <formula>"Ja"</formula>
    </cfRule>
    <cfRule type="cellIs" dxfId="10" priority="217" operator="equal">
      <formula>"Nee"</formula>
    </cfRule>
  </conditionalFormatting>
  <conditionalFormatting sqref="I2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ellIs" dxfId="11" priority="209" operator="equal">
      <formula>"Ja"</formula>
    </cfRule>
    <cfRule type="cellIs" dxfId="12" priority="208" operator="equal">
      <formula>"Nee"</formula>
    </cfRule>
  </conditionalFormatting>
  <conditionalFormatting sqref="I2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J2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ellIs" dxfId="13" priority="200" operator="equal">
      <formula>"Ja"</formula>
    </cfRule>
    <cfRule type="cellIs" dxfId="14" priority="199" operator="equal">
      <formula>"Nee"</formula>
    </cfRule>
  </conditionalFormatting>
  <conditionalFormatting sqref="I22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ellIs" dxfId="15" priority="191" operator="equal">
      <formula>"Ja"</formula>
    </cfRule>
    <cfRule type="cellIs" dxfId="16" priority="190" operator="equal">
      <formula>"Nee"</formula>
    </cfRule>
  </conditionalFormatting>
  <conditionalFormatting sqref="I2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J2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ellIs" dxfId="17" priority="182" operator="equal">
      <formula>"Ja"</formula>
    </cfRule>
    <cfRule type="cellIs" dxfId="18" priority="181" operator="equal">
      <formula>"Nee"</formula>
    </cfRule>
  </conditionalFormatting>
  <conditionalFormatting sqref="I2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ellIs" dxfId="19" priority="171" operator="equal">
      <formula>"Ja"</formula>
    </cfRule>
    <cfRule type="cellIs" dxfId="20" priority="170" operator="equal">
      <formula>"Nee"</formula>
    </cfRule>
  </conditionalFormatting>
  <conditionalFormatting sqref="I2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J2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J2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J3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J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J3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J3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J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J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J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9">
    <cfRule type="aboveAverage" dxfId="21" priority="10" aboveAverage="0"/>
    <cfRule type="aboveAverage" dxfId="22" priority="9" aboveAverage="0"/>
  </conditionalFormatting>
  <conditionalFormatting sqref="G6:G39">
    <cfRule type="cellIs" dxfId="23" priority="73" operator="greaterThan">
      <formula>95</formula>
    </cfRule>
  </conditionalFormatting>
  <conditionalFormatting sqref="I6:I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2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5">
    <cfRule type="cellIs" dxfId="24" priority="263" operator="equal">
      <formula>"Nee"</formula>
    </cfRule>
    <cfRule type="cellIs" dxfId="25" priority="264" operator="equal">
      <formula>"Ja"</formula>
    </cfRule>
  </conditionalFormatting>
  <conditionalFormatting sqref="K6:K39">
    <cfRule type="cellIs" dxfId="26" priority="8" operator="equal">
      <formula>"Ja"</formula>
    </cfRule>
    <cfRule type="cellIs" dxfId="27" priority="7" operator="equal">
      <formula>"Nee"</formula>
    </cfRule>
  </conditionalFormatting>
  <conditionalFormatting sqref="O6:O39">
    <cfRule type="cellIs" dxfId="28" priority="3" operator="equal">
      <formula>"Prototype"</formula>
    </cfRule>
    <cfRule type="cellIs" dxfId="29" priority="4" operator="equal">
      <formula>"Beschikbaar"</formula>
    </cfRule>
    <cfRule type="cellIs" dxfId="30" priority="5" operator="equal">
      <formula>"Cancelled"</formula>
    </cfRule>
    <cfRule type="cellIs" dxfId="31" priority="6" operator="equal">
      <formula>"Discontinued"</formula>
    </cfRule>
  </conditionalFormatting>
  <conditionalFormatting sqref="I6:J1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2"/>
  <sheetViews>
    <sheetView topLeftCell="A23" workbookViewId="0">
      <selection activeCell="M37" sqref="M37"/>
    </sheetView>
  </sheetViews>
  <sheetFormatPr defaultColWidth="8.88888888888889" defaultRowHeight="14.4"/>
  <cols>
    <col min="1" max="1" width="14.3333333333333" customWidth="1"/>
    <col min="2" max="2" width="9.88888888888889" customWidth="1"/>
    <col min="5" max="5" width="14.8888888888889" customWidth="1"/>
    <col min="8" max="8" width="12.8888888888889"/>
    <col min="10" max="10" width="12.8888888888889"/>
    <col min="12" max="12" width="11.6666666666667" customWidth="1"/>
    <col min="13" max="13" width="12.8888888888889"/>
  </cols>
  <sheetData>
    <row r="1" spans="1:3">
      <c r="A1" t="s">
        <v>91</v>
      </c>
      <c r="C1" t="s">
        <v>92</v>
      </c>
    </row>
    <row r="4" spans="1:13">
      <c r="A4" t="s">
        <v>93</v>
      </c>
      <c r="B4" t="s">
        <v>94</v>
      </c>
      <c r="E4" t="s">
        <v>93</v>
      </c>
      <c r="F4"/>
      <c r="H4" t="s">
        <v>95</v>
      </c>
      <c r="J4" t="s">
        <v>96</v>
      </c>
      <c r="M4" t="s">
        <v>97</v>
      </c>
    </row>
    <row r="5" spans="1:13">
      <c r="A5">
        <v>0</v>
      </c>
      <c r="B5">
        <v>0</v>
      </c>
      <c r="E5">
        <v>0</v>
      </c>
      <c r="H5">
        <f>WEIBULL(A5,2.18,10.9,FALSE)*100</f>
        <v>0</v>
      </c>
      <c r="J5">
        <f>365*24*(H5/100)</f>
        <v>0</v>
      </c>
      <c r="M5">
        <f>(J5*B5)</f>
        <v>0</v>
      </c>
    </row>
    <row r="6" spans="1:13">
      <c r="A6">
        <v>1</v>
      </c>
      <c r="B6">
        <v>0</v>
      </c>
      <c r="E6">
        <v>1</v>
      </c>
      <c r="H6">
        <f t="shared" ref="H6:H35" si="0">WEIBULL(A6,2.18,10.9,FALSE)*100</f>
        <v>1.18710414891853</v>
      </c>
      <c r="J6">
        <f t="shared" ref="J6:J35" si="1">365*24*(H6/100)</f>
        <v>103.990323445263</v>
      </c>
      <c r="M6">
        <f t="shared" ref="M6:M35" si="2">(J6*B6)</f>
        <v>0</v>
      </c>
    </row>
    <row r="7" spans="1:13">
      <c r="A7">
        <v>2</v>
      </c>
      <c r="B7">
        <v>0</v>
      </c>
      <c r="E7">
        <v>2</v>
      </c>
      <c r="H7">
        <f t="shared" si="0"/>
        <v>2.63819298265326</v>
      </c>
      <c r="J7">
        <f t="shared" si="1"/>
        <v>231.105705280426</v>
      </c>
      <c r="M7">
        <f t="shared" si="2"/>
        <v>0</v>
      </c>
    </row>
    <row r="8" spans="1:13">
      <c r="A8">
        <v>3</v>
      </c>
      <c r="B8">
        <v>10</v>
      </c>
      <c r="E8">
        <v>3</v>
      </c>
      <c r="H8">
        <f t="shared" si="0"/>
        <v>4.10950137820068</v>
      </c>
      <c r="J8">
        <f t="shared" si="1"/>
        <v>359.992320730379</v>
      </c>
      <c r="M8">
        <f t="shared" si="2"/>
        <v>3599.92320730379</v>
      </c>
    </row>
    <row r="9" spans="1:13">
      <c r="A9">
        <v>4</v>
      </c>
      <c r="B9">
        <v>330</v>
      </c>
      <c r="E9">
        <v>4</v>
      </c>
      <c r="F9"/>
      <c r="H9">
        <f t="shared" si="0"/>
        <v>5.47605340569183</v>
      </c>
      <c r="J9">
        <f t="shared" si="1"/>
        <v>479.702278338604</v>
      </c>
      <c r="M9">
        <f t="shared" si="2"/>
        <v>158301.751851739</v>
      </c>
    </row>
    <row r="10" spans="1:13">
      <c r="A10">
        <v>5</v>
      </c>
      <c r="B10">
        <v>560</v>
      </c>
      <c r="E10">
        <v>5</v>
      </c>
      <c r="F10"/>
      <c r="H10">
        <f t="shared" si="0"/>
        <v>6.64091327506191</v>
      </c>
      <c r="J10">
        <f t="shared" si="1"/>
        <v>581.744002895423</v>
      </c>
      <c r="M10">
        <f t="shared" si="2"/>
        <v>325776.641621437</v>
      </c>
    </row>
    <row r="11" spans="1:13">
      <c r="A11">
        <v>6</v>
      </c>
      <c r="B11">
        <v>1000</v>
      </c>
      <c r="E11">
        <v>6</v>
      </c>
      <c r="F11"/>
      <c r="H11">
        <f t="shared" si="0"/>
        <v>7.53181567769739</v>
      </c>
      <c r="J11">
        <f t="shared" si="1"/>
        <v>659.787053366291</v>
      </c>
      <c r="M11">
        <f t="shared" si="2"/>
        <v>659787.053366291</v>
      </c>
    </row>
    <row r="12" spans="1:13">
      <c r="A12">
        <v>7</v>
      </c>
      <c r="B12">
        <v>1470</v>
      </c>
      <c r="E12">
        <v>7</v>
      </c>
      <c r="F12"/>
      <c r="H12">
        <f t="shared" si="0"/>
        <v>8.10387598464449</v>
      </c>
      <c r="J12">
        <f t="shared" si="1"/>
        <v>709.899536254857</v>
      </c>
      <c r="M12">
        <f t="shared" si="2"/>
        <v>1043552.31829464</v>
      </c>
    </row>
    <row r="13" spans="1:13">
      <c r="A13">
        <v>8</v>
      </c>
      <c r="B13">
        <v>1980</v>
      </c>
      <c r="E13">
        <v>8</v>
      </c>
      <c r="F13"/>
      <c r="H13">
        <f t="shared" si="0"/>
        <v>8.34139609292513</v>
      </c>
      <c r="J13">
        <f t="shared" si="1"/>
        <v>730.706297740241</v>
      </c>
      <c r="M13">
        <f t="shared" si="2"/>
        <v>1446798.46952568</v>
      </c>
    </row>
    <row r="14" spans="1:13">
      <c r="A14">
        <v>9</v>
      </c>
      <c r="B14">
        <v>2800</v>
      </c>
      <c r="E14">
        <v>9</v>
      </c>
      <c r="F14"/>
      <c r="H14">
        <f t="shared" si="0"/>
        <v>8.25699566365911</v>
      </c>
      <c r="J14">
        <f t="shared" si="1"/>
        <v>723.312820136538</v>
      </c>
      <c r="M14">
        <f t="shared" si="2"/>
        <v>2025275.89638231</v>
      </c>
    </row>
    <row r="15" spans="1:13">
      <c r="A15">
        <v>10</v>
      </c>
      <c r="B15">
        <v>4000</v>
      </c>
      <c r="E15">
        <v>10</v>
      </c>
      <c r="F15"/>
      <c r="H15">
        <f t="shared" si="0"/>
        <v>7.88780570098248</v>
      </c>
      <c r="J15">
        <f t="shared" si="1"/>
        <v>690.971779406065</v>
      </c>
      <c r="M15">
        <f t="shared" si="2"/>
        <v>2763887.11762426</v>
      </c>
    </row>
    <row r="16" spans="1:13">
      <c r="A16">
        <v>11</v>
      </c>
      <c r="B16">
        <v>4800</v>
      </c>
      <c r="E16">
        <v>11</v>
      </c>
      <c r="F16"/>
      <c r="H16">
        <f t="shared" si="0"/>
        <v>7.28924728642503</v>
      </c>
      <c r="J16">
        <f t="shared" si="1"/>
        <v>638.538062290832</v>
      </c>
      <c r="M16">
        <f t="shared" si="2"/>
        <v>3064982.698996</v>
      </c>
    </row>
    <row r="17" spans="1:13">
      <c r="A17">
        <v>12</v>
      </c>
      <c r="B17">
        <v>5000</v>
      </c>
      <c r="E17">
        <v>12</v>
      </c>
      <c r="F17"/>
      <c r="H17">
        <f t="shared" si="0"/>
        <v>6.5273772359865</v>
      </c>
      <c r="J17">
        <f t="shared" si="1"/>
        <v>571.798245872417</v>
      </c>
      <c r="M17">
        <f t="shared" si="2"/>
        <v>2858991.22936209</v>
      </c>
    </row>
    <row r="18" spans="1:13">
      <c r="A18">
        <v>13</v>
      </c>
      <c r="B18">
        <v>5000</v>
      </c>
      <c r="E18">
        <v>13</v>
      </c>
      <c r="F18"/>
      <c r="H18">
        <f t="shared" si="0"/>
        <v>5.6709670635703</v>
      </c>
      <c r="J18">
        <f t="shared" si="1"/>
        <v>496.776714768759</v>
      </c>
      <c r="M18">
        <f t="shared" si="2"/>
        <v>2483883.57384379</v>
      </c>
    </row>
    <row r="19" spans="1:13">
      <c r="A19">
        <v>14</v>
      </c>
      <c r="B19">
        <v>5000</v>
      </c>
      <c r="E19">
        <v>14</v>
      </c>
      <c r="F19"/>
      <c r="H19">
        <f t="shared" si="0"/>
        <v>4.7844148335523</v>
      </c>
      <c r="J19">
        <f t="shared" si="1"/>
        <v>419.114739419181</v>
      </c>
      <c r="M19">
        <f t="shared" si="2"/>
        <v>2095573.69709591</v>
      </c>
    </row>
    <row r="20" spans="1:13">
      <c r="A20">
        <v>15</v>
      </c>
      <c r="B20">
        <v>5000</v>
      </c>
      <c r="E20">
        <v>15</v>
      </c>
      <c r="F20"/>
      <c r="H20">
        <f t="shared" si="0"/>
        <v>3.92232366716138</v>
      </c>
      <c r="J20">
        <f t="shared" si="1"/>
        <v>343.595553243337</v>
      </c>
      <c r="M20">
        <f t="shared" si="2"/>
        <v>1717977.76621669</v>
      </c>
    </row>
    <row r="21" spans="1:13">
      <c r="A21">
        <v>16</v>
      </c>
      <c r="B21">
        <v>5000</v>
      </c>
      <c r="E21">
        <v>16</v>
      </c>
      <c r="F21"/>
      <c r="H21">
        <f t="shared" si="0"/>
        <v>3.12619848828806</v>
      </c>
      <c r="J21">
        <f t="shared" si="1"/>
        <v>273.854987574034</v>
      </c>
      <c r="M21">
        <f t="shared" si="2"/>
        <v>1369274.93787017</v>
      </c>
    </row>
    <row r="22" spans="1:13">
      <c r="A22">
        <v>17</v>
      </c>
      <c r="B22">
        <v>5000</v>
      </c>
      <c r="E22">
        <v>17</v>
      </c>
      <c r="F22"/>
      <c r="H22">
        <f t="shared" si="0"/>
        <v>2.42330858488223</v>
      </c>
      <c r="J22">
        <f t="shared" si="1"/>
        <v>212.281832035683</v>
      </c>
      <c r="M22">
        <f t="shared" si="2"/>
        <v>1061409.16017842</v>
      </c>
    </row>
    <row r="23" spans="1:13">
      <c r="A23">
        <v>18</v>
      </c>
      <c r="B23">
        <v>5000</v>
      </c>
      <c r="E23">
        <v>18</v>
      </c>
      <c r="F23"/>
      <c r="H23">
        <f t="shared" si="0"/>
        <v>1.82742166371557</v>
      </c>
      <c r="J23">
        <f t="shared" si="1"/>
        <v>160.082137741484</v>
      </c>
      <c r="M23">
        <f t="shared" si="2"/>
        <v>800410.688707419</v>
      </c>
    </row>
    <row r="24" spans="1:13">
      <c r="A24">
        <v>19</v>
      </c>
      <c r="B24">
        <v>5000</v>
      </c>
      <c r="E24">
        <v>19</v>
      </c>
      <c r="F24"/>
      <c r="H24">
        <f t="shared" si="0"/>
        <v>1.34089104837727</v>
      </c>
      <c r="J24">
        <f t="shared" si="1"/>
        <v>117.462055837849</v>
      </c>
      <c r="M24">
        <f t="shared" si="2"/>
        <v>587310.279189243</v>
      </c>
    </row>
    <row r="25" spans="1:13">
      <c r="A25">
        <v>20</v>
      </c>
      <c r="B25">
        <v>5000</v>
      </c>
      <c r="E25">
        <v>20</v>
      </c>
      <c r="F25"/>
      <c r="H25">
        <f t="shared" si="0"/>
        <v>0.957491202054218</v>
      </c>
      <c r="J25">
        <f t="shared" si="1"/>
        <v>83.8762292999495</v>
      </c>
      <c r="M25">
        <f t="shared" si="2"/>
        <v>419381.146499747</v>
      </c>
    </row>
    <row r="26" spans="1:13">
      <c r="A26">
        <v>21</v>
      </c>
      <c r="B26">
        <v>5000</v>
      </c>
      <c r="E26">
        <v>21</v>
      </c>
      <c r="F26"/>
      <c r="H26">
        <f t="shared" si="0"/>
        <v>0.665434050774727</v>
      </c>
      <c r="J26">
        <f t="shared" si="1"/>
        <v>58.2920228478661</v>
      </c>
      <c r="M26">
        <f t="shared" si="2"/>
        <v>291460.114239331</v>
      </c>
    </row>
    <row r="27" spans="1:13">
      <c r="A27">
        <v>22</v>
      </c>
      <c r="B27">
        <v>5000</v>
      </c>
      <c r="E27">
        <v>22</v>
      </c>
      <c r="F27"/>
      <c r="H27">
        <f t="shared" si="0"/>
        <v>0.450122813653977</v>
      </c>
      <c r="J27">
        <f t="shared" si="1"/>
        <v>39.4307584760884</v>
      </c>
      <c r="M27">
        <f t="shared" si="2"/>
        <v>197153.792380442</v>
      </c>
    </row>
    <row r="28" spans="1:13">
      <c r="A28">
        <v>23</v>
      </c>
      <c r="B28">
        <v>5000</v>
      </c>
      <c r="E28">
        <v>23</v>
      </c>
      <c r="F28"/>
      <c r="H28">
        <f t="shared" si="0"/>
        <v>0.296365245292126</v>
      </c>
      <c r="J28">
        <f t="shared" si="1"/>
        <v>25.9615954875902</v>
      </c>
      <c r="M28">
        <f t="shared" si="2"/>
        <v>129807.977437951</v>
      </c>
    </row>
    <row r="29" spans="1:13">
      <c r="A29">
        <v>24</v>
      </c>
      <c r="B29">
        <v>5000</v>
      </c>
      <c r="E29">
        <v>24</v>
      </c>
      <c r="F29"/>
      <c r="H29">
        <f t="shared" si="0"/>
        <v>0.18993205752678</v>
      </c>
      <c r="J29">
        <f t="shared" si="1"/>
        <v>16.6380482393459</v>
      </c>
      <c r="M29">
        <f t="shared" si="2"/>
        <v>83190.2411967296</v>
      </c>
    </row>
    <row r="30" spans="1:13">
      <c r="A30">
        <v>25</v>
      </c>
      <c r="B30">
        <v>5000</v>
      </c>
      <c r="E30">
        <v>25</v>
      </c>
      <c r="F30"/>
      <c r="H30">
        <f t="shared" si="0"/>
        <v>0.118478755569735</v>
      </c>
      <c r="J30">
        <f t="shared" si="1"/>
        <v>10.3787389879088</v>
      </c>
      <c r="M30">
        <f t="shared" si="2"/>
        <v>51893.694939544</v>
      </c>
    </row>
    <row r="31" spans="1:13">
      <c r="A31">
        <v>26</v>
      </c>
      <c r="B31">
        <v>0</v>
      </c>
      <c r="E31">
        <v>26</v>
      </c>
      <c r="F31"/>
      <c r="H31">
        <f t="shared" si="0"/>
        <v>0.0719355922655988</v>
      </c>
      <c r="J31">
        <f t="shared" si="1"/>
        <v>6.30155788246646</v>
      </c>
      <c r="M31">
        <f t="shared" si="2"/>
        <v>0</v>
      </c>
    </row>
    <row r="32" spans="1:13">
      <c r="A32">
        <v>27</v>
      </c>
      <c r="B32">
        <v>0</v>
      </c>
      <c r="E32">
        <v>27</v>
      </c>
      <c r="F32"/>
      <c r="H32">
        <f t="shared" si="0"/>
        <v>0.0425101735737532</v>
      </c>
      <c r="J32">
        <f t="shared" si="1"/>
        <v>3.72389120506078</v>
      </c>
      <c r="M32">
        <f t="shared" si="2"/>
        <v>0</v>
      </c>
    </row>
    <row r="33" spans="1:13">
      <c r="A33">
        <v>28</v>
      </c>
      <c r="B33">
        <v>0</v>
      </c>
      <c r="E33">
        <v>28</v>
      </c>
      <c r="F33"/>
      <c r="H33">
        <f t="shared" si="0"/>
        <v>0.0244493814409206</v>
      </c>
      <c r="J33">
        <f t="shared" si="1"/>
        <v>2.14176581422464</v>
      </c>
      <c r="M33">
        <f t="shared" si="2"/>
        <v>0</v>
      </c>
    </row>
    <row r="34" spans="1:13">
      <c r="A34">
        <v>29</v>
      </c>
      <c r="B34">
        <v>0</v>
      </c>
      <c r="E34">
        <v>29</v>
      </c>
      <c r="F34"/>
      <c r="H34">
        <f t="shared" si="0"/>
        <v>0.0136850212890047</v>
      </c>
      <c r="J34">
        <f t="shared" si="1"/>
        <v>1.19880786491681</v>
      </c>
      <c r="M34">
        <f t="shared" si="2"/>
        <v>0</v>
      </c>
    </row>
    <row r="35" spans="1:13">
      <c r="A35">
        <v>30</v>
      </c>
      <c r="B35">
        <v>0</v>
      </c>
      <c r="E35">
        <v>30</v>
      </c>
      <c r="F35"/>
      <c r="H35">
        <f t="shared" si="0"/>
        <v>0.00745417215081942</v>
      </c>
      <c r="J35">
        <f t="shared" si="1"/>
        <v>0.652985480411781</v>
      </c>
      <c r="M35">
        <f t="shared" si="2"/>
        <v>0</v>
      </c>
    </row>
    <row r="37" spans="11:13">
      <c r="K37" t="s">
        <v>98</v>
      </c>
      <c r="M37">
        <f>SUM(M5:M35)</f>
        <v>25639680.1700271</v>
      </c>
    </row>
    <row r="38" spans="11:13">
      <c r="K38" t="s">
        <v>99</v>
      </c>
      <c r="M38">
        <f>M37/(365*24)</f>
        <v>2926.90412899853</v>
      </c>
    </row>
    <row r="75" spans="1:2">
      <c r="A75">
        <v>2</v>
      </c>
      <c r="B75">
        <v>0</v>
      </c>
    </row>
    <row r="76" spans="1:2">
      <c r="A76">
        <v>3</v>
      </c>
      <c r="B76">
        <v>10</v>
      </c>
    </row>
    <row r="77" spans="1:2">
      <c r="A77">
        <v>4</v>
      </c>
      <c r="B77">
        <v>330</v>
      </c>
    </row>
    <row r="78" spans="1:2">
      <c r="A78">
        <v>5</v>
      </c>
      <c r="B78">
        <v>560</v>
      </c>
    </row>
    <row r="79" spans="1:2">
      <c r="A79">
        <v>6</v>
      </c>
      <c r="B79">
        <v>1000</v>
      </c>
    </row>
    <row r="80" spans="1:2">
      <c r="A80">
        <v>7</v>
      </c>
      <c r="B80">
        <v>1470</v>
      </c>
    </row>
    <row r="81" spans="1:2">
      <c r="A81">
        <v>8</v>
      </c>
      <c r="B81">
        <v>1980</v>
      </c>
    </row>
    <row r="82" spans="1:2">
      <c r="A82">
        <v>9</v>
      </c>
      <c r="B82">
        <v>2800</v>
      </c>
    </row>
    <row r="83" spans="1:2">
      <c r="A83">
        <v>10</v>
      </c>
      <c r="B83">
        <v>4000</v>
      </c>
    </row>
    <row r="84" spans="1:2">
      <c r="A84">
        <v>11</v>
      </c>
      <c r="B84">
        <v>4800</v>
      </c>
    </row>
    <row r="85" spans="1:2">
      <c r="A85">
        <v>12</v>
      </c>
      <c r="B85">
        <v>5000</v>
      </c>
    </row>
    <row r="90" spans="2:2">
      <c r="B90">
        <v>9.44</v>
      </c>
    </row>
    <row r="92" spans="2:2">
      <c r="B92">
        <f>-0.0727*(B90^6)+2.3619*(B90^5)-28.739*(B90^4)+162.81*(B90^3)-380.22*(B90^2)+295.01*B90</f>
        <v>3252.71647368109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60"/>
  <sheetViews>
    <sheetView zoomScale="90" zoomScaleNormal="90" topLeftCell="A3" workbookViewId="0">
      <selection activeCell="M37" sqref="M37"/>
    </sheetView>
  </sheetViews>
  <sheetFormatPr defaultColWidth="8.88888888888889" defaultRowHeight="14.4"/>
  <cols>
    <col min="1" max="1" width="13.6666666666667" customWidth="1"/>
    <col min="4" max="4" width="10.6666666666667"/>
    <col min="5" max="5" width="15" customWidth="1"/>
    <col min="13" max="13" width="12.8888888888889"/>
  </cols>
  <sheetData>
    <row r="3" spans="1:13">
      <c r="A3" t="s">
        <v>93</v>
      </c>
      <c r="B3" t="s">
        <v>94</v>
      </c>
      <c r="E3" t="s">
        <v>93</v>
      </c>
      <c r="F3"/>
      <c r="H3" t="s">
        <v>95</v>
      </c>
      <c r="J3" t="s">
        <v>96</v>
      </c>
      <c r="M3" t="s">
        <v>97</v>
      </c>
    </row>
    <row r="4" spans="1:13">
      <c r="A4">
        <v>0</v>
      </c>
      <c r="B4">
        <v>0</v>
      </c>
      <c r="E4">
        <v>0</v>
      </c>
      <c r="H4">
        <f t="shared" ref="H4:H34" si="0">WEIBULL(A4,2.18,10.9,FALSE)*100</f>
        <v>0</v>
      </c>
      <c r="J4">
        <f t="shared" ref="J4:J34" si="1">365*24*(H4/100)</f>
        <v>0</v>
      </c>
      <c r="M4">
        <f>(J4*B4)</f>
        <v>0</v>
      </c>
    </row>
    <row r="5" spans="1:13">
      <c r="A5">
        <v>1</v>
      </c>
      <c r="B5">
        <v>0</v>
      </c>
      <c r="E5">
        <v>1</v>
      </c>
      <c r="H5">
        <f t="shared" si="0"/>
        <v>1.18710414891853</v>
      </c>
      <c r="J5">
        <f t="shared" si="1"/>
        <v>103.990323445263</v>
      </c>
      <c r="M5">
        <f>(J5*B5)</f>
        <v>0</v>
      </c>
    </row>
    <row r="6" spans="1:13">
      <c r="A6">
        <v>2</v>
      </c>
      <c r="B6">
        <v>0</v>
      </c>
      <c r="E6">
        <v>2</v>
      </c>
      <c r="H6">
        <f t="shared" si="0"/>
        <v>2.63819298265326</v>
      </c>
      <c r="J6">
        <f t="shared" si="1"/>
        <v>231.105705280426</v>
      </c>
      <c r="M6">
        <f>(J6*B6)</f>
        <v>0</v>
      </c>
    </row>
    <row r="7" spans="1:13">
      <c r="A7">
        <v>3</v>
      </c>
      <c r="B7">
        <v>0</v>
      </c>
      <c r="E7">
        <v>3</v>
      </c>
      <c r="H7">
        <f t="shared" si="0"/>
        <v>4.10950137820068</v>
      </c>
      <c r="J7">
        <f t="shared" si="1"/>
        <v>359.992320730379</v>
      </c>
      <c r="M7">
        <f>(J7*B7)</f>
        <v>0</v>
      </c>
    </row>
    <row r="8" spans="1:13">
      <c r="A8">
        <v>4</v>
      </c>
      <c r="B8">
        <v>109</v>
      </c>
      <c r="E8">
        <v>4</v>
      </c>
      <c r="F8"/>
      <c r="H8">
        <f t="shared" si="0"/>
        <v>5.47605340569183</v>
      </c>
      <c r="J8">
        <f t="shared" si="1"/>
        <v>479.702278338604</v>
      </c>
      <c r="M8">
        <f>(J8*B8)</f>
        <v>52287.5483389079</v>
      </c>
    </row>
    <row r="9" spans="1:13">
      <c r="A9">
        <v>5</v>
      </c>
      <c r="B9">
        <v>313</v>
      </c>
      <c r="E9">
        <v>5</v>
      </c>
      <c r="F9"/>
      <c r="H9">
        <f t="shared" si="0"/>
        <v>6.64091327506191</v>
      </c>
      <c r="J9">
        <f t="shared" si="1"/>
        <v>581.744002895423</v>
      </c>
      <c r="M9">
        <f>(J9*B9)</f>
        <v>182085.872906268</v>
      </c>
    </row>
    <row r="10" spans="1:13">
      <c r="A10">
        <v>6</v>
      </c>
      <c r="B10">
        <v>625</v>
      </c>
      <c r="E10">
        <v>6</v>
      </c>
      <c r="F10"/>
      <c r="H10">
        <f t="shared" si="0"/>
        <v>7.53181567769739</v>
      </c>
      <c r="J10">
        <f t="shared" si="1"/>
        <v>659.787053366291</v>
      </c>
      <c r="M10">
        <f>(J10*B10)</f>
        <v>412366.908353932</v>
      </c>
    </row>
    <row r="11" spans="1:13">
      <c r="A11">
        <v>7</v>
      </c>
      <c r="B11">
        <v>1085</v>
      </c>
      <c r="E11">
        <v>7</v>
      </c>
      <c r="F11"/>
      <c r="H11">
        <f t="shared" si="0"/>
        <v>8.10387598464449</v>
      </c>
      <c r="J11">
        <f t="shared" si="1"/>
        <v>709.899536254857</v>
      </c>
      <c r="M11">
        <f>(J11*B11)</f>
        <v>770240.99683652</v>
      </c>
    </row>
    <row r="12" spans="1:13">
      <c r="A12">
        <v>8</v>
      </c>
      <c r="B12">
        <v>1700</v>
      </c>
      <c r="E12">
        <v>8</v>
      </c>
      <c r="F12"/>
      <c r="H12">
        <f t="shared" si="0"/>
        <v>8.34139609292513</v>
      </c>
      <c r="J12">
        <f t="shared" si="1"/>
        <v>730.706297740241</v>
      </c>
      <c r="M12">
        <f t="shared" ref="M12:M34" si="2">(J12*B12)</f>
        <v>1242200.70615841</v>
      </c>
    </row>
    <row r="13" spans="1:13">
      <c r="A13">
        <v>9</v>
      </c>
      <c r="B13">
        <v>2450</v>
      </c>
      <c r="E13">
        <v>9</v>
      </c>
      <c r="F13"/>
      <c r="H13">
        <f t="shared" si="0"/>
        <v>8.25699566365911</v>
      </c>
      <c r="J13">
        <f t="shared" si="1"/>
        <v>723.312820136538</v>
      </c>
      <c r="M13">
        <f t="shared" si="2"/>
        <v>1772116.40933452</v>
      </c>
    </row>
    <row r="14" spans="1:13">
      <c r="A14">
        <v>10</v>
      </c>
      <c r="B14">
        <v>3360</v>
      </c>
      <c r="E14">
        <v>10</v>
      </c>
      <c r="F14"/>
      <c r="H14">
        <f t="shared" si="0"/>
        <v>7.88780570098248</v>
      </c>
      <c r="J14">
        <f t="shared" si="1"/>
        <v>690.971779406065</v>
      </c>
      <c r="M14">
        <f t="shared" si="2"/>
        <v>2321665.17880438</v>
      </c>
    </row>
    <row r="15" spans="1:13">
      <c r="A15">
        <v>11</v>
      </c>
      <c r="B15">
        <v>4405</v>
      </c>
      <c r="E15">
        <v>11</v>
      </c>
      <c r="F15"/>
      <c r="H15">
        <f t="shared" si="0"/>
        <v>7.28924728642503</v>
      </c>
      <c r="J15">
        <f t="shared" si="1"/>
        <v>638.538062290832</v>
      </c>
      <c r="M15">
        <f t="shared" si="2"/>
        <v>2812760.16439112</v>
      </c>
    </row>
    <row r="16" spans="1:13">
      <c r="A16">
        <v>12</v>
      </c>
      <c r="B16">
        <v>5390</v>
      </c>
      <c r="E16">
        <v>12</v>
      </c>
      <c r="F16"/>
      <c r="H16">
        <f t="shared" si="0"/>
        <v>6.5273772359865</v>
      </c>
      <c r="J16">
        <f t="shared" si="1"/>
        <v>571.798245872417</v>
      </c>
      <c r="M16">
        <f t="shared" si="2"/>
        <v>3081992.54525233</v>
      </c>
    </row>
    <row r="17" spans="1:13">
      <c r="A17">
        <v>13</v>
      </c>
      <c r="B17">
        <v>6100</v>
      </c>
      <c r="E17">
        <v>13</v>
      </c>
      <c r="F17"/>
      <c r="H17">
        <f t="shared" si="0"/>
        <v>5.6709670635703</v>
      </c>
      <c r="J17">
        <f t="shared" si="1"/>
        <v>496.776714768759</v>
      </c>
      <c r="M17">
        <f t="shared" si="2"/>
        <v>3030337.96008943</v>
      </c>
    </row>
    <row r="18" spans="1:13">
      <c r="A18">
        <v>14</v>
      </c>
      <c r="B18">
        <v>6200</v>
      </c>
      <c r="E18">
        <v>14</v>
      </c>
      <c r="F18"/>
      <c r="H18">
        <f t="shared" si="0"/>
        <v>4.7844148335523</v>
      </c>
      <c r="J18">
        <f t="shared" si="1"/>
        <v>419.114739419181</v>
      </c>
      <c r="M18">
        <f t="shared" si="2"/>
        <v>2598511.38439892</v>
      </c>
    </row>
    <row r="19" spans="1:13">
      <c r="A19">
        <v>15</v>
      </c>
      <c r="B19">
        <v>6200</v>
      </c>
      <c r="E19">
        <v>15</v>
      </c>
      <c r="F19"/>
      <c r="H19">
        <f t="shared" si="0"/>
        <v>3.92232366716138</v>
      </c>
      <c r="J19">
        <f t="shared" si="1"/>
        <v>343.595553243337</v>
      </c>
      <c r="M19">
        <f t="shared" si="2"/>
        <v>2130292.43010869</v>
      </c>
    </row>
    <row r="20" spans="1:13">
      <c r="A20">
        <v>16</v>
      </c>
      <c r="B20">
        <v>6200</v>
      </c>
      <c r="E20">
        <v>16</v>
      </c>
      <c r="F20"/>
      <c r="H20">
        <f t="shared" si="0"/>
        <v>3.12619848828806</v>
      </c>
      <c r="J20">
        <f t="shared" si="1"/>
        <v>273.854987574034</v>
      </c>
      <c r="M20">
        <f t="shared" si="2"/>
        <v>1697900.92295901</v>
      </c>
    </row>
    <row r="21" spans="1:13">
      <c r="A21">
        <v>17</v>
      </c>
      <c r="B21">
        <v>6200</v>
      </c>
      <c r="E21">
        <v>17</v>
      </c>
      <c r="F21"/>
      <c r="H21">
        <f t="shared" si="0"/>
        <v>2.42330858488223</v>
      </c>
      <c r="J21">
        <f t="shared" si="1"/>
        <v>212.281832035683</v>
      </c>
      <c r="M21">
        <f t="shared" si="2"/>
        <v>1316147.35862123</v>
      </c>
    </row>
    <row r="22" spans="1:13">
      <c r="A22">
        <v>18</v>
      </c>
      <c r="B22">
        <v>6200</v>
      </c>
      <c r="E22">
        <v>18</v>
      </c>
      <c r="F22"/>
      <c r="H22">
        <f t="shared" si="0"/>
        <v>1.82742166371557</v>
      </c>
      <c r="J22">
        <f t="shared" si="1"/>
        <v>160.082137741484</v>
      </c>
      <c r="M22">
        <f t="shared" si="2"/>
        <v>992509.253997199</v>
      </c>
    </row>
    <row r="23" spans="1:13">
      <c r="A23">
        <v>19</v>
      </c>
      <c r="B23">
        <v>6200</v>
      </c>
      <c r="E23">
        <v>19</v>
      </c>
      <c r="F23"/>
      <c r="H23">
        <f t="shared" si="0"/>
        <v>1.34089104837727</v>
      </c>
      <c r="J23">
        <f t="shared" si="1"/>
        <v>117.462055837849</v>
      </c>
      <c r="M23">
        <f t="shared" si="2"/>
        <v>728264.746194661</v>
      </c>
    </row>
    <row r="24" spans="1:13">
      <c r="A24">
        <v>20</v>
      </c>
      <c r="B24">
        <v>6200</v>
      </c>
      <c r="E24">
        <v>20</v>
      </c>
      <c r="F24"/>
      <c r="H24">
        <f t="shared" si="0"/>
        <v>0.957491202054218</v>
      </c>
      <c r="J24">
        <f t="shared" si="1"/>
        <v>83.8762292999495</v>
      </c>
      <c r="M24">
        <f t="shared" si="2"/>
        <v>520032.621659687</v>
      </c>
    </row>
    <row r="25" spans="1:13">
      <c r="A25">
        <v>21</v>
      </c>
      <c r="B25">
        <v>6200</v>
      </c>
      <c r="E25">
        <v>21</v>
      </c>
      <c r="F25"/>
      <c r="H25">
        <f t="shared" si="0"/>
        <v>0.665434050774727</v>
      </c>
      <c r="J25">
        <f t="shared" si="1"/>
        <v>58.2920228478661</v>
      </c>
      <c r="M25">
        <f t="shared" si="2"/>
        <v>361410.54165677</v>
      </c>
    </row>
    <row r="26" spans="1:13">
      <c r="A26">
        <v>22</v>
      </c>
      <c r="B26">
        <v>6200</v>
      </c>
      <c r="E26">
        <v>22</v>
      </c>
      <c r="F26"/>
      <c r="H26">
        <f t="shared" si="0"/>
        <v>0.450122813653977</v>
      </c>
      <c r="J26">
        <f t="shared" si="1"/>
        <v>39.4307584760884</v>
      </c>
      <c r="M26">
        <f t="shared" si="2"/>
        <v>244470.702551748</v>
      </c>
    </row>
    <row r="27" spans="1:13">
      <c r="A27">
        <v>23</v>
      </c>
      <c r="B27">
        <v>6200</v>
      </c>
      <c r="E27">
        <v>23</v>
      </c>
      <c r="F27"/>
      <c r="H27">
        <f t="shared" si="0"/>
        <v>0.296365245292126</v>
      </c>
      <c r="J27">
        <f t="shared" si="1"/>
        <v>25.9615954875902</v>
      </c>
      <c r="M27">
        <f t="shared" si="2"/>
        <v>160961.892023059</v>
      </c>
    </row>
    <row r="28" spans="1:13">
      <c r="A28">
        <v>24</v>
      </c>
      <c r="B28">
        <v>6200</v>
      </c>
      <c r="E28">
        <v>24</v>
      </c>
      <c r="F28"/>
      <c r="H28">
        <f t="shared" si="0"/>
        <v>0.18993205752678</v>
      </c>
      <c r="J28">
        <f t="shared" si="1"/>
        <v>16.6380482393459</v>
      </c>
      <c r="M28">
        <f t="shared" si="2"/>
        <v>103155.899083945</v>
      </c>
    </row>
    <row r="29" spans="1:13">
      <c r="A29">
        <v>25</v>
      </c>
      <c r="B29">
        <v>6200</v>
      </c>
      <c r="E29">
        <v>25</v>
      </c>
      <c r="F29"/>
      <c r="H29">
        <f t="shared" si="0"/>
        <v>0.118478755569735</v>
      </c>
      <c r="J29">
        <f t="shared" si="1"/>
        <v>10.3787389879088</v>
      </c>
      <c r="M29">
        <f t="shared" si="2"/>
        <v>64348.1817250345</v>
      </c>
    </row>
    <row r="30" spans="1:13">
      <c r="A30">
        <v>26</v>
      </c>
      <c r="B30">
        <v>6200</v>
      </c>
      <c r="E30">
        <v>26</v>
      </c>
      <c r="F30"/>
      <c r="H30">
        <f t="shared" si="0"/>
        <v>0.0719355922655988</v>
      </c>
      <c r="J30">
        <f t="shared" si="1"/>
        <v>6.30155788246646</v>
      </c>
      <c r="M30">
        <f t="shared" si="2"/>
        <v>39069.658871292</v>
      </c>
    </row>
    <row r="31" spans="1:13">
      <c r="A31">
        <v>27</v>
      </c>
      <c r="B31">
        <v>6200</v>
      </c>
      <c r="E31">
        <v>27</v>
      </c>
      <c r="F31"/>
      <c r="H31">
        <f t="shared" si="0"/>
        <v>0.0425101735737532</v>
      </c>
      <c r="J31">
        <f t="shared" si="1"/>
        <v>3.72389120506078</v>
      </c>
      <c r="M31">
        <f t="shared" si="2"/>
        <v>23088.1254713768</v>
      </c>
    </row>
    <row r="32" spans="1:13">
      <c r="A32">
        <v>28</v>
      </c>
      <c r="B32">
        <v>6200</v>
      </c>
      <c r="E32">
        <v>28</v>
      </c>
      <c r="F32"/>
      <c r="H32">
        <f t="shared" si="0"/>
        <v>0.0244493814409206</v>
      </c>
      <c r="J32">
        <f t="shared" si="1"/>
        <v>2.14176581422464</v>
      </c>
      <c r="M32">
        <f t="shared" si="2"/>
        <v>13278.9480481928</v>
      </c>
    </row>
    <row r="33" spans="1:13">
      <c r="A33">
        <v>29</v>
      </c>
      <c r="B33">
        <v>6200</v>
      </c>
      <c r="E33">
        <v>29</v>
      </c>
      <c r="F33"/>
      <c r="H33">
        <f t="shared" si="0"/>
        <v>0.0136850212890047</v>
      </c>
      <c r="J33">
        <f t="shared" si="1"/>
        <v>1.19880786491681</v>
      </c>
      <c r="M33">
        <f t="shared" si="2"/>
        <v>7432.60876248424</v>
      </c>
    </row>
    <row r="34" spans="1:13">
      <c r="A34">
        <v>30</v>
      </c>
      <c r="B34">
        <v>6200</v>
      </c>
      <c r="E34">
        <v>30</v>
      </c>
      <c r="F34"/>
      <c r="H34">
        <f t="shared" si="0"/>
        <v>0.00745417215081942</v>
      </c>
      <c r="J34">
        <f t="shared" si="1"/>
        <v>0.652985480411781</v>
      </c>
      <c r="M34">
        <f t="shared" si="2"/>
        <v>4048.50997855304</v>
      </c>
    </row>
    <row r="36" spans="11:13">
      <c r="K36" t="s">
        <v>98</v>
      </c>
      <c r="M36">
        <f>SUM(M4:M34)</f>
        <v>26682978.0765777</v>
      </c>
    </row>
    <row r="37" spans="11:13">
      <c r="K37" t="s">
        <v>99</v>
      </c>
      <c r="M37">
        <f>M36/(365*24)</f>
        <v>3046.00206353626</v>
      </c>
    </row>
    <row r="58" spans="4:4">
      <c r="D58">
        <v>13</v>
      </c>
    </row>
    <row r="60" spans="4:4">
      <c r="D60">
        <f>-0.1801*(D58^5)+5.9399*(D58^4)-73.079*(D58^3)+481.82*(D58^2)-1473.9*(D58)+1624.9</f>
        <v>6116.83159999999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AD 5-116</vt:lpstr>
      <vt:lpstr>Senvion 6.2M 126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dcterms:created xsi:type="dcterms:W3CDTF">2016-12-13T14:57:48Z</dcterms:created>
  <dcterms:modified xsi:type="dcterms:W3CDTF">2016-12-16T15:11:39Z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