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rtijn van Essen\Dropbox\Haagse_Hogeschool_Electrotechniek\Leerjaar_2\P2\PROENT\HHS_PROENT-1617\Projectinformatie\"/>
    </mc:Choice>
  </mc:AlternateContent>
  <bookViews>
    <workbookView xWindow="0" yWindow="0" windowWidth="19200" windowHeight="9885" activeTab="1"/>
  </bookViews>
  <sheets>
    <sheet name="Sheet1" sheetId="1" r:id="rId1"/>
    <sheet name="AD 5-116" sheetId="2" r:id="rId2"/>
    <sheet name="Senvion 6.2M 126" sheetId="3" r:id="rId3"/>
    <sheet name="Vestas V164" sheetId="4" r:id="rId4"/>
  </sheets>
  <calcPr calcId="152511"/>
</workbook>
</file>

<file path=xl/calcChain.xml><?xml version="1.0" encoding="utf-8"?>
<calcChain xmlns="http://schemas.openxmlformats.org/spreadsheetml/2006/main">
  <c r="J6" i="4" l="1"/>
  <c r="M36" i="4"/>
  <c r="M3" i="4"/>
  <c r="M34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H4" i="3"/>
  <c r="U36" i="3" l="1"/>
  <c r="R34" i="4"/>
  <c r="M39" i="2"/>
  <c r="M38" i="3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H5" i="4"/>
  <c r="J5" i="4" s="1"/>
  <c r="H4" i="4"/>
  <c r="J4" i="4" s="1"/>
  <c r="H3" i="4"/>
  <c r="J3" i="4" s="1"/>
  <c r="H2" i="4"/>
  <c r="J2" i="4" s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E6" i="1"/>
  <c r="D6" i="1"/>
  <c r="O38" i="3" l="1"/>
  <c r="O39" i="2"/>
  <c r="O37" i="3"/>
  <c r="O36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4" i="3"/>
  <c r="O38" i="2"/>
  <c r="O37" i="2"/>
  <c r="M37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5" i="2"/>
  <c r="D60" i="3"/>
  <c r="H34" i="3"/>
  <c r="J34" i="3" s="1"/>
  <c r="M34" i="3" s="1"/>
  <c r="H33" i="3"/>
  <c r="J33" i="3" s="1"/>
  <c r="M33" i="3" s="1"/>
  <c r="H32" i="3"/>
  <c r="J32" i="3" s="1"/>
  <c r="M32" i="3" s="1"/>
  <c r="J31" i="3"/>
  <c r="M31" i="3" s="1"/>
  <c r="H31" i="3"/>
  <c r="H30" i="3"/>
  <c r="J30" i="3" s="1"/>
  <c r="M30" i="3" s="1"/>
  <c r="H29" i="3"/>
  <c r="J29" i="3" s="1"/>
  <c r="M29" i="3" s="1"/>
  <c r="H28" i="3"/>
  <c r="J28" i="3" s="1"/>
  <c r="M28" i="3" s="1"/>
  <c r="H27" i="3"/>
  <c r="J27" i="3" s="1"/>
  <c r="M27" i="3" s="1"/>
  <c r="H26" i="3"/>
  <c r="J26" i="3" s="1"/>
  <c r="M26" i="3" s="1"/>
  <c r="H25" i="3"/>
  <c r="J25" i="3" s="1"/>
  <c r="M25" i="3" s="1"/>
  <c r="H24" i="3"/>
  <c r="J24" i="3" s="1"/>
  <c r="M24" i="3" s="1"/>
  <c r="H23" i="3"/>
  <c r="J23" i="3" s="1"/>
  <c r="M23" i="3" s="1"/>
  <c r="H22" i="3"/>
  <c r="J22" i="3" s="1"/>
  <c r="M22" i="3" s="1"/>
  <c r="H21" i="3"/>
  <c r="J21" i="3" s="1"/>
  <c r="M21" i="3" s="1"/>
  <c r="H20" i="3"/>
  <c r="J20" i="3" s="1"/>
  <c r="M20" i="3" s="1"/>
  <c r="H19" i="3"/>
  <c r="J19" i="3" s="1"/>
  <c r="M19" i="3" s="1"/>
  <c r="H18" i="3"/>
  <c r="J18" i="3" s="1"/>
  <c r="M18" i="3" s="1"/>
  <c r="H17" i="3"/>
  <c r="J17" i="3" s="1"/>
  <c r="M17" i="3" s="1"/>
  <c r="H16" i="3"/>
  <c r="J16" i="3" s="1"/>
  <c r="M16" i="3" s="1"/>
  <c r="J15" i="3"/>
  <c r="M15" i="3" s="1"/>
  <c r="H15" i="3"/>
  <c r="H14" i="3"/>
  <c r="J14" i="3" s="1"/>
  <c r="M14" i="3" s="1"/>
  <c r="H13" i="3"/>
  <c r="J13" i="3" s="1"/>
  <c r="M13" i="3" s="1"/>
  <c r="H12" i="3"/>
  <c r="J12" i="3" s="1"/>
  <c r="M12" i="3" s="1"/>
  <c r="J11" i="3"/>
  <c r="M11" i="3" s="1"/>
  <c r="H11" i="3"/>
  <c r="H10" i="3"/>
  <c r="J10" i="3" s="1"/>
  <c r="M10" i="3" s="1"/>
  <c r="H9" i="3"/>
  <c r="J9" i="3" s="1"/>
  <c r="M9" i="3" s="1"/>
  <c r="H8" i="3"/>
  <c r="J8" i="3" s="1"/>
  <c r="M8" i="3" s="1"/>
  <c r="J7" i="3"/>
  <c r="M7" i="3" s="1"/>
  <c r="H7" i="3"/>
  <c r="H6" i="3"/>
  <c r="J6" i="3" s="1"/>
  <c r="M6" i="3" s="1"/>
  <c r="H5" i="3"/>
  <c r="J5" i="3" s="1"/>
  <c r="M5" i="3" s="1"/>
  <c r="J4" i="3"/>
  <c r="M4" i="3" s="1"/>
  <c r="B92" i="2"/>
  <c r="H35" i="2"/>
  <c r="J35" i="2" s="1"/>
  <c r="M35" i="2" s="1"/>
  <c r="H34" i="2"/>
  <c r="J34" i="2" s="1"/>
  <c r="M34" i="2" s="1"/>
  <c r="H33" i="2"/>
  <c r="J33" i="2" s="1"/>
  <c r="M33" i="2" s="1"/>
  <c r="H32" i="2"/>
  <c r="J32" i="2" s="1"/>
  <c r="M32" i="2" s="1"/>
  <c r="H31" i="2"/>
  <c r="J31" i="2" s="1"/>
  <c r="M31" i="2" s="1"/>
  <c r="H30" i="2"/>
  <c r="J30" i="2" s="1"/>
  <c r="M30" i="2" s="1"/>
  <c r="H29" i="2"/>
  <c r="J29" i="2" s="1"/>
  <c r="M29" i="2" s="1"/>
  <c r="H28" i="2"/>
  <c r="J28" i="2" s="1"/>
  <c r="M28" i="2" s="1"/>
  <c r="H27" i="2"/>
  <c r="J27" i="2" s="1"/>
  <c r="M27" i="2" s="1"/>
  <c r="H26" i="2"/>
  <c r="J26" i="2" s="1"/>
  <c r="M26" i="2" s="1"/>
  <c r="H25" i="2"/>
  <c r="J25" i="2" s="1"/>
  <c r="M25" i="2" s="1"/>
  <c r="H24" i="2"/>
  <c r="J24" i="2" s="1"/>
  <c r="M24" i="2" s="1"/>
  <c r="H23" i="2"/>
  <c r="J23" i="2" s="1"/>
  <c r="M23" i="2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7" i="2"/>
  <c r="J17" i="2" s="1"/>
  <c r="M17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J7" i="2" s="1"/>
  <c r="M7" i="2" s="1"/>
  <c r="H6" i="2"/>
  <c r="J6" i="2" s="1"/>
  <c r="M6" i="2" s="1"/>
  <c r="H5" i="2"/>
  <c r="J5" i="2" s="1"/>
  <c r="M5" i="2" s="1"/>
  <c r="J39" i="1"/>
  <c r="F39" i="1"/>
  <c r="G39" i="1" s="1"/>
  <c r="H39" i="1" s="1"/>
  <c r="I39" i="1" s="1"/>
  <c r="J38" i="1"/>
  <c r="F38" i="1"/>
  <c r="G38" i="1" s="1"/>
  <c r="H38" i="1" s="1"/>
  <c r="I38" i="1" s="1"/>
  <c r="J37" i="1"/>
  <c r="F37" i="1"/>
  <c r="G37" i="1" s="1"/>
  <c r="H37" i="1" s="1"/>
  <c r="I37" i="1" s="1"/>
  <c r="J36" i="1"/>
  <c r="F36" i="1"/>
  <c r="G36" i="1" s="1"/>
  <c r="H36" i="1" s="1"/>
  <c r="I36" i="1" s="1"/>
  <c r="J35" i="1"/>
  <c r="F35" i="1"/>
  <c r="G35" i="1" s="1"/>
  <c r="H35" i="1" s="1"/>
  <c r="I35" i="1" s="1"/>
  <c r="J34" i="1"/>
  <c r="F34" i="1"/>
  <c r="G34" i="1" s="1"/>
  <c r="H34" i="1" s="1"/>
  <c r="I34" i="1" s="1"/>
  <c r="J33" i="1"/>
  <c r="F33" i="1"/>
  <c r="G33" i="1" s="1"/>
  <c r="H33" i="1" s="1"/>
  <c r="I33" i="1" s="1"/>
  <c r="J32" i="1"/>
  <c r="F32" i="1"/>
  <c r="G32" i="1" s="1"/>
  <c r="H32" i="1" s="1"/>
  <c r="I32" i="1" s="1"/>
  <c r="J31" i="1"/>
  <c r="F31" i="1"/>
  <c r="G31" i="1" s="1"/>
  <c r="H31" i="1" s="1"/>
  <c r="I31" i="1" s="1"/>
  <c r="J30" i="1"/>
  <c r="F30" i="1"/>
  <c r="G30" i="1" s="1"/>
  <c r="H30" i="1" s="1"/>
  <c r="I30" i="1" s="1"/>
  <c r="J29" i="1"/>
  <c r="F29" i="1"/>
  <c r="G29" i="1" s="1"/>
  <c r="H29" i="1" s="1"/>
  <c r="I29" i="1" s="1"/>
  <c r="J28" i="1"/>
  <c r="F28" i="1"/>
  <c r="G28" i="1" s="1"/>
  <c r="H28" i="1" s="1"/>
  <c r="I28" i="1" s="1"/>
  <c r="J27" i="1"/>
  <c r="F27" i="1"/>
  <c r="G27" i="1" s="1"/>
  <c r="H27" i="1" s="1"/>
  <c r="I27" i="1" s="1"/>
  <c r="J26" i="1"/>
  <c r="F26" i="1"/>
  <c r="G26" i="1" s="1"/>
  <c r="H26" i="1" s="1"/>
  <c r="I26" i="1" s="1"/>
  <c r="J25" i="1"/>
  <c r="F25" i="1"/>
  <c r="G25" i="1" s="1"/>
  <c r="H25" i="1" s="1"/>
  <c r="I25" i="1" s="1"/>
  <c r="J24" i="1"/>
  <c r="F24" i="1"/>
  <c r="G24" i="1" s="1"/>
  <c r="H24" i="1" s="1"/>
  <c r="I24" i="1" s="1"/>
  <c r="J23" i="1"/>
  <c r="F23" i="1"/>
  <c r="G23" i="1" s="1"/>
  <c r="H23" i="1" s="1"/>
  <c r="I23" i="1" s="1"/>
  <c r="J22" i="1"/>
  <c r="F22" i="1"/>
  <c r="G22" i="1" s="1"/>
  <c r="H22" i="1" s="1"/>
  <c r="I22" i="1" s="1"/>
  <c r="J21" i="1"/>
  <c r="F21" i="1"/>
  <c r="G21" i="1" s="1"/>
  <c r="H21" i="1" s="1"/>
  <c r="I21" i="1" s="1"/>
  <c r="J20" i="1"/>
  <c r="F20" i="1"/>
  <c r="G20" i="1" s="1"/>
  <c r="H20" i="1" s="1"/>
  <c r="I20" i="1" s="1"/>
  <c r="J19" i="1"/>
  <c r="F19" i="1"/>
  <c r="G19" i="1" s="1"/>
  <c r="H19" i="1" s="1"/>
  <c r="I19" i="1" s="1"/>
  <c r="J18" i="1"/>
  <c r="F18" i="1"/>
  <c r="G18" i="1" s="1"/>
  <c r="H18" i="1" s="1"/>
  <c r="I18" i="1" s="1"/>
  <c r="J17" i="1"/>
  <c r="F17" i="1"/>
  <c r="G17" i="1" s="1"/>
  <c r="H17" i="1" s="1"/>
  <c r="I17" i="1" s="1"/>
  <c r="J16" i="1"/>
  <c r="F16" i="1"/>
  <c r="G16" i="1" s="1"/>
  <c r="H16" i="1" s="1"/>
  <c r="I16" i="1" s="1"/>
  <c r="J15" i="1"/>
  <c r="F15" i="1"/>
  <c r="G15" i="1" s="1"/>
  <c r="H15" i="1" s="1"/>
  <c r="I15" i="1" s="1"/>
  <c r="J14" i="1"/>
  <c r="F14" i="1"/>
  <c r="G14" i="1" s="1"/>
  <c r="H14" i="1" s="1"/>
  <c r="I14" i="1" s="1"/>
  <c r="J13" i="1"/>
  <c r="F13" i="1"/>
  <c r="G13" i="1" s="1"/>
  <c r="H13" i="1" s="1"/>
  <c r="I13" i="1" s="1"/>
  <c r="J12" i="1"/>
  <c r="F12" i="1"/>
  <c r="G12" i="1" s="1"/>
  <c r="H12" i="1" s="1"/>
  <c r="I12" i="1" s="1"/>
  <c r="P11" i="1"/>
  <c r="J11" i="1"/>
  <c r="F11" i="1"/>
  <c r="G11" i="1" s="1"/>
  <c r="J10" i="1"/>
  <c r="F10" i="1"/>
  <c r="G10" i="1" s="1"/>
  <c r="H10" i="1" s="1"/>
  <c r="I10" i="1" s="1"/>
  <c r="P9" i="1"/>
  <c r="J9" i="1"/>
  <c r="F9" i="1"/>
  <c r="G9" i="1" s="1"/>
  <c r="J8" i="1"/>
  <c r="F8" i="1"/>
  <c r="G8" i="1" s="1"/>
  <c r="H8" i="1" s="1"/>
  <c r="I8" i="1" s="1"/>
  <c r="J7" i="1"/>
  <c r="F7" i="1"/>
  <c r="G7" i="1" s="1"/>
  <c r="H7" i="1" s="1"/>
  <c r="I7" i="1" s="1"/>
  <c r="J6" i="1"/>
  <c r="F6" i="1"/>
  <c r="G6" i="1" s="1"/>
  <c r="H6" i="1" s="1"/>
  <c r="I6" i="1" s="1"/>
  <c r="M35" i="4" l="1"/>
  <c r="M36" i="3"/>
  <c r="M37" i="3" s="1"/>
  <c r="Q9" i="1"/>
  <c r="R9" i="1" s="1"/>
  <c r="H9" i="1"/>
  <c r="I9" i="1" s="1"/>
  <c r="M38" i="2"/>
  <c r="Q11" i="1"/>
  <c r="R11" i="1" s="1"/>
  <c r="H11" i="1"/>
  <c r="I11" i="1" s="1"/>
</calcChain>
</file>

<file path=xl/sharedStrings.xml><?xml version="1.0" encoding="utf-8"?>
<sst xmlns="http://schemas.openxmlformats.org/spreadsheetml/2006/main" count="162" uniqueCount="106">
  <si>
    <t>Afstand meest voorkomende windrichting</t>
  </si>
  <si>
    <t>*Parkrendement -10%</t>
  </si>
  <si>
    <t>Afstand minst voorkomende windrichting</t>
  </si>
  <si>
    <t>Parkoppervlak</t>
  </si>
  <si>
    <t>[km^2]</t>
  </si>
  <si>
    <t>Type</t>
  </si>
  <si>
    <t>Vermogen[MW]</t>
  </si>
  <si>
    <t>Rotordiameter[m]</t>
  </si>
  <si>
    <t>Breedte[m]</t>
  </si>
  <si>
    <t>Lengte[m]</t>
  </si>
  <si>
    <t>Oppervlakte[km^2]</t>
  </si>
  <si>
    <t>Aantal turbines</t>
  </si>
  <si>
    <t>Theoretisch park vermogen</t>
  </si>
  <si>
    <t>Verwacht vermogen*</t>
  </si>
  <si>
    <t>Vermogen/Diameter</t>
  </si>
  <si>
    <t>Tandwielkast</t>
  </si>
  <si>
    <t>Cut-in windspeed[m/s]</t>
  </si>
  <si>
    <t>Rated windspeed[m/s]</t>
  </si>
  <si>
    <t>Cut-out windspeed[m/s]</t>
  </si>
  <si>
    <t>Beschikbaarheid</t>
  </si>
  <si>
    <t>Vermogen bij gem. windverdeling[MW]</t>
  </si>
  <si>
    <t>Park vermogen bij gem. windverdeling[MW]</t>
  </si>
  <si>
    <t>Verwacht vermogen bij gem. verdeling</t>
  </si>
  <si>
    <t>Link</t>
  </si>
  <si>
    <t>Britannia</t>
  </si>
  <si>
    <t>Cancelled</t>
  </si>
  <si>
    <t>Bard 6.5</t>
  </si>
  <si>
    <t>Discontinued</t>
  </si>
  <si>
    <t>SWT-6.0-120</t>
  </si>
  <si>
    <t>http://www.4coffshore.com/windfarms/turbine-siemens-swt-6.0-120-tid86.html</t>
  </si>
  <si>
    <t>6.2M126</t>
  </si>
  <si>
    <t>Ja</t>
  </si>
  <si>
    <t>Beschikbaar</t>
  </si>
  <si>
    <t>http://www.4coffshore.com/windfarms/turbine-senvion-6.2m126-tid36.html</t>
  </si>
  <si>
    <t>ST10</t>
  </si>
  <si>
    <t>Prototype</t>
  </si>
  <si>
    <t>http://www.4coffshore.com/windfarms/turbine-sway-turbine-as-st10-tid51.html</t>
  </si>
  <si>
    <t>AD 5-116(Voorheen: M5000-116)</t>
  </si>
  <si>
    <t>http://www.4coffshore.com/windfarms/turbine-adwen-ad-5-116-tid217.html</t>
  </si>
  <si>
    <t>http://en.wind-turbine-models.com/turbines/22-multibrid-m5000</t>
  </si>
  <si>
    <t>M5000-116</t>
  </si>
  <si>
    <t>Siemens SWT-8.0-154</t>
  </si>
  <si>
    <t>Nee</t>
  </si>
  <si>
    <t>http://www.siemens.com/content/dam/internet/siemens-com/global/market-specific-solutions/wind/data_sheets/swt-8.0-154-data-sheet-wind-turbine.pdf</t>
  </si>
  <si>
    <t>UP6000-136</t>
  </si>
  <si>
    <t>http://www.4coffshore.com/windfarms/turbine-guodian-united-power-up6000-136-tid128.html</t>
  </si>
  <si>
    <t>E112/4500</t>
  </si>
  <si>
    <t>http://www.4coffshore.com/windfarms/turbine-enercon-e112-4500-tid13.html</t>
  </si>
  <si>
    <t>HTW5.2-127</t>
  </si>
  <si>
    <t>http://www.4coffshore.com/windfarms/turbine-hitachi-ltd--htw5.2-127-tid238.html</t>
  </si>
  <si>
    <t>Senvion 5M</t>
  </si>
  <si>
    <t>http://www.4coffshore.com/windfarms/turbine-senvion-5m-tid35.html</t>
  </si>
  <si>
    <t>HTW5.0-126</t>
  </si>
  <si>
    <t>http://www.4coffshore.com/windfarms/turbine-hitachi-ltd--htw5.0-126-tid153.html</t>
  </si>
  <si>
    <t>SL5000/126</t>
  </si>
  <si>
    <t>http://www.4coffshore.com/windfarms/turbine-sinovel-sl5000-tid227.html</t>
  </si>
  <si>
    <t>HZ 127-5MW</t>
  </si>
  <si>
    <t>SCD 6.0MW</t>
  </si>
  <si>
    <t>http://www.scd-technology.com/fileadmin/Download/DataSheet_SCD_6.0MW.pdf</t>
  </si>
  <si>
    <t>Vestas V164 8.0MW</t>
  </si>
  <si>
    <t>http://www.homepages.ucl.ac.uk/~uceseug/Fluids2/Wind_Turbines/Turbines/V164-8MW.pdf</t>
  </si>
  <si>
    <t>GE 4.1-113</t>
  </si>
  <si>
    <t>http://www.4coffshore.com/windfarms/turbine-ge-energy-ge-4.1-113--tid108.html</t>
  </si>
  <si>
    <t>Siemens SWT-7.0-154</t>
  </si>
  <si>
    <t>http://www.siemens.com/content/dam/internet/siemens-com/global/market-specific-solutions/wind/data_sheets/data-sheet-wind-turbine-swt-7.0-154.pdf</t>
  </si>
  <si>
    <t>AD 5-132</t>
  </si>
  <si>
    <t>SeaTitan 5.5MW</t>
  </si>
  <si>
    <t>http://www.amsc.com/documents/wt5500-data-sheet/</t>
  </si>
  <si>
    <t>HQ5500/140</t>
  </si>
  <si>
    <t>SWT-4.0-120</t>
  </si>
  <si>
    <t>http://www.4coffshore.com/windfarms/turbine-siemens-swt-4.0-120-tid179.html</t>
  </si>
  <si>
    <t>SeaTitan 10MW</t>
  </si>
  <si>
    <t>http://www.amsc.com/documents/seatitan-10-mw-wind-turbine-data-sheet/</t>
  </si>
  <si>
    <t>AD 5-135</t>
  </si>
  <si>
    <t>6.2M152</t>
  </si>
  <si>
    <t>http://www.4coffshore.com/windfarms/turbine-senvion-6.2m152-tid192.html</t>
  </si>
  <si>
    <t>Haliade 150-6MW</t>
  </si>
  <si>
    <t>http://www.4coffshore.com/windfarms/turbine-ge-energy-haliade-150-6mw-tid71.html</t>
  </si>
  <si>
    <t>Siemens SWT-6.0-154</t>
  </si>
  <si>
    <t>http://www.siemens.com/content/dam/internet/siemens-com/global/market-specific-solutions/wind/data_sheets/data-sheet-wind-turbine-swt-6.0-154.pdf</t>
  </si>
  <si>
    <t>SL6000/155</t>
  </si>
  <si>
    <t>http://www.4coffshore.com/windfarms/turbine-sinovel-sl6000-155-tid159.html</t>
  </si>
  <si>
    <t>AD 8-180</t>
  </si>
  <si>
    <t>http://www.4coffshore.com/windfarms/turbine-adwen-ad-8-180-tid197.html</t>
  </si>
  <si>
    <t>Siemens SWT-4.0-130</t>
  </si>
  <si>
    <t>http://www.siemens.com/global/en/home/markets/wind/turbines/swt-4-0-130.html</t>
  </si>
  <si>
    <t>S7.0-171</t>
  </si>
  <si>
    <t>http://www.4coffshore.com/windfarms/turbine-samsung-heavy-industries-s7.0-171-tid37.html</t>
  </si>
  <si>
    <t>H 151-5MW</t>
  </si>
  <si>
    <t>EN-4.0-136</t>
  </si>
  <si>
    <t>http://www.4coffshore.com/windfarms/turbine-envision-energy-en-4.0-136-tid229.html</t>
  </si>
  <si>
    <t>Windturbine:</t>
  </si>
  <si>
    <t>AD 5-116</t>
  </si>
  <si>
    <t>Windspeed[m/s]</t>
  </si>
  <si>
    <t>Power[kW]</t>
  </si>
  <si>
    <t>Weibull</t>
  </si>
  <si>
    <t>Aantal uren windsnelheid</t>
  </si>
  <si>
    <t>Opgewekte vermogen[MWh]</t>
  </si>
  <si>
    <t>Totaal vermogen[kWh]:</t>
  </si>
  <si>
    <t>Totaal vermogen[kW]:</t>
  </si>
  <si>
    <t>Theoretisch/Werkelijk</t>
  </si>
  <si>
    <t>%</t>
  </si>
  <si>
    <t>Parkvermogen</t>
  </si>
  <si>
    <t>Vermogen in de wind</t>
  </si>
  <si>
    <t>Totaal vermogen[MWh]:</t>
  </si>
  <si>
    <t>Totaal vermogen[MW]: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</si>
</sst>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 wrapText="1"/>
    </xf>
    <xf numFmtId="0" fontId="0" fillId="3" borderId="0" xfId="0" applyNumberFormat="1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Standaard" xfId="0" builtinId="0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 5-116'!$C$1</c:f>
              <c:strCache>
                <c:ptCount val="1"/>
                <c:pt idx="0">
                  <c:v>AD 5-116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 5-116'!$A$5:$A$35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'AD 5-116'!$B$5:$B$35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330</c:v>
                </c:pt>
                <c:pt idx="5">
                  <c:v>560</c:v>
                </c:pt>
                <c:pt idx="6">
                  <c:v>1000</c:v>
                </c:pt>
                <c:pt idx="7">
                  <c:v>1470</c:v>
                </c:pt>
                <c:pt idx="8">
                  <c:v>1980</c:v>
                </c:pt>
                <c:pt idx="9">
                  <c:v>2800</c:v>
                </c:pt>
                <c:pt idx="10">
                  <c:v>4000</c:v>
                </c:pt>
                <c:pt idx="11">
                  <c:v>4800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59528"/>
        <c:axId val="471865408"/>
      </c:scatterChart>
      <c:valAx>
        <c:axId val="4718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Windsnelheid 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5408"/>
        <c:crosses val="autoZero"/>
        <c:crossBetween val="midCat"/>
      </c:valAx>
      <c:valAx>
        <c:axId val="4718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Vermogen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5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6.8964285714285797E-2"/>
                  <c:y val="-0.15277777777777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'AD 5-116'!$A$75:$A$85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'AD 5-116'!$B$75:$B$85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330</c:v>
                </c:pt>
                <c:pt idx="3">
                  <c:v>560</c:v>
                </c:pt>
                <c:pt idx="4">
                  <c:v>1000</c:v>
                </c:pt>
                <c:pt idx="5">
                  <c:v>1470</c:v>
                </c:pt>
                <c:pt idx="6">
                  <c:v>1980</c:v>
                </c:pt>
                <c:pt idx="7">
                  <c:v>2800</c:v>
                </c:pt>
                <c:pt idx="8">
                  <c:v>4000</c:v>
                </c:pt>
                <c:pt idx="9">
                  <c:v>4800</c:v>
                </c:pt>
                <c:pt idx="10">
                  <c:v>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61488"/>
        <c:axId val="471859920"/>
      </c:scatterChart>
      <c:valAx>
        <c:axId val="4718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59920"/>
        <c:crosses val="autoZero"/>
        <c:crossBetween val="midCat"/>
      </c:valAx>
      <c:valAx>
        <c:axId val="4718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Weibullverdeling windsnelheid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 5-116'!$H$5:$H$35</c:f>
              <c:numCache>
                <c:formatCode>General</c:formatCode>
                <c:ptCount val="31"/>
                <c:pt idx="0">
                  <c:v>0</c:v>
                </c:pt>
                <c:pt idx="1">
                  <c:v>1.1871041489185308</c:v>
                </c:pt>
                <c:pt idx="2">
                  <c:v>2.6381929826532615</c:v>
                </c:pt>
                <c:pt idx="3">
                  <c:v>4.1095013782006768</c:v>
                </c:pt>
                <c:pt idx="4">
                  <c:v>5.4760534056918315</c:v>
                </c:pt>
                <c:pt idx="5">
                  <c:v>6.6409132750619086</c:v>
                </c:pt>
                <c:pt idx="6">
                  <c:v>7.531815677697387</c:v>
                </c:pt>
                <c:pt idx="7">
                  <c:v>8.103875984644489</c:v>
                </c:pt>
                <c:pt idx="8">
                  <c:v>8.3413960929251285</c:v>
                </c:pt>
                <c:pt idx="9">
                  <c:v>8.2569956636591133</c:v>
                </c:pt>
                <c:pt idx="10">
                  <c:v>7.8878057009824785</c:v>
                </c:pt>
                <c:pt idx="11">
                  <c:v>7.2892472864250273</c:v>
                </c:pt>
                <c:pt idx="12">
                  <c:v>6.5273772359864948</c:v>
                </c:pt>
                <c:pt idx="13">
                  <c:v>5.6709670635703011</c:v>
                </c:pt>
                <c:pt idx="14">
                  <c:v>4.7844148335522956</c:v>
                </c:pt>
                <c:pt idx="15">
                  <c:v>3.9223236671613795</c:v>
                </c:pt>
                <c:pt idx="16">
                  <c:v>3.126198488288062</c:v>
                </c:pt>
                <c:pt idx="17">
                  <c:v>2.4233085848822249</c:v>
                </c:pt>
                <c:pt idx="18">
                  <c:v>1.8274216637155682</c:v>
                </c:pt>
                <c:pt idx="19">
                  <c:v>1.3408910483772649</c:v>
                </c:pt>
                <c:pt idx="20">
                  <c:v>0.95749120205421834</c:v>
                </c:pt>
                <c:pt idx="21">
                  <c:v>0.66543405077472639</c:v>
                </c:pt>
                <c:pt idx="22">
                  <c:v>0.45012281365397694</c:v>
                </c:pt>
                <c:pt idx="23">
                  <c:v>0.29636524529212604</c:v>
                </c:pt>
                <c:pt idx="24">
                  <c:v>0.18993205752678008</c:v>
                </c:pt>
                <c:pt idx="25">
                  <c:v>0.11847875556973489</c:v>
                </c:pt>
                <c:pt idx="26">
                  <c:v>7.1935592265598716E-2</c:v>
                </c:pt>
                <c:pt idx="27">
                  <c:v>4.2510173573753147E-2</c:v>
                </c:pt>
                <c:pt idx="28">
                  <c:v>2.4449381440920546E-2</c:v>
                </c:pt>
                <c:pt idx="29">
                  <c:v>1.3685021289004746E-2</c:v>
                </c:pt>
                <c:pt idx="30">
                  <c:v>7.4541721508194301E-3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60312"/>
        <c:axId val="471858352"/>
      </c:scatterChart>
      <c:valAx>
        <c:axId val="4718603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Windsnelheid[m/s]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58352"/>
        <c:crosses val="autoZero"/>
        <c:crossBetween val="midCat"/>
      </c:valAx>
      <c:valAx>
        <c:axId val="4718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Kans</a:t>
                </a:r>
                <a:r>
                  <a:rPr lang="nl-NL" baseline="0"/>
                  <a:t>[%]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Senvion 6.2M 126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'Senvion 6.2M 126'!$A$4:$A$34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'Senvion 6.2M 126'!$B$4:$B$34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</c:v>
                </c:pt>
                <c:pt idx="5">
                  <c:v>313</c:v>
                </c:pt>
                <c:pt idx="6">
                  <c:v>625</c:v>
                </c:pt>
                <c:pt idx="7">
                  <c:v>1085</c:v>
                </c:pt>
                <c:pt idx="8">
                  <c:v>1700</c:v>
                </c:pt>
                <c:pt idx="9">
                  <c:v>2450</c:v>
                </c:pt>
                <c:pt idx="10">
                  <c:v>3360</c:v>
                </c:pt>
                <c:pt idx="11">
                  <c:v>4405</c:v>
                </c:pt>
                <c:pt idx="12">
                  <c:v>5390</c:v>
                </c:pt>
                <c:pt idx="13">
                  <c:v>6100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6200</c:v>
                </c:pt>
                <c:pt idx="19">
                  <c:v>6200</c:v>
                </c:pt>
                <c:pt idx="20">
                  <c:v>6200</c:v>
                </c:pt>
                <c:pt idx="21">
                  <c:v>6200</c:v>
                </c:pt>
                <c:pt idx="22">
                  <c:v>6200</c:v>
                </c:pt>
                <c:pt idx="23">
                  <c:v>6200</c:v>
                </c:pt>
                <c:pt idx="24">
                  <c:v>6200</c:v>
                </c:pt>
                <c:pt idx="25">
                  <c:v>6200</c:v>
                </c:pt>
                <c:pt idx="26">
                  <c:v>6200</c:v>
                </c:pt>
                <c:pt idx="27">
                  <c:v>6200</c:v>
                </c:pt>
                <c:pt idx="28">
                  <c:v>6200</c:v>
                </c:pt>
                <c:pt idx="29">
                  <c:v>6200</c:v>
                </c:pt>
                <c:pt idx="30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63448"/>
        <c:axId val="471868544"/>
      </c:scatterChart>
      <c:valAx>
        <c:axId val="4718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8544"/>
        <c:crosses val="autoZero"/>
        <c:crossBetween val="midCat"/>
      </c:valAx>
      <c:valAx>
        <c:axId val="4718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Benadering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2200638268350201E-2"/>
                  <c:y val="-0.104761904761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'Senvion 6.2M 126'!$A$7:$A$18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'Senvion 6.2M 126'!$B$7:$B$18</c:f>
              <c:numCache>
                <c:formatCode>General</c:formatCode>
                <c:ptCount val="12"/>
                <c:pt idx="0">
                  <c:v>0</c:v>
                </c:pt>
                <c:pt idx="1">
                  <c:v>109</c:v>
                </c:pt>
                <c:pt idx="2">
                  <c:v>313</c:v>
                </c:pt>
                <c:pt idx="3">
                  <c:v>625</c:v>
                </c:pt>
                <c:pt idx="4">
                  <c:v>1085</c:v>
                </c:pt>
                <c:pt idx="5">
                  <c:v>1700</c:v>
                </c:pt>
                <c:pt idx="6">
                  <c:v>2450</c:v>
                </c:pt>
                <c:pt idx="7">
                  <c:v>3360</c:v>
                </c:pt>
                <c:pt idx="8">
                  <c:v>4405</c:v>
                </c:pt>
                <c:pt idx="9">
                  <c:v>5390</c:v>
                </c:pt>
                <c:pt idx="10">
                  <c:v>6100</c:v>
                </c:pt>
                <c:pt idx="11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63056"/>
        <c:axId val="471864232"/>
      </c:scatterChart>
      <c:valAx>
        <c:axId val="4718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4232"/>
        <c:crosses val="autoZero"/>
        <c:crossBetween val="midCat"/>
      </c:valAx>
      <c:valAx>
        <c:axId val="4718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V164'!$J$1</c:f>
              <c:strCache>
                <c:ptCount val="1"/>
                <c:pt idx="0">
                  <c:v>Aantal uren windsnelheid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V164'!$J$2:$J$32</c:f>
              <c:numCache>
                <c:formatCode>General</c:formatCode>
                <c:ptCount val="31"/>
                <c:pt idx="0">
                  <c:v>0</c:v>
                </c:pt>
                <c:pt idx="1">
                  <c:v>103.9903234452633</c:v>
                </c:pt>
                <c:pt idx="2">
                  <c:v>231.1057052804257</c:v>
                </c:pt>
                <c:pt idx="3">
                  <c:v>359.99232073037933</c:v>
                </c:pt>
                <c:pt idx="4">
                  <c:v>479.70227833860446</c:v>
                </c:pt>
                <c:pt idx="5">
                  <c:v>581.74400289542325</c:v>
                </c:pt>
                <c:pt idx="6">
                  <c:v>659.78705336629116</c:v>
                </c:pt>
                <c:pt idx="7">
                  <c:v>709.89953625485725</c:v>
                </c:pt>
                <c:pt idx="8">
                  <c:v>730.70629774024121</c:v>
                </c:pt>
                <c:pt idx="9">
                  <c:v>723.31282013653822</c:v>
                </c:pt>
                <c:pt idx="10">
                  <c:v>690.97177940606514</c:v>
                </c:pt>
                <c:pt idx="11">
                  <c:v>638.53806229083239</c:v>
                </c:pt>
                <c:pt idx="12">
                  <c:v>571.79824587241694</c:v>
                </c:pt>
                <c:pt idx="13">
                  <c:v>496.77671476875832</c:v>
                </c:pt>
                <c:pt idx="14">
                  <c:v>419.11473941918109</c:v>
                </c:pt>
                <c:pt idx="15">
                  <c:v>343.59555324333684</c:v>
                </c:pt>
                <c:pt idx="16">
                  <c:v>273.85498757403423</c:v>
                </c:pt>
                <c:pt idx="17">
                  <c:v>212.2818320356829</c:v>
                </c:pt>
                <c:pt idx="18">
                  <c:v>160.08213774148376</c:v>
                </c:pt>
                <c:pt idx="19">
                  <c:v>117.46205583784841</c:v>
                </c:pt>
                <c:pt idx="20">
                  <c:v>83.876229299949529</c:v>
                </c:pt>
                <c:pt idx="21">
                  <c:v>58.292022847866036</c:v>
                </c:pt>
                <c:pt idx="22">
                  <c:v>39.430758476088378</c:v>
                </c:pt>
                <c:pt idx="23">
                  <c:v>25.961595487590245</c:v>
                </c:pt>
                <c:pt idx="24">
                  <c:v>16.638048239345935</c:v>
                </c:pt>
                <c:pt idx="25">
                  <c:v>10.378738987908775</c:v>
                </c:pt>
                <c:pt idx="26">
                  <c:v>6.3015578824664473</c:v>
                </c:pt>
                <c:pt idx="27">
                  <c:v>3.723891205060776</c:v>
                </c:pt>
                <c:pt idx="28">
                  <c:v>2.1417658142246401</c:v>
                </c:pt>
                <c:pt idx="29">
                  <c:v>1.1988078649168157</c:v>
                </c:pt>
                <c:pt idx="30">
                  <c:v>0.65298548041178206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64624"/>
        <c:axId val="471866192"/>
      </c:barChart>
      <c:catAx>
        <c:axId val="4718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6192"/>
        <c:crosses val="autoZero"/>
        <c:auto val="1"/>
        <c:lblAlgn val="ctr"/>
        <c:lblOffset val="100"/>
        <c:noMultiLvlLbl val="0"/>
      </c:catAx>
      <c:valAx>
        <c:axId val="4718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V164'!$B$1</c:f>
              <c:strCache>
                <c:ptCount val="1"/>
                <c:pt idx="0">
                  <c:v>Power[kW]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584</c:v>
                </c:pt>
                <c:pt idx="6" formatCode="#,##0">
                  <c:v>1158</c:v>
                </c:pt>
                <c:pt idx="7" formatCode="#,##0">
                  <c:v>1904</c:v>
                </c:pt>
                <c:pt idx="8" formatCode="#,##0">
                  <c:v>2958</c:v>
                </c:pt>
                <c:pt idx="9" formatCode="#,##0">
                  <c:v>4200</c:v>
                </c:pt>
                <c:pt idx="10" formatCode="#,##0">
                  <c:v>5686</c:v>
                </c:pt>
                <c:pt idx="11" formatCode="#,##0">
                  <c:v>7217</c:v>
                </c:pt>
                <c:pt idx="12" formatCode="#,##0">
                  <c:v>7915</c:v>
                </c:pt>
                <c:pt idx="13" formatCode="#,##0">
                  <c:v>7999</c:v>
                </c:pt>
                <c:pt idx="14" formatCode="#,##0">
                  <c:v>8000</c:v>
                </c:pt>
                <c:pt idx="15" formatCode="#,##0">
                  <c:v>8000</c:v>
                </c:pt>
                <c:pt idx="16" formatCode="#,##0">
                  <c:v>8000</c:v>
                </c:pt>
                <c:pt idx="17" formatCode="#,##0">
                  <c:v>8000</c:v>
                </c:pt>
                <c:pt idx="18" formatCode="#,##0">
                  <c:v>8000</c:v>
                </c:pt>
                <c:pt idx="19" formatCode="#,##0">
                  <c:v>8000</c:v>
                </c:pt>
                <c:pt idx="20" formatCode="#,##0">
                  <c:v>8000</c:v>
                </c:pt>
                <c:pt idx="21" formatCode="#,##0">
                  <c:v>8000</c:v>
                </c:pt>
                <c:pt idx="22" formatCode="#,##0">
                  <c:v>8000</c:v>
                </c:pt>
                <c:pt idx="23" formatCode="#,##0">
                  <c:v>8000</c:v>
                </c:pt>
                <c:pt idx="24" formatCode="#,##0">
                  <c:v>8000</c:v>
                </c:pt>
                <c:pt idx="25" formatCode="#,##0">
                  <c:v>8000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66976"/>
        <c:axId val="471867760"/>
      </c:barChart>
      <c:catAx>
        <c:axId val="4718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7760"/>
        <c:crosses val="autoZero"/>
        <c:auto val="1"/>
        <c:lblAlgn val="ctr"/>
        <c:lblOffset val="100"/>
        <c:noMultiLvlLbl val="0"/>
      </c:catAx>
      <c:valAx>
        <c:axId val="4718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V164'!$M$1</c:f>
              <c:strCache>
                <c:ptCount val="1"/>
                <c:pt idx="0">
                  <c:v>Opgewekte vermogen[MWh]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54.206357452262303</c:v>
                </c:pt>
                <c:pt idx="5" formatCode="0.00">
                  <c:v>339.7384976909272</c:v>
                </c:pt>
                <c:pt idx="6" formatCode="0.00">
                  <c:v>764.03340779816517</c:v>
                </c:pt>
                <c:pt idx="7" formatCode="0.00">
                  <c:v>1351.648717029248</c:v>
                </c:pt>
                <c:pt idx="8" formatCode="0.00">
                  <c:v>2161.4292287156336</c:v>
                </c:pt>
                <c:pt idx="9" formatCode="0.00">
                  <c:v>3037.9138445734607</c:v>
                </c:pt>
                <c:pt idx="10" formatCode="0.00">
                  <c:v>3928.8655377028863</c:v>
                </c:pt>
                <c:pt idx="11" formatCode="0.00">
                  <c:v>4608.3291955529376</c:v>
                </c:pt>
                <c:pt idx="12" formatCode="0.00">
                  <c:v>4525.7831160801798</c:v>
                </c:pt>
                <c:pt idx="13" formatCode="0.00">
                  <c:v>3973.7169414352979</c:v>
                </c:pt>
                <c:pt idx="14" formatCode="0.00">
                  <c:v>3352.9179153534487</c:v>
                </c:pt>
                <c:pt idx="15" formatCode="0.00">
                  <c:v>2748.7644259466947</c:v>
                </c:pt>
                <c:pt idx="16" formatCode="0.00">
                  <c:v>2190.8399005922738</c:v>
                </c:pt>
                <c:pt idx="17" formatCode="0.00">
                  <c:v>1698.2546562854632</c:v>
                </c:pt>
                <c:pt idx="18" formatCode="0.00">
                  <c:v>1280.6571019318703</c:v>
                </c:pt>
                <c:pt idx="19" formatCode="0.00">
                  <c:v>939.69644670278728</c:v>
                </c:pt>
                <c:pt idx="20" formatCode="0.00">
                  <c:v>671.00983439959623</c:v>
                </c:pt>
                <c:pt idx="21" formatCode="0.00">
                  <c:v>466.33618278292829</c:v>
                </c:pt>
                <c:pt idx="22" formatCode="0.00">
                  <c:v>315.44606780870703</c:v>
                </c:pt>
                <c:pt idx="23" formatCode="0.00">
                  <c:v>207.69276390072196</c:v>
                </c:pt>
                <c:pt idx="24" formatCode="0.00">
                  <c:v>133.10438591476748</c:v>
                </c:pt>
                <c:pt idx="25" formatCode="0.00">
                  <c:v>83.029911903270204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67368"/>
        <c:axId val="471868152"/>
      </c:barChart>
      <c:catAx>
        <c:axId val="47186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8152"/>
        <c:crosses val="autoZero"/>
        <c:auto val="1"/>
        <c:lblAlgn val="ctr"/>
        <c:lblOffset val="100"/>
        <c:noMultiLvlLbl val="0"/>
      </c:catAx>
      <c:valAx>
        <c:axId val="47186815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8673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1</xdr:row>
      <xdr:rowOff>12065</xdr:rowOff>
    </xdr:from>
    <xdr:to>
      <xdr:col>28</xdr:col>
      <xdr:colOff>234950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187960</xdr:colOff>
      <xdr:row>74</xdr:row>
      <xdr:rowOff>60960</xdr:rowOff>
    </xdr:from>
    <xdr:to>
      <xdr:col>11</xdr:col>
      <xdr:colOff>492760</xdr:colOff>
      <xdr:row>89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575945</xdr:colOff>
      <xdr:row>25</xdr:row>
      <xdr:rowOff>144145</xdr:rowOff>
    </xdr:from>
    <xdr:to>
      <xdr:col>25</xdr:col>
      <xdr:colOff>290195</xdr:colOff>
      <xdr:row>40</xdr:row>
      <xdr:rowOff>144145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506095</xdr:colOff>
      <xdr:row>39</xdr:row>
      <xdr:rowOff>35560</xdr:rowOff>
    </xdr:from>
    <xdr:to>
      <xdr:col>17</xdr:col>
      <xdr:colOff>536575</xdr:colOff>
      <xdr:row>54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99695</xdr:colOff>
      <xdr:row>40</xdr:row>
      <xdr:rowOff>13335</xdr:rowOff>
    </xdr:from>
    <xdr:to>
      <xdr:col>9</xdr:col>
      <xdr:colOff>594995</xdr:colOff>
      <xdr:row>55</xdr:row>
      <xdr:rowOff>13335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2</xdr:row>
      <xdr:rowOff>23812</xdr:rowOff>
    </xdr:from>
    <xdr:to>
      <xdr:col>26</xdr:col>
      <xdr:colOff>285750</xdr:colOff>
      <xdr:row>16</xdr:row>
      <xdr:rowOff>100012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17</xdr:row>
      <xdr:rowOff>52387</xdr:rowOff>
    </xdr:from>
    <xdr:to>
      <xdr:col>26</xdr:col>
      <xdr:colOff>333375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32</xdr:row>
      <xdr:rowOff>42862</xdr:rowOff>
    </xdr:from>
    <xdr:to>
      <xdr:col>26</xdr:col>
      <xdr:colOff>314325</xdr:colOff>
      <xdr:row>46</xdr:row>
      <xdr:rowOff>119062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6:Y39" headerRowCount="0" totalsRowShown="0">
  <sortState ref="A6:Y39">
    <sortCondition descending="1" ref="I6:I39"/>
  </sortState>
  <tableColumns count="25">
    <tableColumn id="1" name="Column1"/>
    <tableColumn id="2" name="Column2"/>
    <tableColumn id="3" name="Column3"/>
    <tableColumn id="4" name="Column4">
      <calculatedColumnFormula>2.5*C6</calculatedColumnFormula>
    </tableColumn>
    <tableColumn id="5" name="Column5">
      <calculatedColumnFormula>2*C6</calculatedColumnFormula>
    </tableColumn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90" zoomScaleNormal="90" workbookViewId="0">
      <selection activeCell="A24" sqref="A24"/>
    </sheetView>
  </sheetViews>
  <sheetFormatPr defaultColWidth="8.85546875" defaultRowHeight="15"/>
  <cols>
    <col min="1" max="1" width="27.7109375" customWidth="1"/>
    <col min="2" max="2" width="14.42578125" customWidth="1"/>
    <col min="3" max="3" width="17.5703125" customWidth="1"/>
    <col min="4" max="4" width="9.85546875" customWidth="1"/>
    <col min="5" max="5" width="11" customWidth="1"/>
    <col min="6" max="6" width="17.5703125" customWidth="1"/>
    <col min="7" max="7" width="13"/>
    <col min="8" max="8" width="19.28515625" customWidth="1"/>
    <col min="9" max="9" width="11" customWidth="1"/>
    <col min="10" max="10" width="13.7109375" customWidth="1"/>
    <col min="12" max="12" width="14.7109375" customWidth="1"/>
    <col min="13" max="13" width="15.140625" customWidth="1"/>
    <col min="14" max="14" width="14.7109375" customWidth="1"/>
    <col min="15" max="15" width="18.28515625" customWidth="1"/>
    <col min="16" max="16" width="21" customWidth="1"/>
    <col min="17" max="17" width="18.42578125" customWidth="1"/>
    <col min="18" max="18" width="15.5703125" customWidth="1"/>
  </cols>
  <sheetData>
    <row r="1" spans="1:31">
      <c r="B1" t="s">
        <v>0</v>
      </c>
      <c r="E1">
        <v>5</v>
      </c>
      <c r="I1" t="s">
        <v>1</v>
      </c>
    </row>
    <row r="2" spans="1:31">
      <c r="B2" t="s">
        <v>2</v>
      </c>
      <c r="E2">
        <v>3</v>
      </c>
    </row>
    <row r="3" spans="1:31">
      <c r="B3" t="s">
        <v>3</v>
      </c>
      <c r="E3">
        <v>63.5</v>
      </c>
      <c r="F3" t="s">
        <v>4</v>
      </c>
    </row>
    <row r="5" spans="1:31" ht="60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5" t="s">
        <v>23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A6" s="2" t="s">
        <v>24</v>
      </c>
      <c r="B6">
        <v>10</v>
      </c>
      <c r="C6">
        <v>150</v>
      </c>
      <c r="D6">
        <f>2.5*C6</f>
        <v>375</v>
      </c>
      <c r="E6">
        <f>2*C6</f>
        <v>300</v>
      </c>
      <c r="F6">
        <f t="shared" ref="F6:F39" si="0">D6*E6*PI()/1000000</f>
        <v>0.35342917352885173</v>
      </c>
      <c r="G6" s="3">
        <f>ROUNDDOWN(63.5/F6,0)</f>
        <v>179</v>
      </c>
      <c r="H6">
        <f>IF(G6&gt;96,96*B6,G6*B6)</f>
        <v>960</v>
      </c>
      <c r="I6">
        <f t="shared" ref="I6:I39" si="1">H6*0.9</f>
        <v>864</v>
      </c>
      <c r="J6">
        <f t="shared" ref="J6:J39" si="2">B6/C6</f>
        <v>6.6666666666666666E-2</v>
      </c>
      <c r="O6" t="s">
        <v>25</v>
      </c>
    </row>
    <row r="7" spans="1:31">
      <c r="A7" t="s">
        <v>26</v>
      </c>
      <c r="B7">
        <v>6.5</v>
      </c>
      <c r="C7">
        <v>122</v>
      </c>
      <c r="D7">
        <f t="shared" ref="D7:D39" si="3">2.5*C7</f>
        <v>305</v>
      </c>
      <c r="E7">
        <f t="shared" ref="E7:E39" si="4">2*C7</f>
        <v>244</v>
      </c>
      <c r="F7">
        <f t="shared" si="0"/>
        <v>0.2337973252801524</v>
      </c>
      <c r="G7" s="3">
        <f t="shared" ref="G7:G39" si="5">ROUNDDOWN(63.5/F7,0)</f>
        <v>271</v>
      </c>
      <c r="H7">
        <f t="shared" ref="H7:H39" si="6">IF(G7&gt;96,96*B7,G7*B7)</f>
        <v>624</v>
      </c>
      <c r="I7">
        <f t="shared" si="1"/>
        <v>561.6</v>
      </c>
      <c r="J7">
        <f t="shared" si="2"/>
        <v>5.3278688524590161E-2</v>
      </c>
      <c r="O7" t="s">
        <v>27</v>
      </c>
    </row>
    <row r="8" spans="1:31">
      <c r="A8" t="s">
        <v>28</v>
      </c>
      <c r="B8">
        <v>6</v>
      </c>
      <c r="C8">
        <v>120</v>
      </c>
      <c r="D8">
        <f t="shared" si="3"/>
        <v>300</v>
      </c>
      <c r="E8">
        <f t="shared" si="4"/>
        <v>240</v>
      </c>
      <c r="F8">
        <f t="shared" si="0"/>
        <v>0.22619467105846511</v>
      </c>
      <c r="G8" s="3">
        <f t="shared" si="5"/>
        <v>280</v>
      </c>
      <c r="H8">
        <f t="shared" si="6"/>
        <v>576</v>
      </c>
      <c r="I8">
        <f t="shared" si="1"/>
        <v>518.4</v>
      </c>
      <c r="J8">
        <f t="shared" si="2"/>
        <v>0.05</v>
      </c>
      <c r="O8" t="s">
        <v>27</v>
      </c>
      <c r="S8" t="s">
        <v>29</v>
      </c>
    </row>
    <row r="9" spans="1:31">
      <c r="A9" t="s">
        <v>30</v>
      </c>
      <c r="B9">
        <v>6.15</v>
      </c>
      <c r="C9">
        <v>126</v>
      </c>
      <c r="D9">
        <f t="shared" si="3"/>
        <v>315</v>
      </c>
      <c r="E9">
        <f t="shared" si="4"/>
        <v>252</v>
      </c>
      <c r="F9">
        <f t="shared" si="0"/>
        <v>0.2493796248419578</v>
      </c>
      <c r="G9" s="3">
        <f t="shared" si="5"/>
        <v>254</v>
      </c>
      <c r="H9">
        <f t="shared" si="6"/>
        <v>590.40000000000009</v>
      </c>
      <c r="I9">
        <f t="shared" si="1"/>
        <v>531.36000000000013</v>
      </c>
      <c r="J9">
        <f t="shared" si="2"/>
        <v>4.880952380952381E-2</v>
      </c>
      <c r="K9" t="s">
        <v>31</v>
      </c>
      <c r="L9">
        <v>3.5</v>
      </c>
      <c r="M9">
        <v>14</v>
      </c>
      <c r="N9">
        <v>30</v>
      </c>
      <c r="O9" t="s">
        <v>32</v>
      </c>
      <c r="P9" s="8">
        <f>3046/1000</f>
        <v>3.0459999999999998</v>
      </c>
      <c r="Q9" s="8">
        <f>IF(G9&gt;96,96*P9,G9*P9)</f>
        <v>292.416</v>
      </c>
      <c r="R9" s="8">
        <f>0.9*Q9</f>
        <v>263.17439999999999</v>
      </c>
      <c r="S9" t="s">
        <v>33</v>
      </c>
    </row>
    <row r="10" spans="1:31">
      <c r="A10" t="s">
        <v>34</v>
      </c>
      <c r="B10">
        <v>10</v>
      </c>
      <c r="C10">
        <v>164</v>
      </c>
      <c r="D10">
        <f t="shared" si="3"/>
        <v>410</v>
      </c>
      <c r="E10">
        <f t="shared" si="4"/>
        <v>328</v>
      </c>
      <c r="F10">
        <f t="shared" si="0"/>
        <v>0.42248138005475538</v>
      </c>
      <c r="G10" s="3">
        <f t="shared" si="5"/>
        <v>150</v>
      </c>
      <c r="H10">
        <f t="shared" si="6"/>
        <v>960</v>
      </c>
      <c r="I10">
        <f t="shared" si="1"/>
        <v>864</v>
      </c>
      <c r="J10">
        <f t="shared" si="2"/>
        <v>6.097560975609756E-2</v>
      </c>
      <c r="O10" t="s">
        <v>35</v>
      </c>
      <c r="P10" s="8"/>
      <c r="Q10" s="8"/>
      <c r="R10" s="8"/>
      <c r="S10" t="s">
        <v>36</v>
      </c>
    </row>
    <row r="11" spans="1:31" ht="30.95" customHeight="1">
      <c r="A11" s="4" t="s">
        <v>37</v>
      </c>
      <c r="B11">
        <v>5</v>
      </c>
      <c r="C11">
        <v>116</v>
      </c>
      <c r="D11">
        <f t="shared" si="3"/>
        <v>290</v>
      </c>
      <c r="E11">
        <f t="shared" si="4"/>
        <v>232</v>
      </c>
      <c r="F11">
        <f t="shared" si="0"/>
        <v>0.21136635373352128</v>
      </c>
      <c r="G11" s="3">
        <f t="shared" si="5"/>
        <v>300</v>
      </c>
      <c r="H11">
        <f>IF(G11&gt;96,96*B11,G11*B11)</f>
        <v>480</v>
      </c>
      <c r="I11">
        <f t="shared" si="1"/>
        <v>432</v>
      </c>
      <c r="J11">
        <f t="shared" si="2"/>
        <v>4.3103448275862072E-2</v>
      </c>
      <c r="K11" t="s">
        <v>31</v>
      </c>
      <c r="L11">
        <v>3.5</v>
      </c>
      <c r="M11">
        <v>12</v>
      </c>
      <c r="N11">
        <v>25</v>
      </c>
      <c r="O11" t="s">
        <v>32</v>
      </c>
      <c r="P11" s="8">
        <f>2926/1000</f>
        <v>2.9260000000000002</v>
      </c>
      <c r="Q11" s="8">
        <f>IF(G11&gt;96,96*P11,G11*P11)</f>
        <v>280.89600000000002</v>
      </c>
      <c r="R11" s="8">
        <f>0.9*Q11</f>
        <v>252.80640000000002</v>
      </c>
      <c r="S11" t="s">
        <v>38</v>
      </c>
      <c r="AA11" t="s">
        <v>39</v>
      </c>
    </row>
    <row r="12" spans="1:31">
      <c r="A12" t="s">
        <v>40</v>
      </c>
      <c r="B12">
        <v>5</v>
      </c>
      <c r="C12">
        <v>116</v>
      </c>
      <c r="D12">
        <f t="shared" si="3"/>
        <v>290</v>
      </c>
      <c r="E12">
        <f t="shared" si="4"/>
        <v>232</v>
      </c>
      <c r="F12">
        <f t="shared" si="0"/>
        <v>0.21136635373352128</v>
      </c>
      <c r="G12" s="3">
        <f t="shared" si="5"/>
        <v>300</v>
      </c>
      <c r="H12">
        <f t="shared" si="6"/>
        <v>480</v>
      </c>
      <c r="I12">
        <f t="shared" si="1"/>
        <v>432</v>
      </c>
      <c r="J12">
        <f t="shared" si="2"/>
        <v>4.3103448275862072E-2</v>
      </c>
      <c r="K12" t="s">
        <v>31</v>
      </c>
      <c r="L12">
        <v>3.5</v>
      </c>
      <c r="M12">
        <v>12</v>
      </c>
      <c r="N12">
        <v>25</v>
      </c>
      <c r="O12" t="s">
        <v>27</v>
      </c>
      <c r="AA12" t="s">
        <v>39</v>
      </c>
    </row>
    <row r="13" spans="1:31">
      <c r="A13" t="s">
        <v>41</v>
      </c>
      <c r="B13">
        <v>8</v>
      </c>
      <c r="C13">
        <v>154</v>
      </c>
      <c r="D13">
        <f t="shared" si="3"/>
        <v>385</v>
      </c>
      <c r="E13">
        <f t="shared" si="4"/>
        <v>308</v>
      </c>
      <c r="F13">
        <f t="shared" si="0"/>
        <v>0.37253005686267771</v>
      </c>
      <c r="G13" s="3">
        <f t="shared" si="5"/>
        <v>170</v>
      </c>
      <c r="H13">
        <f t="shared" si="6"/>
        <v>768</v>
      </c>
      <c r="I13">
        <f t="shared" si="1"/>
        <v>691.2</v>
      </c>
      <c r="J13">
        <f t="shared" si="2"/>
        <v>5.1948051948051951E-2</v>
      </c>
      <c r="K13" t="s">
        <v>42</v>
      </c>
      <c r="O13" t="s">
        <v>35</v>
      </c>
      <c r="S13" t="s">
        <v>43</v>
      </c>
    </row>
    <row r="14" spans="1:31">
      <c r="A14" t="s">
        <v>44</v>
      </c>
      <c r="B14">
        <v>6</v>
      </c>
      <c r="C14">
        <v>136</v>
      </c>
      <c r="D14">
        <f t="shared" si="3"/>
        <v>340</v>
      </c>
      <c r="E14">
        <f t="shared" si="4"/>
        <v>272</v>
      </c>
      <c r="F14">
        <f t="shared" si="0"/>
        <v>0.29053448860398406</v>
      </c>
      <c r="G14" s="3">
        <f t="shared" si="5"/>
        <v>218</v>
      </c>
      <c r="H14">
        <f t="shared" si="6"/>
        <v>576</v>
      </c>
      <c r="I14">
        <f t="shared" si="1"/>
        <v>518.4</v>
      </c>
      <c r="J14">
        <f t="shared" si="2"/>
        <v>4.4117647058823532E-2</v>
      </c>
      <c r="O14" t="s">
        <v>32</v>
      </c>
      <c r="S14" t="s">
        <v>45</v>
      </c>
    </row>
    <row r="15" spans="1:31">
      <c r="A15" t="s">
        <v>46</v>
      </c>
      <c r="B15">
        <v>4.5</v>
      </c>
      <c r="C15">
        <v>114</v>
      </c>
      <c r="D15">
        <f t="shared" si="3"/>
        <v>285</v>
      </c>
      <c r="E15">
        <f t="shared" si="4"/>
        <v>228</v>
      </c>
      <c r="F15">
        <f t="shared" si="0"/>
        <v>0.20414069063026474</v>
      </c>
      <c r="G15" s="3">
        <f>ROUNDDOWN(63.5/F15,0)</f>
        <v>311</v>
      </c>
      <c r="H15">
        <f>IF(G15&gt;96,96*B15,G15*B15)</f>
        <v>432</v>
      </c>
      <c r="I15">
        <f t="shared" si="1"/>
        <v>388.8</v>
      </c>
      <c r="J15">
        <f t="shared" si="2"/>
        <v>3.9473684210526314E-2</v>
      </c>
      <c r="O15" t="s">
        <v>27</v>
      </c>
      <c r="S15" t="s">
        <v>47</v>
      </c>
    </row>
    <row r="16" spans="1:31">
      <c r="A16" t="s">
        <v>48</v>
      </c>
      <c r="B16">
        <v>5.2</v>
      </c>
      <c r="C16">
        <v>127</v>
      </c>
      <c r="D16">
        <f t="shared" si="3"/>
        <v>317.5</v>
      </c>
      <c r="E16">
        <f t="shared" si="4"/>
        <v>254</v>
      </c>
      <c r="F16">
        <f t="shared" si="0"/>
        <v>0.25335373954874885</v>
      </c>
      <c r="G16" s="3">
        <f>ROUNDDOWN(63.5/F16,0)</f>
        <v>250</v>
      </c>
      <c r="H16">
        <f>IF(G16&gt;96,96*B16,G16*B16)</f>
        <v>499.20000000000005</v>
      </c>
      <c r="I16">
        <f t="shared" si="1"/>
        <v>449.28000000000003</v>
      </c>
      <c r="J16">
        <f t="shared" si="2"/>
        <v>4.0944881889763779E-2</v>
      </c>
      <c r="O16" t="s">
        <v>32</v>
      </c>
      <c r="S16" t="s">
        <v>49</v>
      </c>
    </row>
    <row r="17" spans="1:19">
      <c r="A17" t="s">
        <v>50</v>
      </c>
      <c r="B17">
        <v>5.0750000000000002</v>
      </c>
      <c r="C17">
        <v>126</v>
      </c>
      <c r="D17">
        <f t="shared" si="3"/>
        <v>315</v>
      </c>
      <c r="E17">
        <f t="shared" si="4"/>
        <v>252</v>
      </c>
      <c r="F17">
        <f t="shared" si="0"/>
        <v>0.2493796248419578</v>
      </c>
      <c r="G17" s="3">
        <f t="shared" si="5"/>
        <v>254</v>
      </c>
      <c r="H17">
        <f t="shared" si="6"/>
        <v>487.20000000000005</v>
      </c>
      <c r="I17">
        <f t="shared" si="1"/>
        <v>438.48000000000008</v>
      </c>
      <c r="J17">
        <f t="shared" si="2"/>
        <v>4.027777777777778E-2</v>
      </c>
      <c r="O17" t="s">
        <v>27</v>
      </c>
      <c r="S17" t="s">
        <v>51</v>
      </c>
    </row>
    <row r="18" spans="1:19">
      <c r="A18" t="s">
        <v>52</v>
      </c>
      <c r="B18">
        <v>5</v>
      </c>
      <c r="C18">
        <v>126</v>
      </c>
      <c r="D18">
        <f t="shared" si="3"/>
        <v>315</v>
      </c>
      <c r="E18">
        <f t="shared" si="4"/>
        <v>252</v>
      </c>
      <c r="F18">
        <f t="shared" si="0"/>
        <v>0.2493796248419578</v>
      </c>
      <c r="G18" s="3">
        <f t="shared" si="5"/>
        <v>254</v>
      </c>
      <c r="H18">
        <f t="shared" si="6"/>
        <v>480</v>
      </c>
      <c r="I18">
        <f t="shared" si="1"/>
        <v>432</v>
      </c>
      <c r="J18">
        <f t="shared" si="2"/>
        <v>3.968253968253968E-2</v>
      </c>
      <c r="O18" t="s">
        <v>32</v>
      </c>
      <c r="S18" t="s">
        <v>53</v>
      </c>
    </row>
    <row r="19" spans="1:19">
      <c r="A19" t="s">
        <v>54</v>
      </c>
      <c r="B19">
        <v>5</v>
      </c>
      <c r="C19">
        <v>126</v>
      </c>
      <c r="D19">
        <f t="shared" si="3"/>
        <v>315</v>
      </c>
      <c r="E19">
        <f t="shared" si="4"/>
        <v>252</v>
      </c>
      <c r="F19">
        <f t="shared" si="0"/>
        <v>0.2493796248419578</v>
      </c>
      <c r="G19" s="3">
        <f t="shared" si="5"/>
        <v>254</v>
      </c>
      <c r="H19">
        <f t="shared" si="6"/>
        <v>480</v>
      </c>
      <c r="I19">
        <f t="shared" si="1"/>
        <v>432</v>
      </c>
      <c r="J19">
        <f t="shared" si="2"/>
        <v>3.968253968253968E-2</v>
      </c>
      <c r="O19" t="s">
        <v>32</v>
      </c>
      <c r="S19" t="s">
        <v>55</v>
      </c>
    </row>
    <row r="20" spans="1:19">
      <c r="A20" t="s">
        <v>56</v>
      </c>
      <c r="B20">
        <v>5</v>
      </c>
      <c r="C20">
        <v>127</v>
      </c>
      <c r="D20">
        <f t="shared" si="3"/>
        <v>317.5</v>
      </c>
      <c r="E20">
        <f t="shared" si="4"/>
        <v>254</v>
      </c>
      <c r="F20">
        <f t="shared" si="0"/>
        <v>0.25335373954874885</v>
      </c>
      <c r="G20" s="3">
        <f t="shared" si="5"/>
        <v>250</v>
      </c>
      <c r="H20">
        <f t="shared" si="6"/>
        <v>480</v>
      </c>
      <c r="I20">
        <f t="shared" si="1"/>
        <v>432</v>
      </c>
      <c r="J20">
        <f t="shared" si="2"/>
        <v>3.937007874015748E-2</v>
      </c>
      <c r="O20" t="s">
        <v>32</v>
      </c>
    </row>
    <row r="21" spans="1:19">
      <c r="A21" t="s">
        <v>57</v>
      </c>
      <c r="B21">
        <v>6</v>
      </c>
      <c r="C21">
        <v>140</v>
      </c>
      <c r="D21">
        <f t="shared" si="3"/>
        <v>350</v>
      </c>
      <c r="E21">
        <f t="shared" si="4"/>
        <v>280</v>
      </c>
      <c r="F21">
        <f t="shared" si="0"/>
        <v>0.30787608005179973</v>
      </c>
      <c r="G21" s="3">
        <f t="shared" si="5"/>
        <v>206</v>
      </c>
      <c r="H21">
        <f t="shared" si="6"/>
        <v>576</v>
      </c>
      <c r="I21">
        <f t="shared" si="1"/>
        <v>518.4</v>
      </c>
      <c r="J21">
        <f t="shared" si="2"/>
        <v>4.2857142857142858E-2</v>
      </c>
      <c r="O21" t="s">
        <v>32</v>
      </c>
      <c r="S21" t="s">
        <v>58</v>
      </c>
    </row>
    <row r="22" spans="1:19">
      <c r="A22" t="s">
        <v>59</v>
      </c>
      <c r="B22">
        <v>8</v>
      </c>
      <c r="C22">
        <v>164</v>
      </c>
      <c r="D22">
        <f t="shared" si="3"/>
        <v>410</v>
      </c>
      <c r="E22">
        <f t="shared" si="4"/>
        <v>328</v>
      </c>
      <c r="F22">
        <f t="shared" si="0"/>
        <v>0.42248138005475538</v>
      </c>
      <c r="G22" s="3">
        <f t="shared" si="5"/>
        <v>150</v>
      </c>
      <c r="H22">
        <f t="shared" si="6"/>
        <v>768</v>
      </c>
      <c r="I22">
        <f t="shared" si="1"/>
        <v>691.2</v>
      </c>
      <c r="J22">
        <f t="shared" si="2"/>
        <v>4.878048780487805E-2</v>
      </c>
      <c r="K22" t="s">
        <v>31</v>
      </c>
      <c r="O22" t="s">
        <v>32</v>
      </c>
      <c r="S22" t="s">
        <v>60</v>
      </c>
    </row>
    <row r="23" spans="1:19">
      <c r="A23" t="s">
        <v>61</v>
      </c>
      <c r="B23">
        <v>4.0999999999999996</v>
      </c>
      <c r="C23">
        <v>113</v>
      </c>
      <c r="D23">
        <f t="shared" si="3"/>
        <v>282.5</v>
      </c>
      <c r="E23">
        <f t="shared" si="4"/>
        <v>226</v>
      </c>
      <c r="F23">
        <f t="shared" si="0"/>
        <v>0.20057498296844034</v>
      </c>
      <c r="G23" s="3">
        <f>ROUNDDOWN(63.5/F23,0)</f>
        <v>316</v>
      </c>
      <c r="H23">
        <f>IF(G23&gt;96,96*B23,G23*B23)</f>
        <v>393.59999999999997</v>
      </c>
      <c r="I23">
        <f t="shared" si="1"/>
        <v>354.23999999999995</v>
      </c>
      <c r="J23">
        <f t="shared" si="2"/>
        <v>3.6283185840707964E-2</v>
      </c>
      <c r="O23" t="s">
        <v>32</v>
      </c>
      <c r="S23" t="s">
        <v>62</v>
      </c>
    </row>
    <row r="24" spans="1:19">
      <c r="A24" t="s">
        <v>63</v>
      </c>
      <c r="B24">
        <v>7</v>
      </c>
      <c r="C24">
        <v>154</v>
      </c>
      <c r="D24">
        <f t="shared" si="3"/>
        <v>385</v>
      </c>
      <c r="E24">
        <f t="shared" si="4"/>
        <v>308</v>
      </c>
      <c r="F24">
        <f t="shared" si="0"/>
        <v>0.37253005686267771</v>
      </c>
      <c r="G24" s="3">
        <f>ROUNDDOWN(63.5/F24,0)</f>
        <v>170</v>
      </c>
      <c r="H24">
        <f>IF(G24&gt;96,96*B24,G24*B24)</f>
        <v>672</v>
      </c>
      <c r="I24">
        <f t="shared" si="1"/>
        <v>604.80000000000007</v>
      </c>
      <c r="J24">
        <f t="shared" si="2"/>
        <v>4.5454545454545456E-2</v>
      </c>
      <c r="K24" t="s">
        <v>42</v>
      </c>
      <c r="O24" t="s">
        <v>32</v>
      </c>
      <c r="S24" t="s">
        <v>64</v>
      </c>
    </row>
    <row r="25" spans="1:19">
      <c r="A25" t="s">
        <v>65</v>
      </c>
      <c r="B25">
        <v>5</v>
      </c>
      <c r="C25">
        <v>132</v>
      </c>
      <c r="D25">
        <f t="shared" si="3"/>
        <v>330</v>
      </c>
      <c r="E25">
        <f t="shared" si="4"/>
        <v>264</v>
      </c>
      <c r="F25">
        <f t="shared" si="0"/>
        <v>0.2736955519807428</v>
      </c>
      <c r="G25" s="3">
        <f t="shared" si="5"/>
        <v>232</v>
      </c>
      <c r="H25">
        <f t="shared" si="6"/>
        <v>480</v>
      </c>
      <c r="I25">
        <f t="shared" si="1"/>
        <v>432</v>
      </c>
      <c r="J25">
        <f t="shared" si="2"/>
        <v>3.787878787878788E-2</v>
      </c>
      <c r="O25" t="s">
        <v>32</v>
      </c>
    </row>
    <row r="26" spans="1:19">
      <c r="A26" s="2" t="s">
        <v>66</v>
      </c>
      <c r="B26">
        <v>5.5</v>
      </c>
      <c r="C26">
        <v>140</v>
      </c>
      <c r="D26">
        <f t="shared" si="3"/>
        <v>350</v>
      </c>
      <c r="E26">
        <f t="shared" si="4"/>
        <v>280</v>
      </c>
      <c r="F26">
        <f t="shared" si="0"/>
        <v>0.30787608005179973</v>
      </c>
      <c r="G26" s="3">
        <f t="shared" si="5"/>
        <v>206</v>
      </c>
      <c r="H26">
        <f t="shared" si="6"/>
        <v>528</v>
      </c>
      <c r="I26">
        <f t="shared" si="1"/>
        <v>475.2</v>
      </c>
      <c r="J26">
        <f t="shared" si="2"/>
        <v>3.9285714285714285E-2</v>
      </c>
      <c r="K26" t="s">
        <v>42</v>
      </c>
      <c r="O26" t="s">
        <v>35</v>
      </c>
      <c r="S26" t="s">
        <v>67</v>
      </c>
    </row>
    <row r="27" spans="1:19">
      <c r="A27" s="2" t="s">
        <v>68</v>
      </c>
      <c r="B27">
        <v>5.5</v>
      </c>
      <c r="C27">
        <v>140</v>
      </c>
      <c r="D27">
        <f t="shared" si="3"/>
        <v>350</v>
      </c>
      <c r="E27">
        <f t="shared" si="4"/>
        <v>280</v>
      </c>
      <c r="F27">
        <f t="shared" si="0"/>
        <v>0.30787608005179973</v>
      </c>
      <c r="G27" s="3">
        <f t="shared" si="5"/>
        <v>206</v>
      </c>
      <c r="H27">
        <f t="shared" si="6"/>
        <v>528</v>
      </c>
      <c r="I27">
        <f t="shared" si="1"/>
        <v>475.2</v>
      </c>
      <c r="J27">
        <f t="shared" si="2"/>
        <v>3.9285714285714285E-2</v>
      </c>
      <c r="O27" t="s">
        <v>32</v>
      </c>
    </row>
    <row r="28" spans="1:19">
      <c r="A28" s="2" t="s">
        <v>69</v>
      </c>
      <c r="B28">
        <v>4</v>
      </c>
      <c r="C28">
        <v>120</v>
      </c>
      <c r="D28">
        <f t="shared" si="3"/>
        <v>300</v>
      </c>
      <c r="E28">
        <f t="shared" si="4"/>
        <v>240</v>
      </c>
      <c r="F28">
        <f t="shared" si="0"/>
        <v>0.22619467105846511</v>
      </c>
      <c r="G28" s="3">
        <f t="shared" si="5"/>
        <v>280</v>
      </c>
      <c r="H28">
        <f t="shared" si="6"/>
        <v>384</v>
      </c>
      <c r="I28">
        <f t="shared" si="1"/>
        <v>345.6</v>
      </c>
      <c r="J28">
        <f t="shared" si="2"/>
        <v>3.3333333333333333E-2</v>
      </c>
      <c r="O28" t="s">
        <v>32</v>
      </c>
      <c r="S28" t="s">
        <v>70</v>
      </c>
    </row>
    <row r="29" spans="1:19">
      <c r="A29" s="2" t="s">
        <v>71</v>
      </c>
      <c r="B29">
        <v>10</v>
      </c>
      <c r="C29">
        <v>190</v>
      </c>
      <c r="D29">
        <f t="shared" si="3"/>
        <v>475</v>
      </c>
      <c r="E29">
        <f t="shared" si="4"/>
        <v>380</v>
      </c>
      <c r="F29">
        <f t="shared" si="0"/>
        <v>0.56705747397295769</v>
      </c>
      <c r="G29" s="3">
        <f t="shared" si="5"/>
        <v>111</v>
      </c>
      <c r="H29">
        <f t="shared" si="6"/>
        <v>960</v>
      </c>
      <c r="I29">
        <f t="shared" si="1"/>
        <v>864</v>
      </c>
      <c r="J29">
        <f t="shared" si="2"/>
        <v>5.2631578947368418E-2</v>
      </c>
      <c r="K29" t="s">
        <v>42</v>
      </c>
      <c r="O29" t="s">
        <v>35</v>
      </c>
      <c r="S29" t="s">
        <v>72</v>
      </c>
    </row>
    <row r="30" spans="1:19">
      <c r="A30" s="2" t="s">
        <v>73</v>
      </c>
      <c r="B30">
        <v>5</v>
      </c>
      <c r="C30">
        <v>135</v>
      </c>
      <c r="D30">
        <f t="shared" si="3"/>
        <v>337.5</v>
      </c>
      <c r="E30">
        <f t="shared" si="4"/>
        <v>270</v>
      </c>
      <c r="F30">
        <f t="shared" si="0"/>
        <v>0.28627763055836991</v>
      </c>
      <c r="G30" s="3">
        <f t="shared" si="5"/>
        <v>221</v>
      </c>
      <c r="H30">
        <f t="shared" si="6"/>
        <v>480</v>
      </c>
      <c r="I30">
        <f t="shared" si="1"/>
        <v>432</v>
      </c>
      <c r="J30">
        <f t="shared" si="2"/>
        <v>3.7037037037037035E-2</v>
      </c>
      <c r="O30" t="s">
        <v>32</v>
      </c>
    </row>
    <row r="31" spans="1:19">
      <c r="A31" s="2" t="s">
        <v>74</v>
      </c>
      <c r="B31">
        <v>6.15</v>
      </c>
      <c r="C31">
        <v>152</v>
      </c>
      <c r="D31">
        <f t="shared" si="3"/>
        <v>380</v>
      </c>
      <c r="E31">
        <f t="shared" si="4"/>
        <v>304</v>
      </c>
      <c r="F31">
        <f t="shared" si="0"/>
        <v>0.36291678334269289</v>
      </c>
      <c r="G31" s="3">
        <f t="shared" si="5"/>
        <v>174</v>
      </c>
      <c r="H31">
        <f t="shared" si="6"/>
        <v>590.40000000000009</v>
      </c>
      <c r="I31">
        <f t="shared" si="1"/>
        <v>531.36000000000013</v>
      </c>
      <c r="J31">
        <f t="shared" si="2"/>
        <v>4.0460526315789475E-2</v>
      </c>
      <c r="O31" t="s">
        <v>32</v>
      </c>
      <c r="S31" t="s">
        <v>75</v>
      </c>
    </row>
    <row r="32" spans="1:19">
      <c r="A32" s="2" t="s">
        <v>76</v>
      </c>
      <c r="B32">
        <v>6</v>
      </c>
      <c r="C32">
        <v>150</v>
      </c>
      <c r="D32">
        <f t="shared" si="3"/>
        <v>375</v>
      </c>
      <c r="E32">
        <f t="shared" si="4"/>
        <v>300</v>
      </c>
      <c r="F32">
        <f t="shared" si="0"/>
        <v>0.35342917352885173</v>
      </c>
      <c r="G32" s="3">
        <f t="shared" si="5"/>
        <v>179</v>
      </c>
      <c r="H32">
        <f t="shared" si="6"/>
        <v>576</v>
      </c>
      <c r="I32">
        <f t="shared" si="1"/>
        <v>518.4</v>
      </c>
      <c r="J32">
        <f t="shared" si="2"/>
        <v>0.04</v>
      </c>
      <c r="O32" t="s">
        <v>32</v>
      </c>
      <c r="S32" t="s">
        <v>77</v>
      </c>
    </row>
    <row r="33" spans="1:19">
      <c r="A33" s="2" t="s">
        <v>78</v>
      </c>
      <c r="B33">
        <v>6</v>
      </c>
      <c r="C33">
        <v>154</v>
      </c>
      <c r="D33">
        <f t="shared" si="3"/>
        <v>385</v>
      </c>
      <c r="E33">
        <f t="shared" si="4"/>
        <v>308</v>
      </c>
      <c r="F33">
        <f t="shared" si="0"/>
        <v>0.37253005686267771</v>
      </c>
      <c r="G33" s="3">
        <f t="shared" si="5"/>
        <v>170</v>
      </c>
      <c r="H33">
        <f t="shared" si="6"/>
        <v>576</v>
      </c>
      <c r="I33">
        <f t="shared" si="1"/>
        <v>518.4</v>
      </c>
      <c r="J33">
        <f t="shared" si="2"/>
        <v>3.896103896103896E-2</v>
      </c>
      <c r="O33" t="s">
        <v>32</v>
      </c>
      <c r="S33" t="s">
        <v>79</v>
      </c>
    </row>
    <row r="34" spans="1:19">
      <c r="A34" s="2" t="s">
        <v>80</v>
      </c>
      <c r="B34">
        <v>6</v>
      </c>
      <c r="C34">
        <v>155</v>
      </c>
      <c r="D34">
        <f t="shared" si="3"/>
        <v>387.5</v>
      </c>
      <c r="E34">
        <f t="shared" si="4"/>
        <v>310</v>
      </c>
      <c r="F34">
        <f t="shared" si="0"/>
        <v>0.37738381751247391</v>
      </c>
      <c r="G34" s="3">
        <f t="shared" si="5"/>
        <v>168</v>
      </c>
      <c r="H34">
        <f t="shared" si="6"/>
        <v>576</v>
      </c>
      <c r="I34">
        <f t="shared" si="1"/>
        <v>518.4</v>
      </c>
      <c r="J34">
        <f t="shared" si="2"/>
        <v>3.870967741935484E-2</v>
      </c>
      <c r="O34" t="s">
        <v>32</v>
      </c>
      <c r="S34" t="s">
        <v>81</v>
      </c>
    </row>
    <row r="35" spans="1:19">
      <c r="A35" s="2" t="s">
        <v>82</v>
      </c>
      <c r="B35">
        <v>8</v>
      </c>
      <c r="C35">
        <v>180</v>
      </c>
      <c r="D35">
        <f t="shared" si="3"/>
        <v>450</v>
      </c>
      <c r="E35">
        <f t="shared" si="4"/>
        <v>360</v>
      </c>
      <c r="F35">
        <f t="shared" si="0"/>
        <v>0.50893800988154647</v>
      </c>
      <c r="G35" s="3">
        <f t="shared" si="5"/>
        <v>124</v>
      </c>
      <c r="H35">
        <f t="shared" si="6"/>
        <v>768</v>
      </c>
      <c r="I35">
        <f t="shared" si="1"/>
        <v>691.2</v>
      </c>
      <c r="J35">
        <f t="shared" si="2"/>
        <v>4.4444444444444446E-2</v>
      </c>
      <c r="O35" t="s">
        <v>32</v>
      </c>
      <c r="S35" t="s">
        <v>83</v>
      </c>
    </row>
    <row r="36" spans="1:19">
      <c r="A36" s="2" t="s">
        <v>84</v>
      </c>
      <c r="B36">
        <v>4</v>
      </c>
      <c r="C36">
        <v>130</v>
      </c>
      <c r="D36">
        <f t="shared" si="3"/>
        <v>325</v>
      </c>
      <c r="E36">
        <f t="shared" si="4"/>
        <v>260</v>
      </c>
      <c r="F36">
        <f t="shared" si="0"/>
        <v>0.26546457922833749</v>
      </c>
      <c r="G36" s="3">
        <f t="shared" si="5"/>
        <v>239</v>
      </c>
      <c r="H36">
        <f t="shared" si="6"/>
        <v>384</v>
      </c>
      <c r="I36">
        <f t="shared" si="1"/>
        <v>345.6</v>
      </c>
      <c r="J36">
        <f t="shared" si="2"/>
        <v>3.0769230769230771E-2</v>
      </c>
      <c r="K36" t="s">
        <v>31</v>
      </c>
      <c r="O36" t="s">
        <v>32</v>
      </c>
      <c r="S36" t="s">
        <v>85</v>
      </c>
    </row>
    <row r="37" spans="1:19">
      <c r="A37" s="2" t="s">
        <v>86</v>
      </c>
      <c r="B37">
        <v>7</v>
      </c>
      <c r="C37">
        <v>171.2</v>
      </c>
      <c r="D37">
        <f t="shared" si="3"/>
        <v>428</v>
      </c>
      <c r="E37">
        <f t="shared" si="4"/>
        <v>342.4</v>
      </c>
      <c r="F37">
        <f t="shared" si="0"/>
        <v>0.4603916069241541</v>
      </c>
      <c r="G37" s="3">
        <f t="shared" si="5"/>
        <v>137</v>
      </c>
      <c r="H37">
        <f t="shared" si="6"/>
        <v>672</v>
      </c>
      <c r="I37">
        <f t="shared" si="1"/>
        <v>604.80000000000007</v>
      </c>
      <c r="J37">
        <f t="shared" si="2"/>
        <v>4.0887850467289724E-2</v>
      </c>
      <c r="O37" t="s">
        <v>35</v>
      </c>
      <c r="S37" t="s">
        <v>87</v>
      </c>
    </row>
    <row r="38" spans="1:19">
      <c r="A38" s="2" t="s">
        <v>88</v>
      </c>
      <c r="B38">
        <v>5</v>
      </c>
      <c r="C38">
        <v>151</v>
      </c>
      <c r="D38">
        <f t="shared" si="3"/>
        <v>377.5</v>
      </c>
      <c r="E38">
        <f t="shared" si="4"/>
        <v>302</v>
      </c>
      <c r="F38">
        <f t="shared" si="0"/>
        <v>0.3581572704725044</v>
      </c>
      <c r="G38" s="3">
        <f t="shared" si="5"/>
        <v>177</v>
      </c>
      <c r="H38">
        <f t="shared" si="6"/>
        <v>480</v>
      </c>
      <c r="I38">
        <f t="shared" si="1"/>
        <v>432</v>
      </c>
      <c r="J38">
        <f t="shared" si="2"/>
        <v>3.3112582781456956E-2</v>
      </c>
      <c r="O38" t="s">
        <v>32</v>
      </c>
    </row>
    <row r="39" spans="1:19">
      <c r="A39" s="2" t="s">
        <v>89</v>
      </c>
      <c r="B39">
        <v>4</v>
      </c>
      <c r="C39">
        <v>136</v>
      </c>
      <c r="D39">
        <f t="shared" si="3"/>
        <v>340</v>
      </c>
      <c r="E39">
        <f t="shared" si="4"/>
        <v>272</v>
      </c>
      <c r="F39">
        <f t="shared" si="0"/>
        <v>0.29053448860398406</v>
      </c>
      <c r="G39" s="3">
        <f t="shared" si="5"/>
        <v>218</v>
      </c>
      <c r="H39">
        <f t="shared" si="6"/>
        <v>384</v>
      </c>
      <c r="I39">
        <f t="shared" si="1"/>
        <v>345.6</v>
      </c>
      <c r="J39">
        <f t="shared" si="2"/>
        <v>2.9411764705882353E-2</v>
      </c>
      <c r="O39" t="s">
        <v>32</v>
      </c>
      <c r="S39" t="s">
        <v>90</v>
      </c>
    </row>
  </sheetData>
  <conditionalFormatting sqref="A6">
    <cfRule type="aboveAverage" dxfId="31" priority="1" aboveAverage="0"/>
    <cfRule type="aboveAverage" dxfId="30" priority="2" aboveAverage="0"/>
  </conditionalFormatting>
  <conditionalFormatting sqref="K6">
    <cfRule type="cellIs" dxfId="29" priority="265" operator="equal">
      <formula>"Ja"</formula>
    </cfRule>
  </conditionalFormatting>
  <conditionalFormatting sqref="I10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J1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ellIs" dxfId="28" priority="244" operator="equal">
      <formula>"Ja"</formula>
    </cfRule>
    <cfRule type="cellIs" dxfId="27" priority="245" operator="equal">
      <formula>"Nee"</formula>
    </cfRule>
  </conditionalFormatting>
  <conditionalFormatting sqref="I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J1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ellIs" dxfId="26" priority="235" operator="equal">
      <formula>"Ja"</formula>
    </cfRule>
    <cfRule type="cellIs" dxfId="25" priority="236" operator="equal">
      <formula>"Nee"</formula>
    </cfRule>
  </conditionalFormatting>
  <conditionalFormatting sqref="I1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1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">
    <cfRule type="cellIs" dxfId="24" priority="226" operator="equal">
      <formula>"Ja"</formula>
    </cfRule>
    <cfRule type="cellIs" dxfId="23" priority="227" operator="equal">
      <formula>"Nee"</formula>
    </cfRule>
  </conditionalFormatting>
  <conditionalFormatting sqref="I1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J1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ellIs" dxfId="22" priority="217" operator="equal">
      <formula>"Ja"</formula>
    </cfRule>
    <cfRule type="cellIs" dxfId="21" priority="218" operator="equal">
      <formula>"Nee"</formula>
    </cfRule>
  </conditionalFormatting>
  <conditionalFormatting sqref="I2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ellIs" dxfId="20" priority="208" operator="equal">
      <formula>"Ja"</formula>
    </cfRule>
    <cfRule type="cellIs" dxfId="19" priority="209" operator="equal">
      <formula>"Nee"</formula>
    </cfRule>
  </conditionalFormatting>
  <conditionalFormatting sqref="I21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J2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ellIs" dxfId="18" priority="199" operator="equal">
      <formula>"Ja"</formula>
    </cfRule>
    <cfRule type="cellIs" dxfId="17" priority="200" operator="equal">
      <formula>"Nee"</formula>
    </cfRule>
  </conditionalFormatting>
  <conditionalFormatting sqref="I22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ellIs" dxfId="16" priority="190" operator="equal">
      <formula>"Ja"</formula>
    </cfRule>
    <cfRule type="cellIs" dxfId="15" priority="191" operator="equal">
      <formula>"Nee"</formula>
    </cfRule>
  </conditionalFormatting>
  <conditionalFormatting sqref="I2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J2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ellIs" dxfId="14" priority="181" operator="equal">
      <formula>"Ja"</formula>
    </cfRule>
    <cfRule type="cellIs" dxfId="13" priority="182" operator="equal">
      <formula>"Nee"</formula>
    </cfRule>
  </conditionalFormatting>
  <conditionalFormatting sqref="I2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2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ellIs" dxfId="12" priority="170" operator="equal">
      <formula>"Ja"</formula>
    </cfRule>
    <cfRule type="cellIs" dxfId="11" priority="171" operator="equal">
      <formula>"Nee"</formula>
    </cfRule>
  </conditionalFormatting>
  <conditionalFormatting sqref="I2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2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2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J2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J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J2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J3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J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J3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J3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J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J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J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39">
    <cfRule type="aboveAverage" dxfId="10" priority="9" aboveAverage="0"/>
    <cfRule type="aboveAverage" dxfId="9" priority="10" aboveAverage="0"/>
  </conditionalFormatting>
  <conditionalFormatting sqref="G6:G39">
    <cfRule type="cellIs" dxfId="8" priority="73" operator="greaterThan">
      <formula>95</formula>
    </cfRule>
  </conditionalFormatting>
  <conditionalFormatting sqref="I6:I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2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5">
    <cfRule type="cellIs" dxfId="7" priority="263" operator="equal">
      <formula>"Nee"</formula>
    </cfRule>
    <cfRule type="cellIs" dxfId="6" priority="264" operator="equal">
      <formula>"Ja"</formula>
    </cfRule>
  </conditionalFormatting>
  <conditionalFormatting sqref="K6:K39">
    <cfRule type="cellIs" dxfId="5" priority="7" operator="equal">
      <formula>"Nee"</formula>
    </cfRule>
    <cfRule type="cellIs" dxfId="4" priority="8" operator="equal">
      <formula>"Ja"</formula>
    </cfRule>
  </conditionalFormatting>
  <conditionalFormatting sqref="O6:O39">
    <cfRule type="cellIs" dxfId="3" priority="3" operator="equal">
      <formula>"Prototype"</formula>
    </cfRule>
    <cfRule type="cellIs" dxfId="2" priority="4" operator="equal">
      <formula>"Beschikbaar"</formula>
    </cfRule>
    <cfRule type="cellIs" dxfId="1" priority="5" operator="equal">
      <formula>"Cancelled"</formula>
    </cfRule>
    <cfRule type="cellIs" dxfId="0" priority="6" operator="equal">
      <formula>"Discontinued"</formula>
    </cfRule>
  </conditionalFormatting>
  <conditionalFormatting sqref="I6:J1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596" footer="0.51180555555555596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workbookViewId="0">
      <selection activeCell="H6" sqref="H6"/>
    </sheetView>
  </sheetViews>
  <sheetFormatPr defaultColWidth="8.85546875" defaultRowHeight="15"/>
  <cols>
    <col min="1" max="1" width="14.28515625" customWidth="1"/>
    <col min="2" max="2" width="11.85546875" customWidth="1"/>
    <col min="3" max="3" width="12.5703125" customWidth="1"/>
    <col min="5" max="5" width="14.85546875" customWidth="1"/>
    <col min="8" max="8" width="12.85546875"/>
    <col min="10" max="10" width="12.85546875"/>
    <col min="12" max="12" width="11.7109375" customWidth="1"/>
    <col min="13" max="13" width="12.85546875"/>
    <col min="15" max="15" width="13.28515625" customWidth="1"/>
  </cols>
  <sheetData>
    <row r="1" spans="1:15">
      <c r="A1" t="s">
        <v>91</v>
      </c>
      <c r="C1" t="s">
        <v>92</v>
      </c>
    </row>
    <row r="4" spans="1:15">
      <c r="A4" t="s">
        <v>93</v>
      </c>
      <c r="B4" t="s">
        <v>94</v>
      </c>
      <c r="E4" t="s">
        <v>93</v>
      </c>
      <c r="H4" t="s">
        <v>95</v>
      </c>
      <c r="J4" t="s">
        <v>96</v>
      </c>
      <c r="M4" t="s">
        <v>97</v>
      </c>
    </row>
    <row r="5" spans="1:15">
      <c r="A5">
        <v>0</v>
      </c>
      <c r="B5">
        <v>0</v>
      </c>
      <c r="C5">
        <v>0</v>
      </c>
      <c r="E5">
        <v>0</v>
      </c>
      <c r="H5">
        <f>WEIBULL(A5,2.18,10.9,FALSE)*100</f>
        <v>0</v>
      </c>
      <c r="J5">
        <f>365*24*(H5/100)</f>
        <v>0</v>
      </c>
      <c r="M5">
        <f>(J5*B5)</f>
        <v>0</v>
      </c>
      <c r="O5">
        <f>(J5*C5)</f>
        <v>0</v>
      </c>
    </row>
    <row r="6" spans="1:15">
      <c r="A6">
        <v>1</v>
      </c>
      <c r="B6">
        <v>0</v>
      </c>
      <c r="C6">
        <v>0</v>
      </c>
      <c r="E6">
        <v>1</v>
      </c>
      <c r="H6">
        <f t="shared" ref="H6:H35" si="0">WEIBULL(A6,2.18,10.9,FALSE)*100</f>
        <v>1.1871041489185308</v>
      </c>
      <c r="J6">
        <f t="shared" ref="J6:J35" si="1">365*24*(H6/100)</f>
        <v>103.9903234452633</v>
      </c>
      <c r="M6">
        <f t="shared" ref="M6:M35" si="2">(J6*B6)</f>
        <v>0</v>
      </c>
      <c r="O6">
        <f t="shared" ref="O6:O35" si="3">(J6*C6)</f>
        <v>0</v>
      </c>
    </row>
    <row r="7" spans="1:15">
      <c r="A7">
        <v>2</v>
      </c>
      <c r="B7">
        <v>0</v>
      </c>
      <c r="C7">
        <v>0</v>
      </c>
      <c r="E7">
        <v>2</v>
      </c>
      <c r="H7">
        <f t="shared" si="0"/>
        <v>2.6381929826532615</v>
      </c>
      <c r="J7">
        <f t="shared" si="1"/>
        <v>231.1057052804257</v>
      </c>
      <c r="M7">
        <f t="shared" si="2"/>
        <v>0</v>
      </c>
      <c r="O7">
        <f t="shared" si="3"/>
        <v>0</v>
      </c>
    </row>
    <row r="8" spans="1:15">
      <c r="A8">
        <v>3</v>
      </c>
      <c r="B8">
        <v>10</v>
      </c>
      <c r="C8">
        <v>0</v>
      </c>
      <c r="E8">
        <v>3</v>
      </c>
      <c r="H8">
        <f t="shared" si="0"/>
        <v>4.1095013782006768</v>
      </c>
      <c r="J8">
        <f t="shared" si="1"/>
        <v>359.99232073037933</v>
      </c>
      <c r="M8">
        <f t="shared" si="2"/>
        <v>3599.9232073037933</v>
      </c>
      <c r="O8">
        <f t="shared" si="3"/>
        <v>0</v>
      </c>
    </row>
    <row r="9" spans="1:15">
      <c r="A9">
        <v>4</v>
      </c>
      <c r="B9">
        <v>330</v>
      </c>
      <c r="C9">
        <v>85.6</v>
      </c>
      <c r="E9">
        <v>4</v>
      </c>
      <c r="H9">
        <f t="shared" si="0"/>
        <v>5.4760534056918315</v>
      </c>
      <c r="J9">
        <f t="shared" si="1"/>
        <v>479.70227833860446</v>
      </c>
      <c r="M9">
        <f t="shared" si="2"/>
        <v>158301.75185173948</v>
      </c>
      <c r="O9">
        <f t="shared" si="3"/>
        <v>41062.515025784538</v>
      </c>
    </row>
    <row r="10" spans="1:15">
      <c r="A10">
        <v>5</v>
      </c>
      <c r="B10">
        <v>560</v>
      </c>
      <c r="C10">
        <v>276.2</v>
      </c>
      <c r="E10">
        <v>5</v>
      </c>
      <c r="H10">
        <f t="shared" si="0"/>
        <v>6.6409132750619086</v>
      </c>
      <c r="J10">
        <f t="shared" si="1"/>
        <v>581.74400289542325</v>
      </c>
      <c r="M10">
        <f t="shared" si="2"/>
        <v>325776.64162143704</v>
      </c>
      <c r="O10">
        <f t="shared" si="3"/>
        <v>160677.69359971589</v>
      </c>
    </row>
    <row r="11" spans="1:15">
      <c r="A11">
        <v>6</v>
      </c>
      <c r="B11">
        <v>1000</v>
      </c>
      <c r="C11">
        <v>513.29999999999995</v>
      </c>
      <c r="E11">
        <v>6</v>
      </c>
      <c r="H11">
        <f t="shared" si="0"/>
        <v>7.531815677697387</v>
      </c>
      <c r="J11">
        <f t="shared" si="1"/>
        <v>659.78705336629116</v>
      </c>
      <c r="M11">
        <f t="shared" si="2"/>
        <v>659787.0533662911</v>
      </c>
      <c r="O11">
        <f t="shared" si="3"/>
        <v>338668.69449291722</v>
      </c>
    </row>
    <row r="12" spans="1:15">
      <c r="A12">
        <v>7</v>
      </c>
      <c r="B12">
        <v>1470</v>
      </c>
      <c r="C12">
        <v>879.8</v>
      </c>
      <c r="E12">
        <v>7</v>
      </c>
      <c r="H12">
        <f t="shared" si="0"/>
        <v>8.103875984644489</v>
      </c>
      <c r="J12">
        <f t="shared" si="1"/>
        <v>709.89953625485725</v>
      </c>
      <c r="M12">
        <f t="shared" si="2"/>
        <v>1043552.3182946402</v>
      </c>
      <c r="O12">
        <f t="shared" si="3"/>
        <v>624569.61199702334</v>
      </c>
    </row>
    <row r="13" spans="1:15">
      <c r="A13">
        <v>8</v>
      </c>
      <c r="B13">
        <v>1980</v>
      </c>
      <c r="C13" s="7">
        <v>1319.7</v>
      </c>
      <c r="E13">
        <v>8</v>
      </c>
      <c r="H13">
        <f t="shared" si="0"/>
        <v>8.3413960929251285</v>
      </c>
      <c r="J13">
        <f t="shared" si="1"/>
        <v>730.70629774024121</v>
      </c>
      <c r="M13">
        <f t="shared" si="2"/>
        <v>1446798.4695256776</v>
      </c>
      <c r="O13">
        <f t="shared" si="3"/>
        <v>964313.10112779634</v>
      </c>
    </row>
    <row r="14" spans="1:15">
      <c r="A14">
        <v>9</v>
      </c>
      <c r="B14">
        <v>2800</v>
      </c>
      <c r="C14" s="7">
        <v>1867.9</v>
      </c>
      <c r="E14">
        <v>9</v>
      </c>
      <c r="H14">
        <f t="shared" si="0"/>
        <v>8.2569956636591133</v>
      </c>
      <c r="J14">
        <f t="shared" si="1"/>
        <v>723.31282013653822</v>
      </c>
      <c r="M14">
        <f t="shared" si="2"/>
        <v>2025275.8963823069</v>
      </c>
      <c r="O14">
        <f t="shared" si="3"/>
        <v>1351076.0167330399</v>
      </c>
    </row>
    <row r="15" spans="1:15">
      <c r="A15">
        <v>10</v>
      </c>
      <c r="B15">
        <v>4000</v>
      </c>
      <c r="C15" s="7">
        <v>2643.4</v>
      </c>
      <c r="E15">
        <v>10</v>
      </c>
      <c r="H15">
        <f t="shared" si="0"/>
        <v>7.8878057009824785</v>
      </c>
      <c r="J15">
        <f t="shared" si="1"/>
        <v>690.97177940606514</v>
      </c>
      <c r="M15">
        <f t="shared" si="2"/>
        <v>2763887.1176242605</v>
      </c>
      <c r="O15">
        <f t="shared" si="3"/>
        <v>1826514.8016819926</v>
      </c>
    </row>
    <row r="16" spans="1:15">
      <c r="A16">
        <v>11</v>
      </c>
      <c r="B16">
        <v>4800</v>
      </c>
      <c r="C16" s="7">
        <v>3552.2</v>
      </c>
      <c r="E16">
        <v>11</v>
      </c>
      <c r="H16">
        <f t="shared" si="0"/>
        <v>7.2892472864250273</v>
      </c>
      <c r="J16">
        <f t="shared" si="1"/>
        <v>638.53806229083239</v>
      </c>
      <c r="M16">
        <f t="shared" si="2"/>
        <v>3064982.6989959953</v>
      </c>
      <c r="O16">
        <f t="shared" si="3"/>
        <v>2268214.9048694945</v>
      </c>
    </row>
    <row r="17" spans="1:15">
      <c r="A17">
        <v>12</v>
      </c>
      <c r="B17">
        <v>5000</v>
      </c>
      <c r="C17" s="7">
        <v>4702.3999999999996</v>
      </c>
      <c r="E17">
        <v>12</v>
      </c>
      <c r="H17">
        <f t="shared" si="0"/>
        <v>6.5273772359864948</v>
      </c>
      <c r="J17">
        <f t="shared" si="1"/>
        <v>571.79824587241694</v>
      </c>
      <c r="M17">
        <f t="shared" si="2"/>
        <v>2858991.2293620845</v>
      </c>
      <c r="O17">
        <f t="shared" si="3"/>
        <v>2688824.0713904533</v>
      </c>
    </row>
    <row r="18" spans="1:15">
      <c r="A18">
        <v>13</v>
      </c>
      <c r="B18">
        <v>5000</v>
      </c>
      <c r="C18" s="7">
        <v>5000</v>
      </c>
      <c r="E18">
        <v>13</v>
      </c>
      <c r="H18">
        <f t="shared" si="0"/>
        <v>5.6709670635703011</v>
      </c>
      <c r="J18">
        <f t="shared" si="1"/>
        <v>496.77671476875832</v>
      </c>
      <c r="M18">
        <f t="shared" si="2"/>
        <v>2483883.5738437916</v>
      </c>
      <c r="O18">
        <f t="shared" si="3"/>
        <v>2483883.5738437916</v>
      </c>
    </row>
    <row r="19" spans="1:15">
      <c r="A19">
        <v>14</v>
      </c>
      <c r="B19">
        <v>5000</v>
      </c>
      <c r="C19">
        <v>5000</v>
      </c>
      <c r="E19">
        <v>14</v>
      </c>
      <c r="H19">
        <f t="shared" si="0"/>
        <v>4.7844148335522956</v>
      </c>
      <c r="J19">
        <f t="shared" si="1"/>
        <v>419.11473941918109</v>
      </c>
      <c r="M19">
        <f t="shared" si="2"/>
        <v>2095573.6970959054</v>
      </c>
      <c r="O19">
        <f t="shared" si="3"/>
        <v>2095573.6970959054</v>
      </c>
    </row>
    <row r="20" spans="1:15">
      <c r="A20">
        <v>15</v>
      </c>
      <c r="B20">
        <v>5000</v>
      </c>
      <c r="C20">
        <v>5000</v>
      </c>
      <c r="E20">
        <v>15</v>
      </c>
      <c r="H20">
        <f t="shared" si="0"/>
        <v>3.9223236671613795</v>
      </c>
      <c r="J20">
        <f t="shared" si="1"/>
        <v>343.59555324333684</v>
      </c>
      <c r="M20">
        <f t="shared" si="2"/>
        <v>1717977.7662166841</v>
      </c>
      <c r="O20">
        <f t="shared" si="3"/>
        <v>1717977.7662166841</v>
      </c>
    </row>
    <row r="21" spans="1:15">
      <c r="A21">
        <v>16</v>
      </c>
      <c r="B21">
        <v>5000</v>
      </c>
      <c r="C21">
        <v>5000</v>
      </c>
      <c r="E21">
        <v>16</v>
      </c>
      <c r="H21">
        <f t="shared" si="0"/>
        <v>3.126198488288062</v>
      </c>
      <c r="J21">
        <f t="shared" si="1"/>
        <v>273.85498757403423</v>
      </c>
      <c r="M21">
        <f t="shared" si="2"/>
        <v>1369274.9378701712</v>
      </c>
      <c r="O21">
        <f t="shared" si="3"/>
        <v>1369274.9378701712</v>
      </c>
    </row>
    <row r="22" spans="1:15">
      <c r="A22">
        <v>17</v>
      </c>
      <c r="B22">
        <v>5000</v>
      </c>
      <c r="C22">
        <v>5000</v>
      </c>
      <c r="E22">
        <v>17</v>
      </c>
      <c r="H22">
        <f t="shared" si="0"/>
        <v>2.4233085848822249</v>
      </c>
      <c r="J22">
        <f t="shared" si="1"/>
        <v>212.2818320356829</v>
      </c>
      <c r="M22">
        <f t="shared" si="2"/>
        <v>1061409.1601784145</v>
      </c>
      <c r="O22">
        <f t="shared" si="3"/>
        <v>1061409.1601784145</v>
      </c>
    </row>
    <row r="23" spans="1:15">
      <c r="A23">
        <v>18</v>
      </c>
      <c r="B23">
        <v>5000</v>
      </c>
      <c r="C23">
        <v>5000</v>
      </c>
      <c r="E23">
        <v>18</v>
      </c>
      <c r="H23">
        <f t="shared" si="0"/>
        <v>1.8274216637155682</v>
      </c>
      <c r="J23">
        <f t="shared" si="1"/>
        <v>160.08213774148376</v>
      </c>
      <c r="M23">
        <f t="shared" si="2"/>
        <v>800410.68870741886</v>
      </c>
      <c r="O23">
        <f t="shared" si="3"/>
        <v>800410.68870741886</v>
      </c>
    </row>
    <row r="24" spans="1:15">
      <c r="A24">
        <v>19</v>
      </c>
      <c r="B24">
        <v>5000</v>
      </c>
      <c r="C24">
        <v>5000</v>
      </c>
      <c r="E24">
        <v>19</v>
      </c>
      <c r="H24">
        <f t="shared" si="0"/>
        <v>1.3408910483772649</v>
      </c>
      <c r="J24">
        <f t="shared" si="1"/>
        <v>117.46205583784841</v>
      </c>
      <c r="M24">
        <f t="shared" si="2"/>
        <v>587310.27918924205</v>
      </c>
      <c r="O24">
        <f t="shared" si="3"/>
        <v>587310.27918924205</v>
      </c>
    </row>
    <row r="25" spans="1:15">
      <c r="A25">
        <v>20</v>
      </c>
      <c r="B25">
        <v>5000</v>
      </c>
      <c r="C25">
        <v>5000</v>
      </c>
      <c r="E25">
        <v>20</v>
      </c>
      <c r="H25">
        <f t="shared" si="0"/>
        <v>0.95749120205421834</v>
      </c>
      <c r="J25">
        <f t="shared" si="1"/>
        <v>83.876229299949529</v>
      </c>
      <c r="M25">
        <f t="shared" si="2"/>
        <v>419381.14649974764</v>
      </c>
      <c r="O25">
        <f t="shared" si="3"/>
        <v>419381.14649974764</v>
      </c>
    </row>
    <row r="26" spans="1:15">
      <c r="A26">
        <v>21</v>
      </c>
      <c r="B26">
        <v>5000</v>
      </c>
      <c r="C26">
        <v>5000</v>
      </c>
      <c r="E26">
        <v>21</v>
      </c>
      <c r="H26">
        <f t="shared" si="0"/>
        <v>0.66543405077472639</v>
      </c>
      <c r="J26">
        <f t="shared" si="1"/>
        <v>58.292022847866036</v>
      </c>
      <c r="M26">
        <f t="shared" si="2"/>
        <v>291460.11423933017</v>
      </c>
      <c r="O26">
        <f t="shared" si="3"/>
        <v>291460.11423933017</v>
      </c>
    </row>
    <row r="27" spans="1:15">
      <c r="A27">
        <v>22</v>
      </c>
      <c r="B27">
        <v>5000</v>
      </c>
      <c r="C27">
        <v>5000</v>
      </c>
      <c r="E27">
        <v>22</v>
      </c>
      <c r="H27">
        <f t="shared" si="0"/>
        <v>0.45012281365397694</v>
      </c>
      <c r="J27">
        <f t="shared" si="1"/>
        <v>39.430758476088378</v>
      </c>
      <c r="M27">
        <f t="shared" si="2"/>
        <v>197153.79238044188</v>
      </c>
      <c r="O27">
        <f t="shared" si="3"/>
        <v>197153.79238044188</v>
      </c>
    </row>
    <row r="28" spans="1:15">
      <c r="A28">
        <v>23</v>
      </c>
      <c r="B28">
        <v>5000</v>
      </c>
      <c r="C28">
        <v>5000</v>
      </c>
      <c r="E28">
        <v>23</v>
      </c>
      <c r="H28">
        <f t="shared" si="0"/>
        <v>0.29636524529212604</v>
      </c>
      <c r="J28">
        <f t="shared" si="1"/>
        <v>25.961595487590245</v>
      </c>
      <c r="M28">
        <f t="shared" si="2"/>
        <v>129807.97743795122</v>
      </c>
      <c r="O28">
        <f t="shared" si="3"/>
        <v>129807.97743795122</v>
      </c>
    </row>
    <row r="29" spans="1:15">
      <c r="A29">
        <v>24</v>
      </c>
      <c r="B29">
        <v>5000</v>
      </c>
      <c r="C29">
        <v>5000</v>
      </c>
      <c r="E29">
        <v>24</v>
      </c>
      <c r="H29">
        <f t="shared" si="0"/>
        <v>0.18993205752678008</v>
      </c>
      <c r="J29">
        <f t="shared" si="1"/>
        <v>16.638048239345935</v>
      </c>
      <c r="M29">
        <f t="shared" si="2"/>
        <v>83190.241196729679</v>
      </c>
      <c r="O29">
        <f t="shared" si="3"/>
        <v>83190.241196729679</v>
      </c>
    </row>
    <row r="30" spans="1:15">
      <c r="A30">
        <v>25</v>
      </c>
      <c r="B30">
        <v>5000</v>
      </c>
      <c r="C30">
        <v>5000</v>
      </c>
      <c r="E30">
        <v>25</v>
      </c>
      <c r="H30">
        <f t="shared" si="0"/>
        <v>0.11847875556973489</v>
      </c>
      <c r="J30">
        <f t="shared" si="1"/>
        <v>10.378738987908775</v>
      </c>
      <c r="M30">
        <f t="shared" si="2"/>
        <v>51893.694939543879</v>
      </c>
      <c r="O30">
        <f t="shared" si="3"/>
        <v>51893.694939543879</v>
      </c>
    </row>
    <row r="31" spans="1:15">
      <c r="A31">
        <v>26</v>
      </c>
      <c r="B31">
        <v>0</v>
      </c>
      <c r="C31">
        <v>0</v>
      </c>
      <c r="E31">
        <v>26</v>
      </c>
      <c r="H31">
        <f t="shared" si="0"/>
        <v>7.1935592265598716E-2</v>
      </c>
      <c r="J31">
        <f t="shared" si="1"/>
        <v>6.3015578824664473</v>
      </c>
      <c r="M31">
        <f t="shared" si="2"/>
        <v>0</v>
      </c>
      <c r="O31">
        <f t="shared" si="3"/>
        <v>0</v>
      </c>
    </row>
    <row r="32" spans="1:15">
      <c r="A32">
        <v>27</v>
      </c>
      <c r="B32">
        <v>0</v>
      </c>
      <c r="C32">
        <v>0</v>
      </c>
      <c r="E32">
        <v>27</v>
      </c>
      <c r="H32">
        <f t="shared" si="0"/>
        <v>4.2510173573753147E-2</v>
      </c>
      <c r="J32">
        <f t="shared" si="1"/>
        <v>3.723891205060776</v>
      </c>
      <c r="M32">
        <f t="shared" si="2"/>
        <v>0</v>
      </c>
      <c r="O32">
        <f t="shared" si="3"/>
        <v>0</v>
      </c>
    </row>
    <row r="33" spans="1:15">
      <c r="A33">
        <v>28</v>
      </c>
      <c r="B33">
        <v>0</v>
      </c>
      <c r="C33">
        <v>0</v>
      </c>
      <c r="E33">
        <v>28</v>
      </c>
      <c r="H33">
        <f t="shared" si="0"/>
        <v>2.4449381440920546E-2</v>
      </c>
      <c r="J33">
        <f t="shared" si="1"/>
        <v>2.1417658142246401</v>
      </c>
      <c r="M33">
        <f t="shared" si="2"/>
        <v>0</v>
      </c>
      <c r="O33">
        <f t="shared" si="3"/>
        <v>0</v>
      </c>
    </row>
    <row r="34" spans="1:15">
      <c r="A34">
        <v>29</v>
      </c>
      <c r="B34">
        <v>0</v>
      </c>
      <c r="C34">
        <v>0</v>
      </c>
      <c r="E34">
        <v>29</v>
      </c>
      <c r="H34">
        <f t="shared" si="0"/>
        <v>1.3685021289004746E-2</v>
      </c>
      <c r="J34">
        <f t="shared" si="1"/>
        <v>1.1988078649168157</v>
      </c>
      <c r="M34">
        <f t="shared" si="2"/>
        <v>0</v>
      </c>
      <c r="O34">
        <f t="shared" si="3"/>
        <v>0</v>
      </c>
    </row>
    <row r="35" spans="1:15">
      <c r="A35">
        <v>30</v>
      </c>
      <c r="B35">
        <v>0</v>
      </c>
      <c r="C35">
        <v>0</v>
      </c>
      <c r="E35">
        <v>30</v>
      </c>
      <c r="H35">
        <f t="shared" si="0"/>
        <v>7.4541721508194301E-3</v>
      </c>
      <c r="J35">
        <f t="shared" si="1"/>
        <v>0.65298548041178206</v>
      </c>
      <c r="M35">
        <f t="shared" si="2"/>
        <v>0</v>
      </c>
      <c r="O35">
        <f t="shared" si="3"/>
        <v>0</v>
      </c>
    </row>
    <row r="37" spans="1:15">
      <c r="K37" t="s">
        <v>98</v>
      </c>
      <c r="M37">
        <f>SUM(M5:M35)</f>
        <v>25639680.170027107</v>
      </c>
      <c r="O37">
        <f>SUM(O5:O35)</f>
        <v>21552648.480713591</v>
      </c>
    </row>
    <row r="38" spans="1:15">
      <c r="K38" t="s">
        <v>99</v>
      </c>
      <c r="M38">
        <f>M37/(365*24)</f>
        <v>2926.904128998528</v>
      </c>
      <c r="O38">
        <f>O37/(365*24)</f>
        <v>2460.3480000814602</v>
      </c>
    </row>
    <row r="39" spans="1:15">
      <c r="K39" t="s">
        <v>100</v>
      </c>
      <c r="M39">
        <f>(M38/8000)*100</f>
        <v>36.586301612481599</v>
      </c>
      <c r="O39">
        <f>O37/Sheet1!F11</f>
        <v>101968208.75230667</v>
      </c>
    </row>
    <row r="75" spans="1:2">
      <c r="A75">
        <v>2</v>
      </c>
      <c r="B75">
        <v>0</v>
      </c>
    </row>
    <row r="76" spans="1:2">
      <c r="A76">
        <v>3</v>
      </c>
      <c r="B76">
        <v>10</v>
      </c>
    </row>
    <row r="77" spans="1:2">
      <c r="A77">
        <v>4</v>
      </c>
      <c r="B77">
        <v>330</v>
      </c>
    </row>
    <row r="78" spans="1:2">
      <c r="A78">
        <v>5</v>
      </c>
      <c r="B78">
        <v>560</v>
      </c>
    </row>
    <row r="79" spans="1:2">
      <c r="A79">
        <v>6</v>
      </c>
      <c r="B79">
        <v>1000</v>
      </c>
    </row>
    <row r="80" spans="1:2">
      <c r="A80">
        <v>7</v>
      </c>
      <c r="B80">
        <v>1470</v>
      </c>
    </row>
    <row r="81" spans="1:2">
      <c r="A81">
        <v>8</v>
      </c>
      <c r="B81">
        <v>1980</v>
      </c>
    </row>
    <row r="82" spans="1:2">
      <c r="A82">
        <v>9</v>
      </c>
      <c r="B82">
        <v>2800</v>
      </c>
    </row>
    <row r="83" spans="1:2">
      <c r="A83">
        <v>10</v>
      </c>
      <c r="B83">
        <v>4000</v>
      </c>
    </row>
    <row r="84" spans="1:2">
      <c r="A84">
        <v>11</v>
      </c>
      <c r="B84">
        <v>4800</v>
      </c>
    </row>
    <row r="85" spans="1:2">
      <c r="A85">
        <v>12</v>
      </c>
      <c r="B85">
        <v>5000</v>
      </c>
    </row>
    <row r="90" spans="1:2">
      <c r="B90">
        <v>9.44</v>
      </c>
    </row>
    <row r="92" spans="1:2">
      <c r="B92">
        <f>-0.0727*(B90^6)+2.3619*(B90^5)-28.739*(B90^4)+162.81*(B90^3)-380.22*(B90^2)+295.01*B90</f>
        <v>3252.7164736810323</v>
      </c>
    </row>
  </sheetData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2"/>
  <sheetViews>
    <sheetView topLeftCell="A25" zoomScale="90" zoomScaleNormal="90" workbookViewId="0">
      <selection activeCell="AC20" sqref="AC20"/>
    </sheetView>
  </sheetViews>
  <sheetFormatPr defaultColWidth="8.85546875" defaultRowHeight="15"/>
  <cols>
    <col min="1" max="1" width="16.5703125" customWidth="1"/>
    <col min="4" max="4" width="10.7109375"/>
    <col min="5" max="5" width="15" customWidth="1"/>
    <col min="12" max="12" width="12.28515625" customWidth="1"/>
    <col min="13" max="13" width="12.85546875"/>
    <col min="15" max="15" width="20.42578125" customWidth="1"/>
    <col min="21" max="21" width="12.140625" bestFit="1" customWidth="1"/>
  </cols>
  <sheetData>
    <row r="3" spans="1:15">
      <c r="A3" t="s">
        <v>93</v>
      </c>
      <c r="B3" t="s">
        <v>94</v>
      </c>
      <c r="E3" t="s">
        <v>93</v>
      </c>
      <c r="H3" t="s">
        <v>95</v>
      </c>
      <c r="J3" t="s">
        <v>96</v>
      </c>
      <c r="M3" t="s">
        <v>97</v>
      </c>
    </row>
    <row r="4" spans="1:15">
      <c r="A4">
        <v>0</v>
      </c>
      <c r="B4">
        <v>0</v>
      </c>
      <c r="C4">
        <v>0</v>
      </c>
      <c r="E4">
        <v>0</v>
      </c>
      <c r="H4">
        <f>WEIBULL(A4,2.18,10.9,FALSE)*100</f>
        <v>0</v>
      </c>
      <c r="J4">
        <f t="shared" ref="J4:J34" si="0">365*24*(H4/100)</f>
        <v>0</v>
      </c>
      <c r="M4">
        <f t="shared" ref="M4:M11" si="1">(J4*B4)</f>
        <v>0</v>
      </c>
      <c r="O4">
        <f>J4*C4</f>
        <v>0</v>
      </c>
    </row>
    <row r="5" spans="1:15">
      <c r="A5">
        <v>1</v>
      </c>
      <c r="B5">
        <v>0</v>
      </c>
      <c r="C5">
        <v>0</v>
      </c>
      <c r="E5">
        <v>1</v>
      </c>
      <c r="H5">
        <f t="shared" ref="H5:H34" si="2">WEIBULL(A5,2.18,10.9,FALSE)*100</f>
        <v>1.1871041489185308</v>
      </c>
      <c r="J5">
        <f t="shared" si="0"/>
        <v>103.9903234452633</v>
      </c>
      <c r="M5">
        <f t="shared" si="1"/>
        <v>0</v>
      </c>
      <c r="O5">
        <f t="shared" ref="O5:O34" si="3">J5*C5</f>
        <v>0</v>
      </c>
    </row>
    <row r="6" spans="1:15">
      <c r="A6">
        <v>2</v>
      </c>
      <c r="B6">
        <v>0</v>
      </c>
      <c r="C6">
        <v>0</v>
      </c>
      <c r="E6">
        <v>2</v>
      </c>
      <c r="H6">
        <f t="shared" si="2"/>
        <v>2.6381929826532615</v>
      </c>
      <c r="J6">
        <f t="shared" si="0"/>
        <v>231.1057052804257</v>
      </c>
      <c r="M6">
        <f t="shared" si="1"/>
        <v>0</v>
      </c>
      <c r="O6">
        <f t="shared" si="3"/>
        <v>0</v>
      </c>
    </row>
    <row r="7" spans="1:15">
      <c r="A7">
        <v>3</v>
      </c>
      <c r="B7">
        <v>0</v>
      </c>
      <c r="C7">
        <v>0</v>
      </c>
      <c r="E7">
        <v>3</v>
      </c>
      <c r="H7">
        <f t="shared" si="2"/>
        <v>4.1095013782006768</v>
      </c>
      <c r="J7">
        <f t="shared" si="0"/>
        <v>359.99232073037933</v>
      </c>
      <c r="M7">
        <f t="shared" si="1"/>
        <v>0</v>
      </c>
      <c r="O7">
        <f t="shared" si="3"/>
        <v>0</v>
      </c>
    </row>
    <row r="8" spans="1:15">
      <c r="A8">
        <v>4</v>
      </c>
      <c r="B8">
        <v>109</v>
      </c>
      <c r="C8">
        <v>101</v>
      </c>
      <c r="E8">
        <v>4</v>
      </c>
      <c r="H8">
        <f t="shared" si="2"/>
        <v>5.4760534056918315</v>
      </c>
      <c r="J8">
        <f t="shared" si="0"/>
        <v>479.70227833860446</v>
      </c>
      <c r="M8">
        <f t="shared" si="1"/>
        <v>52287.548338907887</v>
      </c>
      <c r="O8">
        <f t="shared" si="3"/>
        <v>48449.93011219905</v>
      </c>
    </row>
    <row r="9" spans="1:15">
      <c r="A9">
        <v>5</v>
      </c>
      <c r="B9">
        <v>313</v>
      </c>
      <c r="C9">
        <v>347</v>
      </c>
      <c r="E9">
        <v>5</v>
      </c>
      <c r="H9">
        <f t="shared" si="2"/>
        <v>6.6409132750619086</v>
      </c>
      <c r="J9">
        <f t="shared" si="0"/>
        <v>581.74400289542325</v>
      </c>
      <c r="M9">
        <f t="shared" si="1"/>
        <v>182085.87290626747</v>
      </c>
      <c r="O9">
        <f t="shared" si="3"/>
        <v>201865.16900471188</v>
      </c>
    </row>
    <row r="10" spans="1:15">
      <c r="A10">
        <v>6</v>
      </c>
      <c r="B10">
        <v>625</v>
      </c>
      <c r="C10">
        <v>700</v>
      </c>
      <c r="E10">
        <v>6</v>
      </c>
      <c r="H10">
        <f t="shared" si="2"/>
        <v>7.531815677697387</v>
      </c>
      <c r="J10">
        <f t="shared" si="0"/>
        <v>659.78705336629116</v>
      </c>
      <c r="M10">
        <f t="shared" si="1"/>
        <v>412366.90835393197</v>
      </c>
      <c r="O10">
        <f t="shared" si="3"/>
        <v>461850.9373564038</v>
      </c>
    </row>
    <row r="11" spans="1:15">
      <c r="A11">
        <v>7</v>
      </c>
      <c r="B11">
        <v>1085</v>
      </c>
      <c r="C11" s="7">
        <v>1180</v>
      </c>
      <c r="E11">
        <v>7</v>
      </c>
      <c r="H11">
        <f t="shared" si="2"/>
        <v>8.103875984644489</v>
      </c>
      <c r="J11">
        <f t="shared" si="0"/>
        <v>709.89953625485725</v>
      </c>
      <c r="M11">
        <f t="shared" si="1"/>
        <v>770240.99683652015</v>
      </c>
      <c r="O11">
        <f t="shared" si="3"/>
        <v>837681.4527807316</v>
      </c>
    </row>
    <row r="12" spans="1:15">
      <c r="A12">
        <v>8</v>
      </c>
      <c r="B12">
        <v>1700</v>
      </c>
      <c r="C12" s="7">
        <v>1805</v>
      </c>
      <c r="E12">
        <v>8</v>
      </c>
      <c r="H12">
        <f t="shared" si="2"/>
        <v>8.3413960929251285</v>
      </c>
      <c r="J12">
        <f t="shared" si="0"/>
        <v>730.70629774024121</v>
      </c>
      <c r="M12">
        <f t="shared" ref="M12:M34" si="4">(J12*B12)</f>
        <v>1242200.7061584101</v>
      </c>
      <c r="O12">
        <f t="shared" si="3"/>
        <v>1318924.8674211353</v>
      </c>
    </row>
    <row r="13" spans="1:15">
      <c r="A13">
        <v>9</v>
      </c>
      <c r="B13">
        <v>2450</v>
      </c>
      <c r="C13" s="7">
        <v>2590</v>
      </c>
      <c r="E13">
        <v>9</v>
      </c>
      <c r="H13">
        <f t="shared" si="2"/>
        <v>8.2569956636591133</v>
      </c>
      <c r="J13">
        <f t="shared" si="0"/>
        <v>723.31282013653822</v>
      </c>
      <c r="M13">
        <f t="shared" si="4"/>
        <v>1772116.4093345187</v>
      </c>
      <c r="O13">
        <f t="shared" si="3"/>
        <v>1873380.2041536339</v>
      </c>
    </row>
    <row r="14" spans="1:15">
      <c r="A14">
        <v>10</v>
      </c>
      <c r="B14">
        <v>3360</v>
      </c>
      <c r="C14" s="7">
        <v>3444</v>
      </c>
      <c r="E14">
        <v>10</v>
      </c>
      <c r="H14">
        <f t="shared" si="2"/>
        <v>7.8878057009824785</v>
      </c>
      <c r="J14">
        <f t="shared" si="0"/>
        <v>690.97177940606514</v>
      </c>
      <c r="M14">
        <f t="shared" si="4"/>
        <v>2321665.178804379</v>
      </c>
      <c r="O14">
        <f t="shared" si="3"/>
        <v>2379706.8082744884</v>
      </c>
    </row>
    <row r="15" spans="1:15">
      <c r="A15">
        <v>11</v>
      </c>
      <c r="B15">
        <v>4405</v>
      </c>
      <c r="C15" s="7">
        <v>4363</v>
      </c>
      <c r="E15">
        <v>11</v>
      </c>
      <c r="H15">
        <f t="shared" si="2"/>
        <v>7.2892472864250273</v>
      </c>
      <c r="J15">
        <f t="shared" si="0"/>
        <v>638.53806229083239</v>
      </c>
      <c r="M15">
        <f t="shared" si="4"/>
        <v>2812760.1643911167</v>
      </c>
      <c r="O15">
        <f t="shared" si="3"/>
        <v>2785941.5657749018</v>
      </c>
    </row>
    <row r="16" spans="1:15">
      <c r="A16">
        <v>12</v>
      </c>
      <c r="B16">
        <v>5390</v>
      </c>
      <c r="C16" s="7">
        <v>5252</v>
      </c>
      <c r="E16">
        <v>12</v>
      </c>
      <c r="H16">
        <f t="shared" si="2"/>
        <v>6.5273772359864948</v>
      </c>
      <c r="J16">
        <f t="shared" si="0"/>
        <v>571.79824587241694</v>
      </c>
      <c r="M16">
        <f t="shared" si="4"/>
        <v>3081992.5452523273</v>
      </c>
      <c r="O16">
        <f t="shared" si="3"/>
        <v>3003084.3873219336</v>
      </c>
    </row>
    <row r="17" spans="1:15">
      <c r="A17">
        <v>13</v>
      </c>
      <c r="B17">
        <v>6100</v>
      </c>
      <c r="C17" s="7">
        <v>5889</v>
      </c>
      <c r="E17">
        <v>13</v>
      </c>
      <c r="H17">
        <f t="shared" si="2"/>
        <v>5.6709670635703011</v>
      </c>
      <c r="J17">
        <f t="shared" si="0"/>
        <v>496.77671476875832</v>
      </c>
      <c r="M17">
        <f t="shared" si="4"/>
        <v>3030337.9600894256</v>
      </c>
      <c r="O17">
        <f t="shared" si="3"/>
        <v>2925518.0732732178</v>
      </c>
    </row>
    <row r="18" spans="1:15">
      <c r="A18">
        <v>14</v>
      </c>
      <c r="B18">
        <v>6200</v>
      </c>
      <c r="C18" s="7">
        <v>6138</v>
      </c>
      <c r="E18">
        <v>14</v>
      </c>
      <c r="H18">
        <f t="shared" si="2"/>
        <v>4.7844148335522956</v>
      </c>
      <c r="J18">
        <f t="shared" si="0"/>
        <v>419.11473941918109</v>
      </c>
      <c r="M18">
        <f t="shared" si="4"/>
        <v>2598511.3843989228</v>
      </c>
      <c r="O18">
        <f t="shared" si="3"/>
        <v>2572526.2705549337</v>
      </c>
    </row>
    <row r="19" spans="1:15">
      <c r="A19">
        <v>15</v>
      </c>
      <c r="B19">
        <v>6200</v>
      </c>
      <c r="C19" s="7">
        <v>6150</v>
      </c>
      <c r="E19">
        <v>15</v>
      </c>
      <c r="H19">
        <f t="shared" si="2"/>
        <v>3.9223236671613795</v>
      </c>
      <c r="J19">
        <f t="shared" si="0"/>
        <v>343.59555324333684</v>
      </c>
      <c r="M19">
        <f t="shared" si="4"/>
        <v>2130292.4301086883</v>
      </c>
      <c r="O19">
        <f t="shared" si="3"/>
        <v>2113112.6524465214</v>
      </c>
    </row>
    <row r="20" spans="1:15">
      <c r="A20">
        <v>16</v>
      </c>
      <c r="B20">
        <v>6200</v>
      </c>
      <c r="C20" s="7">
        <v>6150</v>
      </c>
      <c r="E20">
        <v>16</v>
      </c>
      <c r="H20">
        <f t="shared" si="2"/>
        <v>3.126198488288062</v>
      </c>
      <c r="J20">
        <f t="shared" si="0"/>
        <v>273.85498757403423</v>
      </c>
      <c r="M20">
        <f t="shared" si="4"/>
        <v>1697900.9229590122</v>
      </c>
      <c r="O20">
        <f t="shared" si="3"/>
        <v>1684208.1735803105</v>
      </c>
    </row>
    <row r="21" spans="1:15">
      <c r="A21">
        <v>17</v>
      </c>
      <c r="B21">
        <v>6200</v>
      </c>
      <c r="C21" s="7">
        <v>6150</v>
      </c>
      <c r="E21">
        <v>17</v>
      </c>
      <c r="H21">
        <f t="shared" si="2"/>
        <v>2.4233085848822249</v>
      </c>
      <c r="J21">
        <f t="shared" si="0"/>
        <v>212.2818320356829</v>
      </c>
      <c r="M21">
        <f t="shared" si="4"/>
        <v>1316147.3586212338</v>
      </c>
      <c r="O21">
        <f t="shared" si="3"/>
        <v>1305533.2670194497</v>
      </c>
    </row>
    <row r="22" spans="1:15">
      <c r="A22">
        <v>18</v>
      </c>
      <c r="B22">
        <v>6200</v>
      </c>
      <c r="C22" s="7">
        <v>6150</v>
      </c>
      <c r="E22">
        <v>18</v>
      </c>
      <c r="H22">
        <f t="shared" si="2"/>
        <v>1.8274216637155682</v>
      </c>
      <c r="J22">
        <f t="shared" si="0"/>
        <v>160.08213774148376</v>
      </c>
      <c r="M22">
        <f t="shared" si="4"/>
        <v>992509.25399719935</v>
      </c>
      <c r="O22">
        <f t="shared" si="3"/>
        <v>984505.14711012517</v>
      </c>
    </row>
    <row r="23" spans="1:15">
      <c r="A23">
        <v>19</v>
      </c>
      <c r="B23">
        <v>6200</v>
      </c>
      <c r="C23" s="7">
        <v>6150</v>
      </c>
      <c r="E23">
        <v>19</v>
      </c>
      <c r="H23">
        <f t="shared" si="2"/>
        <v>1.3408910483772649</v>
      </c>
      <c r="J23">
        <f t="shared" si="0"/>
        <v>117.46205583784841</v>
      </c>
      <c r="M23">
        <f t="shared" si="4"/>
        <v>728264.7461946602</v>
      </c>
      <c r="O23">
        <f t="shared" si="3"/>
        <v>722391.64340276772</v>
      </c>
    </row>
    <row r="24" spans="1:15">
      <c r="A24">
        <v>20</v>
      </c>
      <c r="B24">
        <v>6200</v>
      </c>
      <c r="C24" s="7">
        <v>6150</v>
      </c>
      <c r="E24">
        <v>20</v>
      </c>
      <c r="H24">
        <f t="shared" si="2"/>
        <v>0.95749120205421834</v>
      </c>
      <c r="J24">
        <f t="shared" si="0"/>
        <v>83.876229299949529</v>
      </c>
      <c r="M24">
        <f t="shared" si="4"/>
        <v>520032.62165968708</v>
      </c>
      <c r="O24">
        <f t="shared" si="3"/>
        <v>515838.81019468961</v>
      </c>
    </row>
    <row r="25" spans="1:15">
      <c r="A25">
        <v>21</v>
      </c>
      <c r="B25">
        <v>6200</v>
      </c>
      <c r="C25" s="7">
        <v>6150</v>
      </c>
      <c r="E25">
        <v>21</v>
      </c>
      <c r="H25">
        <f t="shared" si="2"/>
        <v>0.66543405077472639</v>
      </c>
      <c r="J25">
        <f t="shared" si="0"/>
        <v>58.292022847866036</v>
      </c>
      <c r="M25">
        <f t="shared" si="4"/>
        <v>361410.5416567694</v>
      </c>
      <c r="O25">
        <f t="shared" si="3"/>
        <v>358495.9405143761</v>
      </c>
    </row>
    <row r="26" spans="1:15">
      <c r="A26">
        <v>22</v>
      </c>
      <c r="B26">
        <v>6200</v>
      </c>
      <c r="C26" s="7">
        <v>6150</v>
      </c>
      <c r="E26">
        <v>22</v>
      </c>
      <c r="H26">
        <f t="shared" si="2"/>
        <v>0.45012281365397694</v>
      </c>
      <c r="J26">
        <f t="shared" si="0"/>
        <v>39.430758476088378</v>
      </c>
      <c r="M26">
        <f t="shared" si="4"/>
        <v>244470.70255174793</v>
      </c>
      <c r="O26">
        <f t="shared" si="3"/>
        <v>242499.16462794354</v>
      </c>
    </row>
    <row r="27" spans="1:15">
      <c r="A27">
        <v>23</v>
      </c>
      <c r="B27">
        <v>6200</v>
      </c>
      <c r="C27" s="7">
        <v>6150</v>
      </c>
      <c r="E27">
        <v>23</v>
      </c>
      <c r="H27">
        <f t="shared" si="2"/>
        <v>0.29636524529212604</v>
      </c>
      <c r="J27">
        <f t="shared" si="0"/>
        <v>25.961595487590245</v>
      </c>
      <c r="M27">
        <f t="shared" si="4"/>
        <v>160961.89202305951</v>
      </c>
      <c r="O27">
        <f t="shared" si="3"/>
        <v>159663.81224868001</v>
      </c>
    </row>
    <row r="28" spans="1:15">
      <c r="A28">
        <v>24</v>
      </c>
      <c r="B28">
        <v>6200</v>
      </c>
      <c r="C28" s="7">
        <v>6150</v>
      </c>
      <c r="E28">
        <v>24</v>
      </c>
      <c r="H28">
        <f t="shared" si="2"/>
        <v>0.18993205752678008</v>
      </c>
      <c r="J28">
        <f t="shared" si="0"/>
        <v>16.638048239345935</v>
      </c>
      <c r="M28">
        <f t="shared" si="4"/>
        <v>103155.89908394479</v>
      </c>
      <c r="O28">
        <f t="shared" si="3"/>
        <v>102323.9966719775</v>
      </c>
    </row>
    <row r="29" spans="1:15">
      <c r="A29">
        <v>25</v>
      </c>
      <c r="B29">
        <v>6200</v>
      </c>
      <c r="C29" s="7">
        <v>6150</v>
      </c>
      <c r="E29">
        <v>25</v>
      </c>
      <c r="H29">
        <f t="shared" si="2"/>
        <v>0.11847875556973489</v>
      </c>
      <c r="J29">
        <f t="shared" si="0"/>
        <v>10.378738987908775</v>
      </c>
      <c r="M29">
        <f t="shared" si="4"/>
        <v>64348.18172503441</v>
      </c>
      <c r="O29">
        <f t="shared" si="3"/>
        <v>63829.244775638967</v>
      </c>
    </row>
    <row r="30" spans="1:15">
      <c r="A30">
        <v>26</v>
      </c>
      <c r="B30">
        <v>6200</v>
      </c>
      <c r="C30" s="7">
        <v>6150</v>
      </c>
      <c r="E30">
        <v>26</v>
      </c>
      <c r="H30">
        <f t="shared" si="2"/>
        <v>7.1935592265598716E-2</v>
      </c>
      <c r="J30">
        <f t="shared" si="0"/>
        <v>6.3015578824664473</v>
      </c>
      <c r="M30">
        <f t="shared" si="4"/>
        <v>39069.658871291977</v>
      </c>
      <c r="O30">
        <f t="shared" si="3"/>
        <v>38754.580977168654</v>
      </c>
    </row>
    <row r="31" spans="1:15">
      <c r="A31">
        <v>27</v>
      </c>
      <c r="B31">
        <v>6200</v>
      </c>
      <c r="C31" s="7">
        <v>6150</v>
      </c>
      <c r="E31">
        <v>27</v>
      </c>
      <c r="H31">
        <f t="shared" si="2"/>
        <v>4.2510173573753147E-2</v>
      </c>
      <c r="J31">
        <f t="shared" si="0"/>
        <v>3.723891205060776</v>
      </c>
      <c r="M31">
        <f t="shared" si="4"/>
        <v>23088.12547137681</v>
      </c>
      <c r="O31">
        <f t="shared" si="3"/>
        <v>22901.930911123771</v>
      </c>
    </row>
    <row r="32" spans="1:15">
      <c r="A32">
        <v>28</v>
      </c>
      <c r="B32">
        <v>6200</v>
      </c>
      <c r="C32" s="7">
        <v>6150</v>
      </c>
      <c r="E32">
        <v>28</v>
      </c>
      <c r="H32">
        <f t="shared" si="2"/>
        <v>2.4449381440920546E-2</v>
      </c>
      <c r="J32">
        <f t="shared" si="0"/>
        <v>2.1417658142246401</v>
      </c>
      <c r="M32">
        <f t="shared" si="4"/>
        <v>13278.948048192768</v>
      </c>
      <c r="O32">
        <f t="shared" si="3"/>
        <v>13171.859757481536</v>
      </c>
    </row>
    <row r="33" spans="1:21">
      <c r="A33">
        <v>29</v>
      </c>
      <c r="B33">
        <v>6200</v>
      </c>
      <c r="C33" s="7">
        <v>6150</v>
      </c>
      <c r="E33">
        <v>29</v>
      </c>
      <c r="H33">
        <f t="shared" si="2"/>
        <v>1.3685021289004746E-2</v>
      </c>
      <c r="J33">
        <f t="shared" si="0"/>
        <v>1.1988078649168157</v>
      </c>
      <c r="M33">
        <f t="shared" si="4"/>
        <v>7432.6087624842576</v>
      </c>
      <c r="O33">
        <f t="shared" si="3"/>
        <v>7372.6683692384167</v>
      </c>
    </row>
    <row r="34" spans="1:21">
      <c r="A34">
        <v>30</v>
      </c>
      <c r="B34">
        <v>6200</v>
      </c>
      <c r="C34" s="7">
        <v>6150</v>
      </c>
      <c r="E34">
        <v>30</v>
      </c>
      <c r="H34">
        <f t="shared" si="2"/>
        <v>7.4541721508194301E-3</v>
      </c>
      <c r="J34">
        <f t="shared" si="0"/>
        <v>0.65298548041178206</v>
      </c>
      <c r="M34">
        <f t="shared" si="4"/>
        <v>4048.5099785530488</v>
      </c>
      <c r="O34">
        <f t="shared" si="3"/>
        <v>4015.8607045324597</v>
      </c>
    </row>
    <row r="36" spans="1:21">
      <c r="K36" t="s">
        <v>98</v>
      </c>
      <c r="M36">
        <f>SUM(M4:M34)</f>
        <v>26682978.076577663</v>
      </c>
      <c r="O36">
        <f>SUM(O4:O34)</f>
        <v>26747548.41934032</v>
      </c>
      <c r="S36" t="s">
        <v>102</v>
      </c>
      <c r="U36">
        <f>61*M36</f>
        <v>1627661662.6712375</v>
      </c>
    </row>
    <row r="37" spans="1:21">
      <c r="K37" t="s">
        <v>99</v>
      </c>
      <c r="M37">
        <f>M36/(365*24)</f>
        <v>3046.002063536263</v>
      </c>
      <c r="O37">
        <f>O36/(365*24)</f>
        <v>3053.37310723063</v>
      </c>
    </row>
    <row r="38" spans="1:21">
      <c r="K38" t="s">
        <v>100</v>
      </c>
      <c r="M38">
        <f>(M37/8000)*100</f>
        <v>38.075025794203285</v>
      </c>
      <c r="O38">
        <f>O36/Sheet1!F9</f>
        <v>107256350.37862997</v>
      </c>
    </row>
    <row r="58" spans="4:4">
      <c r="D58">
        <v>13</v>
      </c>
    </row>
    <row r="60" spans="4:4">
      <c r="D60">
        <f>-0.1801*(D58^5)+5.9399*(D58^4)-73.079*(D58^3)+481.82*(D58^2)-1473.9*(D58)+1624.9</f>
        <v>6116.8315999999922</v>
      </c>
    </row>
    <row r="78" spans="1:1">
      <c r="A78">
        <v>4</v>
      </c>
    </row>
    <row r="79" spans="1:1">
      <c r="A79">
        <v>5</v>
      </c>
    </row>
    <row r="80" spans="1:1">
      <c r="A80">
        <v>6</v>
      </c>
    </row>
    <row r="81" spans="1:2">
      <c r="A81">
        <v>7</v>
      </c>
    </row>
    <row r="82" spans="1:2">
      <c r="A82">
        <v>8</v>
      </c>
    </row>
    <row r="83" spans="1:2">
      <c r="A83">
        <v>9</v>
      </c>
    </row>
    <row r="84" spans="1:2">
      <c r="A84">
        <v>10</v>
      </c>
    </row>
    <row r="85" spans="1:2">
      <c r="A85">
        <v>11</v>
      </c>
    </row>
    <row r="86" spans="1:2">
      <c r="A86">
        <v>12</v>
      </c>
    </row>
    <row r="87" spans="1:2">
      <c r="A87">
        <v>13</v>
      </c>
    </row>
    <row r="88" spans="1:2">
      <c r="A88">
        <v>14</v>
      </c>
    </row>
    <row r="92" spans="1:2">
      <c r="B92" s="7"/>
    </row>
  </sheetData>
  <pageMargins left="0.75" right="0.75" top="1" bottom="1" header="0.51180555555555596" footer="0.5118055555555559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85" zoomScaleNormal="85" workbookViewId="0">
      <selection activeCell="J2" sqref="J2"/>
    </sheetView>
  </sheetViews>
  <sheetFormatPr defaultRowHeight="15"/>
  <cols>
    <col min="12" max="12" width="13" customWidth="1"/>
    <col min="13" max="13" width="10.7109375" bestFit="1" customWidth="1"/>
    <col min="18" max="18" width="11" bestFit="1" customWidth="1"/>
  </cols>
  <sheetData>
    <row r="1" spans="1:19">
      <c r="A1" t="s">
        <v>93</v>
      </c>
      <c r="B1" t="s">
        <v>94</v>
      </c>
      <c r="E1" t="s">
        <v>93</v>
      </c>
      <c r="H1" t="s">
        <v>95</v>
      </c>
      <c r="J1" t="s">
        <v>96</v>
      </c>
      <c r="M1" t="s">
        <v>97</v>
      </c>
      <c r="S1" t="s">
        <v>103</v>
      </c>
    </row>
    <row r="2" spans="1:19">
      <c r="A2">
        <v>0</v>
      </c>
      <c r="B2">
        <v>0</v>
      </c>
      <c r="E2">
        <v>0</v>
      </c>
      <c r="H2">
        <f t="shared" ref="H2:H27" si="0">WEIBULL(A2,2.18,10.9,FALSE)*100</f>
        <v>0</v>
      </c>
      <c r="J2">
        <f t="shared" ref="J2:J32" si="1">365*24*(H2/100)</f>
        <v>0</v>
      </c>
      <c r="M2">
        <f>(J2*B2)/1000</f>
        <v>0</v>
      </c>
    </row>
    <row r="3" spans="1:19">
      <c r="A3">
        <v>1</v>
      </c>
      <c r="B3">
        <v>0</v>
      </c>
      <c r="E3">
        <v>1</v>
      </c>
      <c r="H3">
        <f t="shared" si="0"/>
        <v>1.1871041489185308</v>
      </c>
      <c r="J3">
        <f t="shared" si="1"/>
        <v>103.9903234452633</v>
      </c>
      <c r="M3">
        <f t="shared" ref="M3:M32" si="2">(J3*B3)/1000</f>
        <v>0</v>
      </c>
    </row>
    <row r="4" spans="1:19">
      <c r="A4">
        <v>2</v>
      </c>
      <c r="B4">
        <v>0</v>
      </c>
      <c r="E4">
        <v>2</v>
      </c>
      <c r="H4">
        <f t="shared" si="0"/>
        <v>2.6381929826532615</v>
      </c>
      <c r="J4">
        <f t="shared" si="1"/>
        <v>231.1057052804257</v>
      </c>
      <c r="M4">
        <f t="shared" si="2"/>
        <v>0</v>
      </c>
    </row>
    <row r="5" spans="1:19">
      <c r="A5">
        <v>3</v>
      </c>
      <c r="B5">
        <v>0</v>
      </c>
      <c r="E5">
        <v>3</v>
      </c>
      <c r="H5">
        <f t="shared" si="0"/>
        <v>4.1095013782006768</v>
      </c>
      <c r="J5">
        <f t="shared" si="1"/>
        <v>359.99232073037933</v>
      </c>
      <c r="M5">
        <f t="shared" si="2"/>
        <v>0</v>
      </c>
    </row>
    <row r="6" spans="1:19">
      <c r="A6">
        <v>4</v>
      </c>
      <c r="B6">
        <v>113</v>
      </c>
      <c r="E6">
        <v>4</v>
      </c>
      <c r="H6">
        <f t="shared" si="0"/>
        <v>5.4760534056918315</v>
      </c>
      <c r="J6">
        <f>365*24*(H6/100)</f>
        <v>479.70227833860446</v>
      </c>
      <c r="M6" s="10">
        <f t="shared" si="2"/>
        <v>54.206357452262303</v>
      </c>
    </row>
    <row r="7" spans="1:19">
      <c r="A7">
        <v>5</v>
      </c>
      <c r="B7">
        <v>584</v>
      </c>
      <c r="E7">
        <v>5</v>
      </c>
      <c r="H7">
        <f t="shared" si="0"/>
        <v>6.6409132750619086</v>
      </c>
      <c r="J7">
        <f t="shared" si="1"/>
        <v>581.74400289542325</v>
      </c>
      <c r="M7" s="10">
        <f t="shared" si="2"/>
        <v>339.7384976909272</v>
      </c>
    </row>
    <row r="8" spans="1:19">
      <c r="A8">
        <v>6</v>
      </c>
      <c r="B8" s="9">
        <v>1158</v>
      </c>
      <c r="E8">
        <v>6</v>
      </c>
      <c r="H8">
        <f t="shared" si="0"/>
        <v>7.531815677697387</v>
      </c>
      <c r="J8">
        <f t="shared" si="1"/>
        <v>659.78705336629116</v>
      </c>
      <c r="M8" s="10">
        <f t="shared" si="2"/>
        <v>764.03340779816517</v>
      </c>
    </row>
    <row r="9" spans="1:19">
      <c r="A9">
        <v>7</v>
      </c>
      <c r="B9" s="9">
        <v>1904</v>
      </c>
      <c r="C9" s="7"/>
      <c r="E9">
        <v>7</v>
      </c>
      <c r="H9">
        <f t="shared" si="0"/>
        <v>8.103875984644489</v>
      </c>
      <c r="J9">
        <f t="shared" si="1"/>
        <v>709.89953625485725</v>
      </c>
      <c r="M9" s="10">
        <f t="shared" si="2"/>
        <v>1351.648717029248</v>
      </c>
    </row>
    <row r="10" spans="1:19">
      <c r="A10">
        <v>8</v>
      </c>
      <c r="B10" s="9">
        <v>2958</v>
      </c>
      <c r="C10" s="7"/>
      <c r="E10">
        <v>8</v>
      </c>
      <c r="H10">
        <f t="shared" si="0"/>
        <v>8.3413960929251285</v>
      </c>
      <c r="J10">
        <f t="shared" si="1"/>
        <v>730.70629774024121</v>
      </c>
      <c r="M10" s="10">
        <f t="shared" si="2"/>
        <v>2161.4292287156336</v>
      </c>
    </row>
    <row r="11" spans="1:19">
      <c r="A11">
        <v>9</v>
      </c>
      <c r="B11" s="9">
        <v>4200</v>
      </c>
      <c r="C11" s="7"/>
      <c r="E11">
        <v>9</v>
      </c>
      <c r="H11">
        <f t="shared" si="0"/>
        <v>8.2569956636591133</v>
      </c>
      <c r="J11">
        <f t="shared" si="1"/>
        <v>723.31282013653822</v>
      </c>
      <c r="M11" s="10">
        <f t="shared" si="2"/>
        <v>3037.9138445734607</v>
      </c>
    </row>
    <row r="12" spans="1:19">
      <c r="A12">
        <v>10</v>
      </c>
      <c r="B12" s="9">
        <v>5686</v>
      </c>
      <c r="C12" s="7"/>
      <c r="E12">
        <v>10</v>
      </c>
      <c r="H12">
        <f t="shared" si="0"/>
        <v>7.8878057009824785</v>
      </c>
      <c r="J12">
        <f t="shared" si="1"/>
        <v>690.97177940606514</v>
      </c>
      <c r="M12" s="10">
        <f t="shared" si="2"/>
        <v>3928.8655377028863</v>
      </c>
    </row>
    <row r="13" spans="1:19">
      <c r="A13">
        <v>11</v>
      </c>
      <c r="B13" s="9">
        <v>7217</v>
      </c>
      <c r="C13" s="7"/>
      <c r="E13">
        <v>11</v>
      </c>
      <c r="H13">
        <f t="shared" si="0"/>
        <v>7.2892472864250273</v>
      </c>
      <c r="J13">
        <f t="shared" si="1"/>
        <v>638.53806229083239</v>
      </c>
      <c r="M13" s="10">
        <f t="shared" si="2"/>
        <v>4608.3291955529376</v>
      </c>
    </row>
    <row r="14" spans="1:19">
      <c r="A14">
        <v>12</v>
      </c>
      <c r="B14" s="9">
        <v>7915</v>
      </c>
      <c r="C14" s="7"/>
      <c r="E14">
        <v>12</v>
      </c>
      <c r="H14">
        <f t="shared" si="0"/>
        <v>6.5273772359864948</v>
      </c>
      <c r="J14">
        <f t="shared" si="1"/>
        <v>571.79824587241694</v>
      </c>
      <c r="M14" s="10">
        <f t="shared" si="2"/>
        <v>4525.7831160801798</v>
      </c>
    </row>
    <row r="15" spans="1:19">
      <c r="A15">
        <v>13</v>
      </c>
      <c r="B15" s="9">
        <v>7999</v>
      </c>
      <c r="C15" s="7"/>
      <c r="E15">
        <v>13</v>
      </c>
      <c r="H15">
        <f t="shared" si="0"/>
        <v>5.6709670635703011</v>
      </c>
      <c r="J15">
        <f t="shared" si="1"/>
        <v>496.77671476875832</v>
      </c>
      <c r="M15" s="10">
        <f t="shared" si="2"/>
        <v>3973.7169414352979</v>
      </c>
    </row>
    <row r="16" spans="1:19">
      <c r="A16">
        <v>14</v>
      </c>
      <c r="B16" s="9">
        <v>8000</v>
      </c>
      <c r="C16" s="7"/>
      <c r="E16">
        <v>14</v>
      </c>
      <c r="H16">
        <f t="shared" si="0"/>
        <v>4.7844148335522956</v>
      </c>
      <c r="J16">
        <f t="shared" si="1"/>
        <v>419.11473941918109</v>
      </c>
      <c r="M16" s="10">
        <f t="shared" si="2"/>
        <v>3352.9179153534487</v>
      </c>
    </row>
    <row r="17" spans="1:13">
      <c r="A17">
        <v>15</v>
      </c>
      <c r="B17" s="9">
        <v>8000</v>
      </c>
      <c r="C17" s="7"/>
      <c r="E17">
        <v>15</v>
      </c>
      <c r="H17">
        <f t="shared" si="0"/>
        <v>3.9223236671613795</v>
      </c>
      <c r="J17">
        <f t="shared" si="1"/>
        <v>343.59555324333684</v>
      </c>
      <c r="M17" s="10">
        <f t="shared" si="2"/>
        <v>2748.7644259466947</v>
      </c>
    </row>
    <row r="18" spans="1:13">
      <c r="A18">
        <v>16</v>
      </c>
      <c r="B18" s="9">
        <v>8000</v>
      </c>
      <c r="C18" s="7"/>
      <c r="E18">
        <v>16</v>
      </c>
      <c r="H18">
        <f t="shared" si="0"/>
        <v>3.126198488288062</v>
      </c>
      <c r="J18">
        <f t="shared" si="1"/>
        <v>273.85498757403423</v>
      </c>
      <c r="M18" s="10">
        <f t="shared" si="2"/>
        <v>2190.8399005922738</v>
      </c>
    </row>
    <row r="19" spans="1:13">
      <c r="A19">
        <v>17</v>
      </c>
      <c r="B19" s="9">
        <v>8000</v>
      </c>
      <c r="C19" s="7"/>
      <c r="E19">
        <v>17</v>
      </c>
      <c r="H19">
        <f t="shared" si="0"/>
        <v>2.4233085848822249</v>
      </c>
      <c r="J19">
        <f t="shared" si="1"/>
        <v>212.2818320356829</v>
      </c>
      <c r="M19" s="10">
        <f t="shared" si="2"/>
        <v>1698.2546562854632</v>
      </c>
    </row>
    <row r="20" spans="1:13">
      <c r="A20">
        <v>18</v>
      </c>
      <c r="B20" s="9">
        <v>8000</v>
      </c>
      <c r="C20" s="7"/>
      <c r="E20">
        <v>18</v>
      </c>
      <c r="H20">
        <f t="shared" si="0"/>
        <v>1.8274216637155682</v>
      </c>
      <c r="J20">
        <f t="shared" si="1"/>
        <v>160.08213774148376</v>
      </c>
      <c r="M20" s="10">
        <f t="shared" si="2"/>
        <v>1280.6571019318703</v>
      </c>
    </row>
    <row r="21" spans="1:13">
      <c r="A21">
        <v>19</v>
      </c>
      <c r="B21" s="9">
        <v>8000</v>
      </c>
      <c r="C21" s="7"/>
      <c r="E21">
        <v>19</v>
      </c>
      <c r="H21">
        <f t="shared" si="0"/>
        <v>1.3408910483772649</v>
      </c>
      <c r="J21">
        <f t="shared" si="1"/>
        <v>117.46205583784841</v>
      </c>
      <c r="M21" s="10">
        <f t="shared" si="2"/>
        <v>939.69644670278728</v>
      </c>
    </row>
    <row r="22" spans="1:13">
      <c r="A22">
        <v>20</v>
      </c>
      <c r="B22" s="9">
        <v>8000</v>
      </c>
      <c r="C22" s="7"/>
      <c r="E22">
        <v>20</v>
      </c>
      <c r="H22">
        <f t="shared" si="0"/>
        <v>0.95749120205421834</v>
      </c>
      <c r="J22">
        <f t="shared" si="1"/>
        <v>83.876229299949529</v>
      </c>
      <c r="M22" s="10">
        <f t="shared" si="2"/>
        <v>671.00983439959623</v>
      </c>
    </row>
    <row r="23" spans="1:13">
      <c r="A23">
        <v>21</v>
      </c>
      <c r="B23" s="9">
        <v>8000</v>
      </c>
      <c r="C23" s="7"/>
      <c r="E23">
        <v>21</v>
      </c>
      <c r="H23">
        <f t="shared" si="0"/>
        <v>0.66543405077472639</v>
      </c>
      <c r="J23">
        <f t="shared" si="1"/>
        <v>58.292022847866036</v>
      </c>
      <c r="M23" s="10">
        <f t="shared" si="2"/>
        <v>466.33618278292829</v>
      </c>
    </row>
    <row r="24" spans="1:13">
      <c r="A24">
        <v>22</v>
      </c>
      <c r="B24" s="9">
        <v>8000</v>
      </c>
      <c r="C24" s="7"/>
      <c r="E24">
        <v>22</v>
      </c>
      <c r="H24">
        <f t="shared" si="0"/>
        <v>0.45012281365397694</v>
      </c>
      <c r="J24">
        <f t="shared" si="1"/>
        <v>39.430758476088378</v>
      </c>
      <c r="M24" s="10">
        <f t="shared" si="2"/>
        <v>315.44606780870703</v>
      </c>
    </row>
    <row r="25" spans="1:13">
      <c r="A25">
        <v>23</v>
      </c>
      <c r="B25" s="9">
        <v>8000</v>
      </c>
      <c r="C25" s="7"/>
      <c r="E25">
        <v>23</v>
      </c>
      <c r="H25">
        <f t="shared" si="0"/>
        <v>0.29636524529212604</v>
      </c>
      <c r="J25">
        <f t="shared" si="1"/>
        <v>25.961595487590245</v>
      </c>
      <c r="M25" s="10">
        <f t="shared" si="2"/>
        <v>207.69276390072196</v>
      </c>
    </row>
    <row r="26" spans="1:13">
      <c r="A26">
        <v>24</v>
      </c>
      <c r="B26" s="9">
        <v>8000</v>
      </c>
      <c r="C26" s="7"/>
      <c r="E26">
        <v>24</v>
      </c>
      <c r="H26">
        <f t="shared" si="0"/>
        <v>0.18993205752678008</v>
      </c>
      <c r="J26">
        <f t="shared" si="1"/>
        <v>16.638048239345935</v>
      </c>
      <c r="M26" s="10">
        <f t="shared" si="2"/>
        <v>133.10438591476748</v>
      </c>
    </row>
    <row r="27" spans="1:13">
      <c r="A27">
        <v>25</v>
      </c>
      <c r="B27" s="9">
        <v>8000</v>
      </c>
      <c r="C27" s="7"/>
      <c r="E27">
        <v>25</v>
      </c>
      <c r="H27">
        <f t="shared" si="0"/>
        <v>0.11847875556973489</v>
      </c>
      <c r="J27">
        <f t="shared" si="1"/>
        <v>10.378738987908775</v>
      </c>
      <c r="M27" s="10">
        <f t="shared" si="2"/>
        <v>83.029911903270204</v>
      </c>
    </row>
    <row r="28" spans="1:13">
      <c r="A28">
        <v>26</v>
      </c>
      <c r="B28">
        <v>0</v>
      </c>
      <c r="C28" s="7"/>
      <c r="E28">
        <v>26</v>
      </c>
      <c r="H28">
        <f t="shared" ref="H28:H32" si="3">WEIBULL(A28,2.18,10.9,FALSE)*100</f>
        <v>7.1935592265598716E-2</v>
      </c>
      <c r="J28">
        <f t="shared" si="1"/>
        <v>6.3015578824664473</v>
      </c>
      <c r="M28">
        <f t="shared" si="2"/>
        <v>0</v>
      </c>
    </row>
    <row r="29" spans="1:13">
      <c r="A29">
        <v>27</v>
      </c>
      <c r="B29">
        <v>0</v>
      </c>
      <c r="C29" s="7"/>
      <c r="E29">
        <v>27</v>
      </c>
      <c r="H29">
        <f t="shared" si="3"/>
        <v>4.2510173573753147E-2</v>
      </c>
      <c r="J29">
        <f t="shared" si="1"/>
        <v>3.723891205060776</v>
      </c>
      <c r="M29">
        <f t="shared" si="2"/>
        <v>0</v>
      </c>
    </row>
    <row r="30" spans="1:13">
      <c r="A30">
        <v>28</v>
      </c>
      <c r="B30">
        <v>0</v>
      </c>
      <c r="C30" s="7"/>
      <c r="E30">
        <v>28</v>
      </c>
      <c r="H30">
        <f t="shared" si="3"/>
        <v>2.4449381440920546E-2</v>
      </c>
      <c r="J30">
        <f t="shared" si="1"/>
        <v>2.1417658142246401</v>
      </c>
      <c r="M30">
        <f t="shared" si="2"/>
        <v>0</v>
      </c>
    </row>
    <row r="31" spans="1:13">
      <c r="A31">
        <v>29</v>
      </c>
      <c r="B31">
        <v>0</v>
      </c>
      <c r="C31" s="7"/>
      <c r="E31">
        <v>29</v>
      </c>
      <c r="H31">
        <f t="shared" si="3"/>
        <v>1.3685021289004746E-2</v>
      </c>
      <c r="J31">
        <f t="shared" si="1"/>
        <v>1.1988078649168157</v>
      </c>
      <c r="M31">
        <f t="shared" si="2"/>
        <v>0</v>
      </c>
    </row>
    <row r="32" spans="1:13">
      <c r="A32">
        <v>30</v>
      </c>
      <c r="B32">
        <v>0</v>
      </c>
      <c r="C32" s="7"/>
      <c r="E32">
        <v>30</v>
      </c>
      <c r="H32">
        <f t="shared" si="3"/>
        <v>7.4541721508194301E-3</v>
      </c>
      <c r="J32">
        <f t="shared" si="1"/>
        <v>0.65298548041178206</v>
      </c>
      <c r="M32">
        <f t="shared" si="2"/>
        <v>0</v>
      </c>
    </row>
    <row r="34" spans="11:18">
      <c r="K34" t="s">
        <v>104</v>
      </c>
      <c r="M34">
        <f>SUM(M2:M32)</f>
        <v>38833.414437553532</v>
      </c>
      <c r="P34" t="s">
        <v>102</v>
      </c>
      <c r="R34">
        <f>47*M34</f>
        <v>1825170.4785650161</v>
      </c>
    </row>
    <row r="35" spans="11:18">
      <c r="K35" t="s">
        <v>105</v>
      </c>
      <c r="M35">
        <f>M34/(365*24)</f>
        <v>4.4330381778029144</v>
      </c>
      <c r="R35">
        <v>1627661663</v>
      </c>
    </row>
    <row r="36" spans="11:18">
      <c r="K36" t="s">
        <v>100</v>
      </c>
      <c r="M36">
        <f>(1000*M35/8000)*100</f>
        <v>55.412977222536433</v>
      </c>
      <c r="N36" t="s">
        <v>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Sheet1</vt:lpstr>
      <vt:lpstr>AD 5-116</vt:lpstr>
      <vt:lpstr>Senvion 6.2M 126</vt:lpstr>
      <vt:lpstr>Vestas V164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Martijn van Essen</cp:lastModifiedBy>
  <dcterms:created xsi:type="dcterms:W3CDTF">2016-12-13T14:57:48Z</dcterms:created>
  <dcterms:modified xsi:type="dcterms:W3CDTF">2017-01-09T19:04:18Z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