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W:\CDS\SwissLife\DossierClient\Migration Liferay\Lot 2.x\HB92\"/>
    </mc:Choice>
  </mc:AlternateContent>
  <bookViews>
    <workbookView xWindow="12710" yWindow="230" windowWidth="6530" windowHeight="6680" tabRatio="756" activeTab="6"/>
  </bookViews>
  <sheets>
    <sheet name="Recap UO" sheetId="9" r:id="rId1"/>
    <sheet name="Début" sheetId="1" r:id="rId2"/>
    <sheet name="Catalogue" sheetId="4" r:id="rId3"/>
    <sheet name="Analyse fonctionnelle" sheetId="2" r:id="rId4"/>
    <sheet name="UO" sheetId="7" r:id="rId5"/>
    <sheet name="Paramétrage" sheetId="8" r:id="rId6"/>
    <sheet name="Charges &amp; coûts" sheetId="3" r:id="rId7"/>
    <sheet name="CEP" sheetId="6" r:id="rId8"/>
    <sheet name="EJB" sheetId="13" r:id="rId9"/>
    <sheet name="Feuil1" sheetId="12" state="hidden" r:id="rId10"/>
  </sheets>
  <externalReferences>
    <externalReference r:id="rId11"/>
  </externalReferences>
  <definedNames>
    <definedName name="_xlnm._FilterDatabase" localSheetId="8" hidden="1">EJB!$A$1:$C$94</definedName>
    <definedName name="_Toc237158780" localSheetId="3">'Analyse fonctionnelle'!#REF!</definedName>
    <definedName name="_Toc294711829" localSheetId="3">'Analyse fonctionnelle'!#REF!</definedName>
    <definedName name="_Toc294711835" localSheetId="3">'Analyse fonctionnelle'!#REF!</definedName>
    <definedName name="_Toc294711847" localSheetId="3">'Analyse fonctionnelle'!#REF!</definedName>
    <definedName name="_Toc294711865" localSheetId="3">'Analyse fonctionnelle'!#REF!</definedName>
    <definedName name="Apport_Affaire">CEP!$D$53</definedName>
    <definedName name="CAProd">CEP!$C$35</definedName>
    <definedName name="Charge_PTU">[1]Paramétrage!$C$47</definedName>
    <definedName name="Démarrage">Paramétrage!#REF!</definedName>
    <definedName name="Forfait_correctif">Paramétrage!$C$22</definedName>
    <definedName name="Marge_AV">CEP!$D$47</definedName>
    <definedName name="Marge_Cible">Paramétrage!$B$26</definedName>
    <definedName name="Marge_Nette_Prevue">CEP!$D$59</definedName>
    <definedName name="Marge_Prod_Axones">CEP!$L$18</definedName>
    <definedName name="Marge_Prod_SSTrait">CEP!$L$34</definedName>
    <definedName name="PPR">CEP!$D$57</definedName>
    <definedName name="Prix_PTU">[1]Paramétrage!$C$48</definedName>
    <definedName name="PTU">'Analyse fonctionnelle'!$K$6</definedName>
    <definedName name="Remise">'Charges &amp; coûts'!$J$20</definedName>
    <definedName name="Suffixe_UO">Catalogue!$B$3</definedName>
  </definedNames>
  <calcPr calcId="152511"/>
  <pivotCaches>
    <pivotCache cacheId="4" r:id="rId12"/>
  </pivotCaches>
</workbook>
</file>

<file path=xl/calcChain.xml><?xml version="1.0" encoding="utf-8"?>
<calcChain xmlns="http://schemas.openxmlformats.org/spreadsheetml/2006/main">
  <c r="C23" i="3" l="1"/>
  <c r="J23" i="3"/>
  <c r="J21" i="3"/>
  <c r="J20" i="3"/>
  <c r="C21" i="3"/>
  <c r="C20" i="3"/>
  <c r="A21" i="3"/>
  <c r="A20" i="3"/>
  <c r="C13" i="3"/>
  <c r="C14" i="3"/>
  <c r="C12" i="3"/>
  <c r="B12" i="3"/>
  <c r="B14" i="3"/>
  <c r="J15" i="8"/>
  <c r="J16" i="8"/>
  <c r="J17" i="8"/>
  <c r="J18" i="8"/>
  <c r="J19" i="8"/>
  <c r="B3" i="2"/>
  <c r="O7" i="3" l="1"/>
  <c r="O6" i="3"/>
  <c r="D13" i="3" l="1"/>
  <c r="G14" i="3"/>
  <c r="B13" i="3"/>
  <c r="J88"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Q77" i="8"/>
  <c r="Q78" i="8"/>
  <c r="Q79" i="8"/>
  <c r="Q80" i="8"/>
  <c r="Q81" i="8"/>
  <c r="Q82" i="8"/>
  <c r="Q83" i="8"/>
  <c r="Q84" i="8"/>
  <c r="Q85" i="8"/>
  <c r="Q86" i="8"/>
  <c r="Q87" i="8"/>
  <c r="Q88" i="8"/>
  <c r="C11" i="3" l="1"/>
  <c r="O11" i="3" s="1"/>
  <c r="F14" i="3"/>
  <c r="G13" i="3"/>
  <c r="E14" i="3"/>
  <c r="F13" i="3"/>
  <c r="H14" i="3"/>
  <c r="D14" i="3"/>
  <c r="E13" i="3"/>
  <c r="H13" i="3"/>
  <c r="Q75" i="8"/>
  <c r="Q76"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23" i="8" l="1"/>
  <c r="Q24" i="8"/>
  <c r="Q25" i="8"/>
  <c r="Q26" i="8"/>
  <c r="Q27" i="8"/>
  <c r="Q28" i="8"/>
  <c r="Q29" i="8"/>
  <c r="Q30" i="8"/>
  <c r="I4" i="2" l="1"/>
  <c r="J14" i="8" l="1"/>
  <c r="Q18" i="8"/>
  <c r="Q19" i="8"/>
  <c r="Q20" i="8"/>
  <c r="Q21" i="8"/>
  <c r="Q22" i="8"/>
  <c r="F84" i="4"/>
  <c r="F86" i="4"/>
  <c r="F87" i="4"/>
  <c r="F83" i="4"/>
  <c r="E87" i="4"/>
  <c r="E86" i="4"/>
  <c r="E85" i="4"/>
  <c r="E84" i="4"/>
  <c r="E83" i="4"/>
  <c r="C15" i="3" l="1"/>
  <c r="O16" i="3" s="1"/>
  <c r="I5" i="2"/>
  <c r="E94" i="4"/>
  <c r="E95" i="4"/>
  <c r="E96" i="4"/>
  <c r="E97" i="4"/>
  <c r="E98" i="4"/>
  <c r="E93" i="4"/>
  <c r="E90" i="4"/>
  <c r="E91" i="4"/>
  <c r="E92" i="4"/>
  <c r="E77" i="4"/>
  <c r="E78" i="4"/>
  <c r="E79" i="4"/>
  <c r="E80" i="4"/>
  <c r="E81" i="4"/>
  <c r="E82" i="4"/>
  <c r="E88" i="4"/>
  <c r="E89" i="4"/>
  <c r="E99" i="4"/>
  <c r="E76" i="4" l="1"/>
  <c r="E73" i="4"/>
  <c r="E74" i="4"/>
  <c r="E75" i="4"/>
  <c r="F64" i="4" l="1"/>
  <c r="F65" i="4"/>
  <c r="F66" i="4"/>
  <c r="F67" i="4"/>
  <c r="F63" i="4"/>
  <c r="E67" i="4"/>
  <c r="E66" i="4"/>
  <c r="E65" i="4"/>
  <c r="E64" i="4"/>
  <c r="E63" i="4"/>
  <c r="F69" i="4"/>
  <c r="F70" i="4"/>
  <c r="F71" i="4"/>
  <c r="F72" i="4"/>
  <c r="F68" i="4"/>
  <c r="E72" i="4"/>
  <c r="E71" i="4"/>
  <c r="E70" i="4"/>
  <c r="E69" i="4"/>
  <c r="E68" i="4"/>
  <c r="C16" i="3" l="1"/>
  <c r="O17" i="3" s="1"/>
  <c r="O26" i="3" s="1"/>
  <c r="F62" i="4" l="1"/>
  <c r="G15" i="3" l="1"/>
  <c r="F59" i="4"/>
  <c r="F60" i="4"/>
  <c r="F61" i="4"/>
  <c r="F58" i="4"/>
  <c r="E62" i="4"/>
  <c r="F57" i="4"/>
  <c r="E57" i="4"/>
  <c r="E58" i="4"/>
  <c r="E59" i="4"/>
  <c r="E60" i="4"/>
  <c r="E61" i="4"/>
  <c r="F54" i="4"/>
  <c r="F55" i="4"/>
  <c r="F56" i="4"/>
  <c r="F53" i="4"/>
  <c r="F49" i="4"/>
  <c r="F50" i="4"/>
  <c r="F51" i="4"/>
  <c r="F52" i="4"/>
  <c r="F48" i="4"/>
  <c r="F29" i="4"/>
  <c r="F30" i="4"/>
  <c r="F31" i="4"/>
  <c r="F32" i="4"/>
  <c r="F28" i="4"/>
  <c r="E32" i="4"/>
  <c r="E31" i="4"/>
  <c r="E30" i="4"/>
  <c r="E29" i="4"/>
  <c r="E28" i="4"/>
  <c r="E55" i="4"/>
  <c r="E56" i="4"/>
  <c r="E54" i="4"/>
  <c r="E47" i="4"/>
  <c r="E48" i="4"/>
  <c r="E49" i="4"/>
  <c r="E50" i="4"/>
  <c r="E51" i="4"/>
  <c r="E52" i="4"/>
  <c r="E53" i="4"/>
  <c r="E43" i="4"/>
  <c r="E44" i="4"/>
  <c r="E45" i="4"/>
  <c r="E46" i="4"/>
  <c r="E39" i="4"/>
  <c r="E40" i="4"/>
  <c r="E41" i="4"/>
  <c r="E42" i="4"/>
  <c r="E33" i="4"/>
  <c r="E37" i="4"/>
  <c r="E34" i="4"/>
  <c r="E35" i="4"/>
  <c r="E36" i="4"/>
  <c r="E38" i="4"/>
  <c r="J10" i="6"/>
  <c r="D21" i="7"/>
  <c r="D20" i="7"/>
  <c r="D12" i="7"/>
  <c r="D7" i="7"/>
  <c r="Q15" i="8"/>
  <c r="Q16" i="8"/>
  <c r="Q17" i="8"/>
  <c r="F14" i="4"/>
  <c r="F15" i="4"/>
  <c r="F16" i="4"/>
  <c r="F13" i="4"/>
  <c r="F6" i="4"/>
  <c r="F7" i="4"/>
  <c r="F8" i="4"/>
  <c r="F9" i="4"/>
  <c r="F5" i="4"/>
  <c r="K6" i="4"/>
  <c r="F19" i="4" s="1"/>
  <c r="K7" i="4"/>
  <c r="F20" i="4" s="1"/>
  <c r="K8" i="4"/>
  <c r="F26" i="4" s="1"/>
  <c r="K9" i="4"/>
  <c r="F27" i="4" s="1"/>
  <c r="K5" i="4"/>
  <c r="F18" i="4" s="1"/>
  <c r="E26" i="4"/>
  <c r="E27" i="4"/>
  <c r="D8" i="7" l="1"/>
  <c r="D9" i="7"/>
  <c r="D22" i="7"/>
  <c r="D17" i="7"/>
  <c r="F85" i="4" s="1"/>
  <c r="F46" i="4"/>
  <c r="F47" i="4"/>
  <c r="F43" i="4"/>
  <c r="F44" i="4"/>
  <c r="F42" i="4"/>
  <c r="F45" i="4"/>
  <c r="F41" i="4"/>
  <c r="F38" i="4"/>
  <c r="F39" i="4"/>
  <c r="F40" i="4"/>
  <c r="F22" i="4"/>
  <c r="F33" i="4"/>
  <c r="F34" i="4"/>
  <c r="F35" i="4"/>
  <c r="F36" i="4"/>
  <c r="F37" i="4"/>
  <c r="F21" i="4"/>
  <c r="D13" i="7"/>
  <c r="F23" i="4"/>
  <c r="F24" i="4"/>
  <c r="F25" i="4"/>
  <c r="E18" i="4"/>
  <c r="E19" i="4"/>
  <c r="E20" i="4"/>
  <c r="E21" i="4"/>
  <c r="E22" i="4"/>
  <c r="E17" i="4"/>
  <c r="E16" i="4"/>
  <c r="E15" i="4"/>
  <c r="E14" i="4"/>
  <c r="E13" i="4"/>
  <c r="E9" i="4"/>
  <c r="E8" i="4"/>
  <c r="E7" i="4"/>
  <c r="E5" i="4"/>
  <c r="E12" i="4"/>
  <c r="E11" i="4"/>
  <c r="E10" i="4"/>
  <c r="D23" i="7" l="1"/>
  <c r="D14" i="7"/>
  <c r="D24" i="7" l="1"/>
  <c r="Q12" i="8" l="1"/>
  <c r="H7" i="6"/>
  <c r="H8" i="6"/>
  <c r="H9" i="6"/>
  <c r="H10" i="6"/>
  <c r="H11" i="6"/>
  <c r="H12" i="6"/>
  <c r="H13" i="6"/>
  <c r="H14" i="6"/>
  <c r="H15" i="6"/>
  <c r="H16" i="6"/>
  <c r="D7" i="6"/>
  <c r="D8" i="6"/>
  <c r="D9" i="6"/>
  <c r="D11" i="6"/>
  <c r="D12" i="6"/>
  <c r="D13" i="6"/>
  <c r="D14" i="6"/>
  <c r="G6" i="3" l="1"/>
  <c r="E6" i="3"/>
  <c r="F6" i="3"/>
  <c r="H6" i="3"/>
  <c r="D6" i="3"/>
  <c r="J13" i="3" l="1"/>
  <c r="J14" i="3"/>
  <c r="A15" i="3" l="1"/>
  <c r="A16" i="3"/>
  <c r="H12" i="3" l="1"/>
  <c r="H11" i="3" s="1"/>
  <c r="Q8" i="8"/>
  <c r="Q9" i="8"/>
  <c r="Q10" i="8"/>
  <c r="Q11" i="8"/>
  <c r="Q13" i="8"/>
  <c r="Q14" i="8"/>
  <c r="Q89" i="8"/>
  <c r="Q90" i="8"/>
  <c r="Q91" i="8"/>
  <c r="Q92" i="8"/>
  <c r="Q93" i="8"/>
  <c r="Q94" i="8"/>
  <c r="Q7" i="8"/>
  <c r="H5" i="3"/>
  <c r="E6" i="4" l="1"/>
  <c r="E23" i="4"/>
  <c r="E24" i="4"/>
  <c r="E25" i="4"/>
  <c r="I3" i="2"/>
  <c r="K6" i="2" l="1"/>
  <c r="F16" i="3"/>
  <c r="G16" i="3"/>
  <c r="D16" i="3"/>
  <c r="E16" i="3"/>
  <c r="D15" i="3"/>
  <c r="F15" i="3"/>
  <c r="E15" i="3"/>
  <c r="E5" i="3"/>
  <c r="F5" i="3"/>
  <c r="G5" i="3"/>
  <c r="J15" i="3" l="1"/>
  <c r="C9" i="3"/>
  <c r="E12" i="3"/>
  <c r="E11" i="3" s="1"/>
  <c r="G12" i="3"/>
  <c r="G11" i="3" s="1"/>
  <c r="F12" i="3"/>
  <c r="F11" i="3" s="1"/>
  <c r="C8" i="3" l="1"/>
  <c r="D53" i="6"/>
  <c r="C47" i="6"/>
  <c r="B47" i="6"/>
  <c r="E42" i="6"/>
  <c r="E43" i="6"/>
  <c r="E44" i="6"/>
  <c r="E45" i="6"/>
  <c r="D41" i="6"/>
  <c r="E41" i="6" s="1"/>
  <c r="D42" i="6"/>
  <c r="D43" i="6"/>
  <c r="D44" i="6"/>
  <c r="D45" i="6"/>
  <c r="H32" i="6"/>
  <c r="I32" i="6" s="1"/>
  <c r="H31" i="6"/>
  <c r="I31" i="6" s="1"/>
  <c r="H30" i="6"/>
  <c r="I30" i="6" s="1"/>
  <c r="H29" i="6"/>
  <c r="I29" i="6" s="1"/>
  <c r="H28" i="6"/>
  <c r="I28" i="6" s="1"/>
  <c r="H27" i="6"/>
  <c r="I27" i="6" s="1"/>
  <c r="H26" i="6"/>
  <c r="I26" i="6" s="1"/>
  <c r="H25" i="6"/>
  <c r="I25" i="6" s="1"/>
  <c r="H24" i="6"/>
  <c r="I24" i="6" s="1"/>
  <c r="M24" i="6" s="1"/>
  <c r="J24" i="6"/>
  <c r="J25" i="6"/>
  <c r="J26" i="6"/>
  <c r="J27" i="6"/>
  <c r="J28" i="6"/>
  <c r="J29" i="6"/>
  <c r="J30" i="6"/>
  <c r="J31" i="6"/>
  <c r="J32" i="6"/>
  <c r="H23" i="6"/>
  <c r="D32" i="6"/>
  <c r="G32" i="6" s="1"/>
  <c r="D31" i="6"/>
  <c r="G31" i="6" s="1"/>
  <c r="D30" i="6"/>
  <c r="G30" i="6" s="1"/>
  <c r="D29" i="6"/>
  <c r="G29" i="6" s="1"/>
  <c r="D28" i="6"/>
  <c r="G28" i="6" s="1"/>
  <c r="D27" i="6"/>
  <c r="G27" i="6" s="1"/>
  <c r="D26" i="6"/>
  <c r="G26" i="6" s="1"/>
  <c r="D25" i="6"/>
  <c r="G25" i="6" s="1"/>
  <c r="D24" i="6"/>
  <c r="G24" i="6" s="1"/>
  <c r="G7" i="6"/>
  <c r="G8" i="6"/>
  <c r="G9" i="6"/>
  <c r="D10" i="6"/>
  <c r="G10" i="6" s="1"/>
  <c r="G11" i="6"/>
  <c r="G12" i="6"/>
  <c r="G13" i="6"/>
  <c r="G14" i="6"/>
  <c r="D15" i="6"/>
  <c r="C7" i="3" l="1"/>
  <c r="C18" i="3" s="1"/>
  <c r="M18" i="3" s="1"/>
  <c r="E47" i="6"/>
  <c r="M16" i="6"/>
  <c r="H34" i="6"/>
  <c r="D47" i="6"/>
  <c r="K26" i="6"/>
  <c r="L26" i="6" s="1"/>
  <c r="M26" i="6" s="1"/>
  <c r="K31" i="6"/>
  <c r="L31" i="6" s="1"/>
  <c r="M31" i="6" s="1"/>
  <c r="K32" i="6"/>
  <c r="L32" i="6" s="1"/>
  <c r="K30" i="6"/>
  <c r="L30" i="6" s="1"/>
  <c r="M30" i="6" s="1"/>
  <c r="K28" i="6"/>
  <c r="L28" i="6" s="1"/>
  <c r="M28" i="6" s="1"/>
  <c r="H18" i="6"/>
  <c r="K27" i="6"/>
  <c r="L27" i="6" s="1"/>
  <c r="M27" i="6" s="1"/>
  <c r="K24" i="6"/>
  <c r="L24" i="6" s="1"/>
  <c r="K29" i="6"/>
  <c r="L29" i="6" s="1"/>
  <c r="M29" i="6" s="1"/>
  <c r="K25" i="6"/>
  <c r="L25" i="6" s="1"/>
  <c r="M25" i="6" s="1"/>
  <c r="M32" i="6"/>
  <c r="G23" i="6"/>
  <c r="D12" i="3" l="1"/>
  <c r="D11" i="3" s="1"/>
  <c r="J11" i="3" s="1"/>
  <c r="D5" i="3" l="1"/>
  <c r="B10" i="3"/>
  <c r="A10" i="3"/>
  <c r="B9" i="3"/>
  <c r="A9" i="3"/>
  <c r="A8" i="3"/>
  <c r="A7" i="3"/>
  <c r="B7" i="3"/>
  <c r="J16" i="3" l="1"/>
  <c r="J12" i="3"/>
  <c r="F9" i="3" l="1"/>
  <c r="G9" i="3"/>
  <c r="G10" i="3"/>
  <c r="F10" i="3"/>
  <c r="E10" i="3"/>
  <c r="H10" i="3"/>
  <c r="H9" i="3"/>
  <c r="D10" i="3"/>
  <c r="E9" i="3"/>
  <c r="D9" i="3"/>
  <c r="G8" i="3" l="1"/>
  <c r="J9" i="3"/>
  <c r="J10" i="3"/>
  <c r="K10" i="6" l="1"/>
  <c r="I10" i="6"/>
  <c r="M15" i="6" l="1"/>
  <c r="L10" i="6"/>
  <c r="M10" i="6" s="1"/>
  <c r="J23" i="6"/>
  <c r="I23" i="6"/>
  <c r="K23" i="6" l="1"/>
  <c r="K34" i="6" s="1"/>
  <c r="J34" i="6"/>
  <c r="I34" i="6"/>
  <c r="L23" i="6" l="1"/>
  <c r="L34" i="6" l="1"/>
  <c r="M23" i="6"/>
  <c r="M34" i="6" s="1"/>
  <c r="F8" i="3"/>
  <c r="D8" i="3" l="1"/>
  <c r="H8" i="3"/>
  <c r="E8" i="3"/>
  <c r="H18" i="3" l="1"/>
  <c r="F14" i="6" s="1"/>
  <c r="J8" i="3"/>
  <c r="D7" i="3"/>
  <c r="D18" i="3" s="1"/>
  <c r="E7" i="3"/>
  <c r="E18" i="3" s="1"/>
  <c r="F7" i="3"/>
  <c r="F18" i="3" s="1"/>
  <c r="G7" i="3"/>
  <c r="G18" i="3" s="1"/>
  <c r="J14" i="6" l="1"/>
  <c r="K14" i="6" s="1"/>
  <c r="I14" i="6"/>
  <c r="F8" i="6"/>
  <c r="F9" i="6"/>
  <c r="J7" i="3"/>
  <c r="F7" i="6"/>
  <c r="J7" i="6" s="1"/>
  <c r="J18" i="3" l="1"/>
  <c r="M19" i="3" s="1"/>
  <c r="L14" i="6"/>
  <c r="M14" i="6" s="1"/>
  <c r="F12" i="6"/>
  <c r="F13" i="6"/>
  <c r="F11" i="6"/>
  <c r="J11" i="6" s="1"/>
  <c r="K11" i="6" s="1"/>
  <c r="M17" i="3"/>
  <c r="I9" i="6"/>
  <c r="J9" i="6"/>
  <c r="K9" i="6" s="1"/>
  <c r="J8" i="6"/>
  <c r="K8" i="6" s="1"/>
  <c r="I8" i="6"/>
  <c r="I7" i="6"/>
  <c r="O28" i="3" l="1"/>
  <c r="O31" i="3" s="1"/>
  <c r="I12" i="6"/>
  <c r="J12" i="6"/>
  <c r="K12" i="6" s="1"/>
  <c r="I11" i="6"/>
  <c r="L11" i="6" s="1"/>
  <c r="M11" i="6" s="1"/>
  <c r="J13" i="6"/>
  <c r="K13" i="6" s="1"/>
  <c r="I13" i="6"/>
  <c r="L8" i="6"/>
  <c r="M8" i="6" s="1"/>
  <c r="L9" i="6"/>
  <c r="M9" i="6" s="1"/>
  <c r="K7" i="6"/>
  <c r="L12" i="6" l="1"/>
  <c r="M12" i="6" s="1"/>
  <c r="I18" i="6"/>
  <c r="C35" i="6" s="1"/>
  <c r="D57" i="6" s="1"/>
  <c r="J18" i="6"/>
  <c r="L13" i="6"/>
  <c r="M13" i="6" s="1"/>
  <c r="K18" i="6"/>
  <c r="L7" i="6"/>
  <c r="M7" i="6" l="1"/>
  <c r="L18" i="6"/>
  <c r="D59" i="6" l="1"/>
  <c r="E59" i="6" s="1"/>
  <c r="M18" i="6"/>
</calcChain>
</file>

<file path=xl/comments1.xml><?xml version="1.0" encoding="utf-8"?>
<comments xmlns="http://schemas.openxmlformats.org/spreadsheetml/2006/main">
  <authors>
    <author>DECUGIS VINCENT</author>
  </authors>
  <commentList>
    <comment ref="A2" authorId="0" shapeId="0">
      <text>
        <r>
          <rPr>
            <sz val="9"/>
            <color indexed="81"/>
            <rFont val="Tahoma"/>
            <family val="2"/>
          </rPr>
          <t>Découpage reprenant l'organisation générale de l'application telle que présentée dans le cahier des charges.
Il existe toujours plus ou moins un découpage de ce type induit par le cahier des charges. S'il est absent, il est bon de l'introduire pour organiser un premier niveau de découpage fonctionnel de l'application.
Le découpage en use case/cas d'utilisation, hérité de UML, permet de structurer l'application par processus.</t>
        </r>
      </text>
    </comment>
    <comment ref="C2" authorId="0" shapeId="0">
      <text>
        <r>
          <rPr>
            <sz val="9"/>
            <color indexed="81"/>
            <rFont val="Tahoma"/>
            <family val="2"/>
          </rPr>
          <t xml:space="preserve">
Indique quelle unité d'œuvre va être utilisée. Par exemple un écran, un rapport, une interface avec une autre application, un objet métier.
La liste non exhaustive des Uos est fournie dans l'onglet "Unité d'œuvre" et peut être complété pour les besoins d'un projet.
La logique de découpage reprend l'approche de conception
 objet MVC, qui découpe les applications en éléments de type:
- (M)odel : objet métier
- (V)iew : écran, rapport, portlet, etc.
- (C)ontrol : workflow, interface, traitement batch, etc.</t>
        </r>
      </text>
    </comment>
    <comment ref="D2" authorId="0" shapeId="0">
      <text>
        <r>
          <rPr>
            <sz val="9"/>
            <color indexed="81"/>
            <rFont val="Tahoma"/>
            <family val="2"/>
          </rPr>
          <t xml:space="preserve">Technologie principale de l'UO : Java, PHP, .Net, 
</t>
        </r>
      </text>
    </comment>
  </commentList>
</comments>
</file>

<file path=xl/comments2.xml><?xml version="1.0" encoding="utf-8"?>
<comments xmlns="http://schemas.openxmlformats.org/spreadsheetml/2006/main">
  <authors>
    <author>vdecugis</author>
  </authors>
  <commentList>
    <comment ref="F12" authorId="0" shapeId="0">
      <text>
        <r>
          <rPr>
            <b/>
            <sz val="8"/>
            <color indexed="81"/>
            <rFont val="Tahoma"/>
            <family val="2"/>
          </rPr>
          <t>vdecugis:</t>
        </r>
        <r>
          <rPr>
            <sz val="8"/>
            <color indexed="81"/>
            <rFont val="Tahoma"/>
            <family val="2"/>
          </rPr>
          <t xml:space="preserve">
Toute la recette et la garantie</t>
        </r>
      </text>
    </comment>
    <comment ref="F28" authorId="0" shapeId="0">
      <text>
        <r>
          <rPr>
            <b/>
            <sz val="8"/>
            <color indexed="81"/>
            <rFont val="Tahoma"/>
            <family val="2"/>
          </rPr>
          <t>vdecugis:</t>
        </r>
        <r>
          <rPr>
            <sz val="8"/>
            <color indexed="81"/>
            <rFont val="Tahoma"/>
            <family val="2"/>
          </rPr>
          <t xml:space="preserve">
Toute la recette et la garantie</t>
        </r>
      </text>
    </comment>
  </commentList>
</comments>
</file>

<file path=xl/sharedStrings.xml><?xml version="1.0" encoding="utf-8"?>
<sst xmlns="http://schemas.openxmlformats.org/spreadsheetml/2006/main" count="799" uniqueCount="336">
  <si>
    <t>Type d'UO</t>
  </si>
  <si>
    <t>Nom</t>
  </si>
  <si>
    <t>Complexité</t>
  </si>
  <si>
    <t>Technologie</t>
  </si>
  <si>
    <t>Charge PTU</t>
  </si>
  <si>
    <t>Unités d'œuvre</t>
  </si>
  <si>
    <t>Variante</t>
  </si>
  <si>
    <t>Simple</t>
  </si>
  <si>
    <t>Moyen</t>
  </si>
  <si>
    <t>Complexe</t>
  </si>
  <si>
    <t>Java</t>
  </si>
  <si>
    <t>Ecran</t>
  </si>
  <si>
    <t>Rapport</t>
  </si>
  <si>
    <t>Traitement</t>
  </si>
  <si>
    <t>Projet</t>
  </si>
  <si>
    <t>Catalogue d'unités d'œuvre</t>
  </si>
  <si>
    <t>Type</t>
  </si>
  <si>
    <t>Description générale</t>
  </si>
  <si>
    <t>Total PTU</t>
  </si>
  <si>
    <t>Compte d'exploitation prévisionnel</t>
  </si>
  <si>
    <t>Colonne2</t>
  </si>
  <si>
    <t>UO</t>
  </si>
  <si>
    <t>Paramétrage des charges projets</t>
  </si>
  <si>
    <t>Profils</t>
  </si>
  <si>
    <t>Profil</t>
  </si>
  <si>
    <t>TJM</t>
  </si>
  <si>
    <t>Extrapolation des charges</t>
  </si>
  <si>
    <t>Conception fonctionnelle</t>
  </si>
  <si>
    <t>Conception technique</t>
  </si>
  <si>
    <t>Ergonomie</t>
  </si>
  <si>
    <t>Chef de projet</t>
  </si>
  <si>
    <t>Concepteur</t>
  </si>
  <si>
    <t>Architecte</t>
  </si>
  <si>
    <t>Développeur</t>
  </si>
  <si>
    <t>%</t>
  </si>
  <si>
    <t>de</t>
  </si>
  <si>
    <t>PTU</t>
  </si>
  <si>
    <t>Qualification</t>
  </si>
  <si>
    <t>Recette</t>
  </si>
  <si>
    <t>Mise en production</t>
  </si>
  <si>
    <t>Pilotage</t>
  </si>
  <si>
    <t>Tout sauf pilotage/garantie</t>
  </si>
  <si>
    <t xml:space="preserve">Garantie </t>
  </si>
  <si>
    <t>3 mois</t>
  </si>
  <si>
    <t>6 mois</t>
  </si>
  <si>
    <t>1 an</t>
  </si>
  <si>
    <t>Phase</t>
  </si>
  <si>
    <t>Sous-phase</t>
  </si>
  <si>
    <t>Répartition phase / profil</t>
  </si>
  <si>
    <t>Vérification</t>
  </si>
  <si>
    <t>Réalisation</t>
  </si>
  <si>
    <t>Colonne3</t>
  </si>
  <si>
    <t>Total charge</t>
  </si>
  <si>
    <t>Charge par profil (j.h)</t>
  </si>
  <si>
    <t>Coûts</t>
  </si>
  <si>
    <t xml:space="preserve"> (j.h)</t>
  </si>
  <si>
    <t>Expert</t>
  </si>
  <si>
    <t>Remise commerciale</t>
  </si>
  <si>
    <t>Maintenance annuelle</t>
  </si>
  <si>
    <t>Forfait correctif</t>
  </si>
  <si>
    <t>TMA</t>
  </si>
  <si>
    <t>Total</t>
  </si>
  <si>
    <t>Démarrage du projet</t>
  </si>
  <si>
    <t>Personnel Axones</t>
  </si>
  <si>
    <t>Colonne1</t>
  </si>
  <si>
    <t>Nb jours vendus</t>
  </si>
  <si>
    <t>Prix vente cible</t>
  </si>
  <si>
    <t>CA</t>
  </si>
  <si>
    <t>Prix revient</t>
  </si>
  <si>
    <t>Marge brute</t>
  </si>
  <si>
    <t>Développeur 1</t>
  </si>
  <si>
    <t>Développeur 2</t>
  </si>
  <si>
    <t>Développeur 3</t>
  </si>
  <si>
    <t>Salaire annuel Brut</t>
  </si>
  <si>
    <t>Prix de revient jour</t>
  </si>
  <si>
    <t>Prix vente effectif</t>
  </si>
  <si>
    <t>Coefficient efficacité</t>
  </si>
  <si>
    <t>Marge brute (%)</t>
  </si>
  <si>
    <t>Concepteur 1</t>
  </si>
  <si>
    <t>Concepteur 2</t>
  </si>
  <si>
    <t>Nb jours à produire</t>
  </si>
  <si>
    <t>CP technique</t>
  </si>
  <si>
    <t>CP Fonctionnel</t>
  </si>
  <si>
    <t>AMOA junior</t>
  </si>
  <si>
    <t>IEC Geek</t>
  </si>
  <si>
    <t>IEC</t>
  </si>
  <si>
    <t xml:space="preserve">IE </t>
  </si>
  <si>
    <t>Marge</t>
  </si>
  <si>
    <t>Sous-traitance</t>
  </si>
  <si>
    <t>Prix Achat</t>
  </si>
  <si>
    <t>Ss-traitant 1</t>
  </si>
  <si>
    <t>Achat / revente de licences &amp; matériels</t>
  </si>
  <si>
    <t>Dénomination</t>
  </si>
  <si>
    <t>Prix d'achat</t>
  </si>
  <si>
    <t>Prix de vente</t>
  </si>
  <si>
    <t>Marge (%)</t>
  </si>
  <si>
    <t>Exemple licence</t>
  </si>
  <si>
    <t>Apports d'affaire</t>
  </si>
  <si>
    <t>Commission intermédiaire</t>
  </si>
  <si>
    <t>Apport affaire vers ss-traitant</t>
  </si>
  <si>
    <t>Provisions pour risque</t>
  </si>
  <si>
    <t>CA production</t>
  </si>
  <si>
    <t>Marge nette prévisionnelle projet</t>
  </si>
  <si>
    <t>Prix vente projet</t>
  </si>
  <si>
    <t>Abaque Chiffrage projet Axones</t>
  </si>
  <si>
    <t>Version</t>
  </si>
  <si>
    <t>Auteur</t>
  </si>
  <si>
    <t>VDE</t>
  </si>
  <si>
    <t>Date modèle</t>
  </si>
  <si>
    <t>Client</t>
  </si>
  <si>
    <t>Chiffreur</t>
  </si>
  <si>
    <t>Date</t>
  </si>
  <si>
    <t>Version modèle</t>
  </si>
  <si>
    <t>Démarche de chiffrage</t>
  </si>
  <si>
    <t>1°/</t>
  </si>
  <si>
    <t>Analyse fonctionnelle</t>
  </si>
  <si>
    <t>…</t>
  </si>
  <si>
    <t>0.1</t>
  </si>
  <si>
    <t>Graphiste</t>
  </si>
  <si>
    <t>Total général</t>
  </si>
  <si>
    <t>Somme de Charge PTU</t>
  </si>
  <si>
    <t>IE</t>
  </si>
  <si>
    <t>Total projet</t>
  </si>
  <si>
    <t>Analyse/Conception</t>
  </si>
  <si>
    <t>Setup de l'équipe (préparation des envrionnements)</t>
  </si>
  <si>
    <t>1 mois</t>
  </si>
  <si>
    <t>Option (oui/non)</t>
  </si>
  <si>
    <t>moyen</t>
  </si>
  <si>
    <t>TJM Projet</t>
  </si>
  <si>
    <t>Garantie (3 mois)</t>
  </si>
  <si>
    <t>Setup de l'équipe</t>
  </si>
  <si>
    <t>% Dev</t>
  </si>
  <si>
    <t>Basique</t>
  </si>
  <si>
    <t>Très complexe</t>
  </si>
  <si>
    <t>Import</t>
  </si>
  <si>
    <t>*PTU</t>
  </si>
  <si>
    <t>Structure</t>
  </si>
  <si>
    <t xml:space="preserve">Mise en place d'un site </t>
  </si>
  <si>
    <t>Liferay</t>
  </si>
  <si>
    <t>Interface Web Service</t>
  </si>
  <si>
    <t>Theme graphique</t>
  </si>
  <si>
    <t>Theme graphique multi-écrans</t>
  </si>
  <si>
    <t>Template de page</t>
  </si>
  <si>
    <t>Type de contenu</t>
  </si>
  <si>
    <t>Référence CDC</t>
  </si>
  <si>
    <t>§4.1 Connexion à l'extranet</t>
  </si>
  <si>
    <t>Colonne12</t>
  </si>
  <si>
    <t>Module portail</t>
  </si>
  <si>
    <t>Description</t>
  </si>
  <si>
    <t>Mobile</t>
  </si>
  <si>
    <t>Tests de charge</t>
  </si>
  <si>
    <t>Tests</t>
  </si>
  <si>
    <t>Migration EJB</t>
  </si>
  <si>
    <t>Migration Ecran Portlet</t>
  </si>
  <si>
    <t>Migration EJB tâches transverses</t>
  </si>
  <si>
    <t>EJB / Ecran</t>
  </si>
  <si>
    <t>Ecran(s)</t>
  </si>
  <si>
    <t>WebSphere</t>
  </si>
  <si>
    <t>Méthode(s)</t>
  </si>
  <si>
    <t>DCLI009</t>
  </si>
  <si>
    <t>LWM05-GestionContrat</t>
  </si>
  <si>
    <t>rechercherContrats</t>
  </si>
  <si>
    <t>DCLI002, DCLI003</t>
  </si>
  <si>
    <t>LWM01-Gestion Personnes</t>
  </si>
  <si>
    <t>rechercher ou rechercherSuivant</t>
  </si>
  <si>
    <t>DCLI004, DCLI005, DCLI006, DCLI007, DCLI008, POP018</t>
  </si>
  <si>
    <t>rechercheDetailsCoordonneesPersPhys</t>
  </si>
  <si>
    <t>DCLI004, DCLI104</t>
  </si>
  <si>
    <t>rechercherDetailsEquipement</t>
  </si>
  <si>
    <t>DCLI004, DCLI005, DCLI104, DCLI105</t>
  </si>
  <si>
    <t>LWM17-GestionContratVie</t>
  </si>
  <si>
    <t>rechercherElementsContrats</t>
  </si>
  <si>
    <t>DCLI036</t>
  </si>
  <si>
    <t>recupererAdherentsContrat</t>
  </si>
  <si>
    <t>DCLI004, DCLI007, DCLI054, DCLI104, DCLI107</t>
  </si>
  <si>
    <t>LWM16-GestionContratDommage</t>
  </si>
  <si>
    <t>rechercherContrat</t>
  </si>
  <si>
    <t>DCLI004, DCLI005, DCLI006, DCLI007,</t>
  </si>
  <si>
    <t>LWM15-Gdocuments</t>
  </si>
  <si>
    <t>getDocument</t>
  </si>
  <si>
    <t>PCP01-GRefContact</t>
  </si>
  <si>
    <t>rechercherContactsPersonne</t>
  </si>
  <si>
    <t>rechercherContactsContrat</t>
  </si>
  <si>
    <t>DCLI050, DCLI051</t>
  </si>
  <si>
    <t>recupererSituationFinanciereContrat</t>
  </si>
  <si>
    <t>recupererMessagesInternes</t>
  </si>
  <si>
    <t>modifierDetailCoordonnees</t>
  </si>
  <si>
    <t>DCLI012</t>
  </si>
  <si>
    <t>modifierAdressePersMemeFoyer</t>
  </si>
  <si>
    <t>DCLI014</t>
  </si>
  <si>
    <t>rechercherListeDoublons</t>
  </si>
  <si>
    <t>regrouperPersonne</t>
  </si>
  <si>
    <t>regrouperOrganisation</t>
  </si>
  <si>
    <t>DCLI015, DCLI060, DCLI160</t>
  </si>
  <si>
    <t>rechercherHistoModifsClient</t>
  </si>
  <si>
    <t>DCLI016</t>
  </si>
  <si>
    <t>rechercherDetailModificationPersPhys</t>
  </si>
  <si>
    <t>DCLI017</t>
  </si>
  <si>
    <t>rechercherListePersonnesFoyer</t>
  </si>
  <si>
    <t>DCLI018</t>
  </si>
  <si>
    <t>rechercherListePersonnesConnexes</t>
  </si>
  <si>
    <t>DCLI019</t>
  </si>
  <si>
    <t>transfererSCV</t>
  </si>
  <si>
    <t>PVP03-GContratEuroNGWS</t>
  </si>
  <si>
    <t>recupererDetailContrat</t>
  </si>
  <si>
    <t>DCLI023</t>
  </si>
  <si>
    <t>recupererHistoriqueEvenementsIndividuels</t>
  </si>
  <si>
    <t>recupererHistoriqueEvenementsCollectifs</t>
  </si>
  <si>
    <t>DCLI024</t>
  </si>
  <si>
    <t>recupererHistoriquePrimesPayees</t>
  </si>
  <si>
    <t>DCLI025</t>
  </si>
  <si>
    <t>recupererHistoriqueReglements</t>
  </si>
  <si>
    <t>DCLI026</t>
  </si>
  <si>
    <t>recupererHistoriqueVersements</t>
  </si>
  <si>
    <t>DCLI027</t>
  </si>
  <si>
    <t>PVP01-GContratUC</t>
  </si>
  <si>
    <t>consulterContrat</t>
  </si>
  <si>
    <t>DCLI027, DCLI029</t>
  </si>
  <si>
    <t>consulterSuiteMouvement</t>
  </si>
  <si>
    <t>DCLI028</t>
  </si>
  <si>
    <t>consulterDetailSituation</t>
  </si>
  <si>
    <t>DCLI029</t>
  </si>
  <si>
    <t>consulterDetailMouvement</t>
  </si>
  <si>
    <t>DCLI030</t>
  </si>
  <si>
    <t>LWM18-GestionAlertes</t>
  </si>
  <si>
    <t>rechercherAlertesParContrat</t>
  </si>
  <si>
    <t>DCLI031</t>
  </si>
  <si>
    <t>rechercherDetailAlerte</t>
  </si>
  <si>
    <t>DCLI051</t>
  </si>
  <si>
    <t>recupererEvenements</t>
  </si>
  <si>
    <t>DCLI038</t>
  </si>
  <si>
    <t>PPB00-GestionCoordonneesBancaires</t>
  </si>
  <si>
    <t>rechercherCoordonneesBancaires</t>
  </si>
  <si>
    <t>DCLI004, DCLI005, DCLI006, DCLI007, DCLI008, DCLI060, DCLI104, DCLI105, DCLI106, DCLI107, DCLI108</t>
  </si>
  <si>
    <t>LWM14-Gestion Indicateurs</t>
  </si>
  <si>
    <t>rechercherIndicateurs</t>
  </si>
  <si>
    <t>DCLI008</t>
  </si>
  <si>
    <t>rechercherPotentielCommercial</t>
  </si>
  <si>
    <t>DCLI160</t>
  </si>
  <si>
    <t>rechercherConventionInternet</t>
  </si>
  <si>
    <t>DCLI004, DCLI006, DCLI053, DCLI104, DCLI106, POP019</t>
  </si>
  <si>
    <t>SWM00-ContratSanté</t>
  </si>
  <si>
    <t>DCLI050</t>
  </si>
  <si>
    <t>SWM01-Decompte</t>
  </si>
  <si>
    <t>recupererRemboursements</t>
  </si>
  <si>
    <t>rechercherDetailContrat</t>
  </si>
  <si>
    <t>rechercherHistoriqueDetailContrat</t>
  </si>
  <si>
    <t>recupererAssures</t>
  </si>
  <si>
    <t>DCLI051, DCLI104, DCLI105, DCLI106, DCLI107, DCLI108, POP019</t>
  </si>
  <si>
    <t>rechercherDetailsCoordonneesOrganisation</t>
  </si>
  <si>
    <t>recupererSuivisContrat</t>
  </si>
  <si>
    <t>recupererContrat</t>
  </si>
  <si>
    <t>DCLI052</t>
  </si>
  <si>
    <t>lireBeneficiaires</t>
  </si>
  <si>
    <t>DCLI053, DCLI054</t>
  </si>
  <si>
    <t>PKL00-Gcompta</t>
  </si>
  <si>
    <t>rechercherListeRestantDu</t>
  </si>
  <si>
    <t>DCLI060</t>
  </si>
  <si>
    <t>modifierAbonnementDematerialisationDecompte</t>
  </si>
  <si>
    <t>modifierAbonnementAlertEmailSante</t>
  </si>
  <si>
    <t>rechercherPersPhys</t>
  </si>
  <si>
    <t>PXI03-Authentification</t>
  </si>
  <si>
    <t>genererCompte (PersPhysCoordonnees, codeIntervenant)</t>
  </si>
  <si>
    <t>genererCompte (Personne)</t>
  </si>
  <si>
    <t>DCLI061, POP008</t>
  </si>
  <si>
    <t>LQP01-Gquestionnaires</t>
  </si>
  <si>
    <t>validerQuestionnaireVie</t>
  </si>
  <si>
    <t>enregistrerQuestionnaire</t>
  </si>
  <si>
    <t>DCLI070</t>
  </si>
  <si>
    <t>recupererHistoriqueCotisations</t>
  </si>
  <si>
    <t>DCLI071</t>
  </si>
  <si>
    <t>recupererHistoriquePrestations</t>
  </si>
  <si>
    <t>DCLI080</t>
  </si>
  <si>
    <t>LDU17-GContactGED</t>
  </si>
  <si>
    <t>rechercherDemande</t>
  </si>
  <si>
    <t>rechercherImageDocument</t>
  </si>
  <si>
    <t>rechercherPli</t>
  </si>
  <si>
    <t>DCLI082</t>
  </si>
  <si>
    <t>agirSurDemande</t>
  </si>
  <si>
    <t>DCLI090</t>
  </si>
  <si>
    <t>PCP02-GContactTel</t>
  </si>
  <si>
    <t>getDetailTel</t>
  </si>
  <si>
    <t>DCLI116</t>
  </si>
  <si>
    <t>rechercherDetailModificationOrganisation</t>
  </si>
  <si>
    <t>recupererPersonneInternet avec CritRechercheInternetPremierVisite</t>
  </si>
  <si>
    <t>transfererSCS</t>
  </si>
  <si>
    <t>PGD02-GestionConventionInternet</t>
  </si>
  <si>
    <t>envoiPostalConventionInternet</t>
  </si>
  <si>
    <t>?</t>
  </si>
  <si>
    <t>reveiller</t>
  </si>
  <si>
    <t>positionnerUrgent</t>
  </si>
  <si>
    <t>CommenterDemande</t>
  </si>
  <si>
    <t>recupererIdentificationContrat</t>
  </si>
  <si>
    <t>rechercherConventionsDePreuve</t>
  </si>
  <si>
    <t>InitialiserConventionDePreuve</t>
  </si>
  <si>
    <t>reexpedierDocument</t>
  </si>
  <si>
    <t>recupererElementContrat</t>
  </si>
  <si>
    <t>recupererInfoProduit</t>
  </si>
  <si>
    <t>ModifierDateExerciceFiscal</t>
  </si>
  <si>
    <t>EditerCourrierExerciceFiscal</t>
  </si>
  <si>
    <t>SWM00-ContratSante</t>
  </si>
  <si>
    <t>recupererHistoriqueDetailContrat</t>
  </si>
  <si>
    <t>RecupererDetailContrat</t>
  </si>
  <si>
    <t>LireModesReglement</t>
  </si>
  <si>
    <t>/</t>
  </si>
  <si>
    <t>PKP00-PaiementLigne</t>
  </si>
  <si>
    <t>ResponseServlet</t>
  </si>
  <si>
    <t>PCP03-SLRefContact</t>
  </si>
  <si>
    <t>ajouterContact</t>
  </si>
  <si>
    <t>DCLI104, DCLI105, DCLI106, DCLI107, DCLI009</t>
  </si>
  <si>
    <t>EJB /Ecran/Tâche</t>
  </si>
  <si>
    <t>Page web spécifique pouvant être un formulaire ou une liste ou encore une page de navigation, développée en langage Struts portlet  sur du java/JSP. Sa complexité dépend du nombre d'objets et de champs à afficher ou saisir dans la page, et du nombre de règles de contrôle à appliquer. La complexité dépend aussi du nombre de cas d'utilisation gérés par l'écran et le nombre de liens entrants et sortants vers l'écran (impacts sur les tests)</t>
  </si>
  <si>
    <t>Regroupe les tâches de réécriture de la couche d'accès à l'EJB (classe delegate) avec la réécriture des méthodes et le passage de nouveaux type de paramètres.  La complexité du traitement est fonction du nombre de méthodes et la complexité du Mapping des objets (remplacer Mapping EJB --&gt; Mapping front par Mapping WS --&gt; Mapping front)</t>
  </si>
  <si>
    <t>Migration  tâches transverses</t>
  </si>
  <si>
    <t>Migration WS</t>
  </si>
  <si>
    <t>Regroupe les tâches de réécriture de la couche d'accès au WS (classe delegate) avec la réécriture des méthodes et le passage de nouveaux type de paramètres.  La complexité du traitement est fonction du nombre de méthodes et la complexité du Mapping des objets (remplacer Mapping WS --&gt; Mapping front par Mapping WS FAST--&gt; Mapping front)</t>
  </si>
  <si>
    <t>Regroupe les tâches suivantes : 
- Génération du client du Web Service avec tests d'appel (SOAP UI)  et  d'intégration
- Gestion de l'aiguillage  des anciens et nouveaux écrans . 
- Gestion des impacts sur les  autres écrans que ceux concernés directement par la migration ( exemple la migration de l'EJB Personne impacte directement les écrans de gestion des coordonnées personnes mais impacte aussi indirectement les écrans qui manipulent des données Personne soit pour afficher de l'information soit pour les utiliser pour d'autres appels backend (utilisation de l'objet  l'id personne pour récupérer des contrats)
- Nettoyage dans anciennes ressources code (appels ejbs, classes, ..etc.)
La complexité dépend  : 
- de la cardinalité de migration de l'EJB vers le WS (nombre de WS proposés pour remplacer un EJB) ==&gt; impacts sur le nombre de WS à générer et à tester et sur la réécriture de la couche délegate.
- de l'étendue d'utilisation de l'EJB et de ses données (exemple l'EJB Personne impacte tous les écrans , l'EJB indicateurs impacte que la portlet Indicateurs et un peu la portelt Personne)</t>
  </si>
  <si>
    <t xml:space="preserve">Réécriture du Delagate  et du mapping </t>
  </si>
  <si>
    <t>Retours Recette</t>
  </si>
  <si>
    <t>Qualification, packagings et livraisons</t>
  </si>
  <si>
    <t>DCLI020, DCLI021, DCLI022, DCLI023, DCLI024, DCLI025, DCLI026, DCLI032, DCLI033, DCLI034, DCLI035, DCLI037, DCLI038, DCLI039, DCLI070, DCLI071, POP011, POP012 et POP013</t>
  </si>
  <si>
    <t>complexe</t>
  </si>
  <si>
    <t>06 - PKL00-Ecran DCLI009</t>
  </si>
  <si>
    <t>POP008, POP010</t>
  </si>
  <si>
    <t>Rerchercher Liste RestantDu</t>
  </si>
  <si>
    <t>DCLI080, DCLI081, DCLI009</t>
  </si>
  <si>
    <t xml:space="preserve">Impacts objets en session, aiguillage et nettoyage du code.
</t>
  </si>
  <si>
    <r>
      <t xml:space="preserve">DCLI010, DCLI011, DCLI110, </t>
    </r>
    <r>
      <rPr>
        <sz val="10"/>
        <color rgb="FFFF0000"/>
        <rFont val="Arial"/>
        <family val="2"/>
      </rPr>
      <t>DCLI013</t>
    </r>
  </si>
  <si>
    <t>Itération</t>
  </si>
  <si>
    <t>Génération des clients WS LDT04 et LDT05, création des delegates, bean / mapping / populate : Traitement Java Moyen</t>
  </si>
  <si>
    <t xml:space="preserve">Consultation Document (Front + Action Consommation et mapping LDT04.lireDocument()) </t>
  </si>
  <si>
    <t xml:space="preserve">Ecran DCLI083 Recherche de Document Clef </t>
  </si>
  <si>
    <t>Options</t>
  </si>
  <si>
    <t>Option 1 : Modification des écrans DCLI005,DCLI105,DCLI006,DCLI106,DCLI007 et DCLI107</t>
  </si>
  <si>
    <t xml:space="preserve">Option 2:  Gestion du cache / optimisation de performances –  via une mise en cache de session </t>
  </si>
  <si>
    <t>Total projet avec options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</si>
</sst>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0.00\ &quot;€&quot;;\-#,##0.00\ &quot;€&quot;"/>
    <numFmt numFmtId="41" formatCode="_-* #,##0\ _€_-;\-* #,##0\ _€_-;_-* &quot;-&quot;\ _€_-;_-@_-"/>
    <numFmt numFmtId="44" formatCode="_-* #,##0.00\ &quot;€&quot;_-;\-* #,##0.00\ &quot;€&quot;_-;_-* &quot;-&quot;??\ &quot;€&quot;_-;_-@_-"/>
    <numFmt numFmtId="164" formatCode="_-* #,##0\ &quot;€&quot;_-;\-* #,##0\ &quot;€&quot;_-;_-* &quot;-&quot;??\ &quot;€&quot;_-;_-@_-"/>
    <numFmt numFmtId="165" formatCode="_-* #,##0\ [$€-40C]_-;\-* #,##0\ [$€-40C]_-;_-* &quot;-&quot;??\ [$€-40C]_-;_-@_-"/>
    <numFmt numFmtId="166" formatCode="0.0"/>
    <numFmt numFmtId="167" formatCode="#,##0\ &quot;€&quot;"/>
    <numFmt numFmtId="168" formatCode="_-* #,##0.0\ _€_-;\-* #,##0.0\ _€_-;_-* &quot;-&quot;?\ _€_-;_-@_-"/>
    <numFmt numFmtId="169" formatCode="_-* #,##0.0\ &quot;€&quot;_-;\-* #,##0.0\ &quot;€&quot;_-;_-* &quot;-&quot;?\ &quot;€&quot;_-;_-@_-"/>
    <numFmt numFmtId="170" formatCode="0.0%"/>
  </numFmts>
  <fonts count="49" x14ac:knownFonts="1">
    <font>
      <sz val="11"/>
      <color theme="1"/>
      <name val="Calibri"/>
      <family val="2"/>
      <scheme val="minor"/>
    </font>
    <font>
      <sz val="11"/>
      <color theme="1"/>
      <name val="Calibri"/>
      <family val="2"/>
      <scheme val="minor"/>
    </font>
    <font>
      <sz val="11"/>
      <color theme="1"/>
      <name val="Futura Book"/>
      <family val="2"/>
    </font>
    <font>
      <b/>
      <sz val="16"/>
      <color theme="4"/>
      <name val="Futura Medium"/>
      <family val="2"/>
    </font>
    <font>
      <sz val="9"/>
      <color indexed="81"/>
      <name val="Tahoma"/>
      <family val="2"/>
    </font>
    <font>
      <sz val="10"/>
      <color theme="1"/>
      <name val="Futura Book"/>
      <family val="2"/>
    </font>
    <font>
      <sz val="9"/>
      <color theme="1"/>
      <name val="Futura Book"/>
      <family val="2"/>
    </font>
    <font>
      <sz val="8"/>
      <color theme="1"/>
      <name val="Futura Book"/>
      <family val="2"/>
    </font>
    <font>
      <b/>
      <sz val="11"/>
      <color theme="0"/>
      <name val="Futura Medium"/>
      <family val="2"/>
    </font>
    <font>
      <sz val="11"/>
      <color theme="0"/>
      <name val="Futura Medium"/>
      <family val="2"/>
    </font>
    <font>
      <sz val="11"/>
      <color theme="4" tint="-0.249977111117893"/>
      <name val="Futura Book"/>
      <family val="2"/>
    </font>
    <font>
      <b/>
      <sz val="14"/>
      <color theme="4"/>
      <name val="Futura Medium"/>
      <family val="2"/>
    </font>
    <font>
      <sz val="11"/>
      <color theme="5"/>
      <name val="Futura Book"/>
      <family val="2"/>
    </font>
    <font>
      <sz val="11"/>
      <color theme="0"/>
      <name val="Futura Book"/>
      <family val="2"/>
    </font>
    <font>
      <sz val="9"/>
      <color theme="0"/>
      <name val="Futura Book"/>
      <family val="2"/>
    </font>
    <font>
      <sz val="10"/>
      <color theme="0"/>
      <name val="Futura Book"/>
      <family val="2"/>
    </font>
    <font>
      <i/>
      <sz val="8"/>
      <color theme="3" tint="0.59999389629810485"/>
      <name val="Futura Book"/>
      <family val="2"/>
    </font>
    <font>
      <sz val="12"/>
      <color theme="1"/>
      <name val="Futura Book"/>
      <family val="2"/>
    </font>
    <font>
      <i/>
      <sz val="11"/>
      <color theme="1"/>
      <name val="Futura Book"/>
      <family val="2"/>
    </font>
    <font>
      <i/>
      <sz val="9"/>
      <color theme="1"/>
      <name val="Futura Book"/>
      <family val="2"/>
    </font>
    <font>
      <i/>
      <sz val="12"/>
      <color theme="1"/>
      <name val="Futura Book"/>
      <family val="2"/>
    </font>
    <font>
      <sz val="11"/>
      <color theme="1"/>
      <name val="Futura Book"/>
      <family val="2"/>
    </font>
    <font>
      <sz val="9"/>
      <color theme="1"/>
      <name val="Futura Book"/>
      <family val="2"/>
    </font>
    <font>
      <b/>
      <sz val="8"/>
      <color indexed="81"/>
      <name val="Tahoma"/>
      <family val="2"/>
    </font>
    <font>
      <sz val="8"/>
      <color indexed="81"/>
      <name val="Tahoma"/>
      <family val="2"/>
    </font>
    <font>
      <b/>
      <sz val="9"/>
      <color theme="4" tint="-0.249977111117893"/>
      <name val="Futura Book"/>
      <family val="2"/>
    </font>
    <font>
      <sz val="9"/>
      <color theme="4" tint="0.59999389629810485"/>
      <name val="Futura Book"/>
      <family val="2"/>
    </font>
    <font>
      <sz val="9"/>
      <color theme="2" tint="-0.499984740745262"/>
      <name val="Futura Book"/>
      <family val="2"/>
    </font>
    <font>
      <sz val="9"/>
      <color theme="3" tint="-0.499984740745262"/>
      <name val="Futura Book"/>
      <family val="2"/>
    </font>
    <font>
      <b/>
      <sz val="10"/>
      <color theme="3"/>
      <name val="Futura Book"/>
      <family val="2"/>
    </font>
    <font>
      <sz val="11"/>
      <color theme="3"/>
      <name val="Futura Book"/>
      <family val="2"/>
    </font>
    <font>
      <b/>
      <sz val="11"/>
      <color theme="3"/>
      <name val="Futura Book"/>
      <family val="2"/>
    </font>
    <font>
      <b/>
      <sz val="20"/>
      <color theme="4"/>
      <name val="Futura Medium"/>
      <family val="2"/>
    </font>
    <font>
      <b/>
      <sz val="11"/>
      <color theme="0"/>
      <name val="Futura Medium"/>
      <family val="2"/>
    </font>
    <font>
      <i/>
      <sz val="11"/>
      <name val="Futura Book"/>
      <family val="2"/>
    </font>
    <font>
      <sz val="11"/>
      <color theme="4" tint="-0.249977111117893"/>
      <name val="Futura Book"/>
      <family val="2"/>
    </font>
    <font>
      <sz val="12"/>
      <color theme="0"/>
      <name val="Futura Book"/>
      <family val="2"/>
    </font>
    <font>
      <sz val="11"/>
      <color theme="5"/>
      <name val="Futura Book"/>
      <family val="2"/>
    </font>
    <font>
      <sz val="11"/>
      <color rgb="FFFF0000"/>
      <name val="Futura Book"/>
      <family val="2"/>
    </font>
    <font>
      <sz val="11"/>
      <color theme="1"/>
      <name val="Futura Book"/>
    </font>
    <font>
      <sz val="10"/>
      <color theme="1"/>
      <name val="Arial"/>
      <family val="2"/>
    </font>
    <font>
      <sz val="11"/>
      <color theme="1"/>
      <name val="Calibri"/>
      <family val="2"/>
    </font>
    <font>
      <b/>
      <sz val="11"/>
      <color theme="0"/>
      <name val="Futura Medium"/>
    </font>
    <font>
      <sz val="10"/>
      <color rgb="FFFF0000"/>
      <name val="Arial"/>
      <family val="2"/>
    </font>
    <font>
      <b/>
      <sz val="11"/>
      <color theme="1"/>
      <name val="Futura Medium"/>
      <family val="2"/>
    </font>
    <font>
      <b/>
      <sz val="12"/>
      <color theme="1"/>
      <name val="Futura Book"/>
    </font>
    <font>
      <b/>
      <sz val="11"/>
      <color theme="1"/>
      <name val="Futura Book"/>
    </font>
    <font>
      <b/>
      <sz val="11"/>
      <color theme="1"/>
      <name val="Futura Book"/>
      <family val="2"/>
    </font>
    <font>
      <b/>
      <sz val="12"/>
      <color theme="1"/>
      <name val="Futura Book"/>
      <family val="2"/>
    </font>
  </fonts>
  <fills count="13">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lightUp">
        <fgColor theme="2" tint="-0.24994659260841701"/>
        <bgColor theme="2" tint="-9.9948118533890809E-2"/>
      </patternFill>
    </fill>
    <fill>
      <patternFill patternType="solid">
        <fgColor theme="4" tint="0.59999389629810485"/>
        <bgColor theme="4" tint="0.59999389629810485"/>
      </patternFill>
    </fill>
    <fill>
      <patternFill patternType="solid">
        <fgColor theme="4" tint="0.39997558519241921"/>
        <bgColor indexed="64"/>
      </patternFill>
    </fill>
    <fill>
      <patternFill patternType="solid">
        <fgColor theme="3"/>
        <bgColor indexed="64"/>
      </patternFill>
    </fill>
    <fill>
      <patternFill patternType="solid">
        <fgColor rgb="FF0070C0"/>
        <bgColor indexed="64"/>
      </patternFill>
    </fill>
  </fills>
  <borders count="7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theme="3"/>
      </left>
      <right/>
      <top/>
      <bottom/>
      <diagonal/>
    </border>
    <border>
      <left/>
      <right/>
      <top/>
      <bottom style="medium">
        <color theme="3"/>
      </bottom>
      <diagonal/>
    </border>
    <border>
      <left/>
      <right/>
      <top/>
      <bottom style="thick">
        <color theme="3"/>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rgb="FFFF0000"/>
      </left>
      <right/>
      <top style="medium">
        <color rgb="FFFF0000"/>
      </top>
      <bottom style="medium">
        <color rgb="FFFF0000"/>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style="medium">
        <color theme="9"/>
      </left>
      <right/>
      <top/>
      <bottom style="medium">
        <color theme="9"/>
      </bottom>
      <diagonal/>
    </border>
    <border>
      <left/>
      <right/>
      <top/>
      <bottom style="medium">
        <color theme="9"/>
      </bottom>
      <diagonal/>
    </border>
    <border>
      <left/>
      <right/>
      <top/>
      <bottom style="thin">
        <color theme="4"/>
      </bottom>
      <diagonal/>
    </border>
    <border>
      <left/>
      <right/>
      <top/>
      <bottom style="double">
        <color theme="4"/>
      </bottom>
      <diagonal/>
    </border>
    <border>
      <left/>
      <right/>
      <top style="medium">
        <color rgb="FFFF0000"/>
      </top>
      <bottom/>
      <diagonal/>
    </border>
    <border>
      <left/>
      <right/>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thin">
        <color theme="0"/>
      </left>
      <right/>
      <top style="thin">
        <color theme="0"/>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medium">
        <color auto="1"/>
      </left>
      <right style="medium">
        <color auto="1"/>
      </right>
      <top style="medium">
        <color auto="1"/>
      </top>
      <bottom style="medium">
        <color auto="1"/>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ck">
        <color theme="3"/>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theme="3"/>
      </left>
      <right style="medium">
        <color theme="3"/>
      </right>
      <top style="medium">
        <color theme="3"/>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diagonal/>
    </border>
    <border>
      <left style="medium">
        <color theme="3"/>
      </left>
      <right style="medium">
        <color theme="3"/>
      </right>
      <top/>
      <bottom style="medium">
        <color theme="3"/>
      </bottom>
      <diagonal/>
    </border>
    <border>
      <left style="medium">
        <color theme="3"/>
      </left>
      <right style="medium">
        <color theme="3"/>
      </right>
      <top/>
      <bottom style="thin">
        <color indexed="64"/>
      </bottom>
      <diagonal/>
    </border>
    <border>
      <left style="medium">
        <color theme="3"/>
      </left>
      <right style="medium">
        <color theme="3"/>
      </right>
      <top style="thin">
        <color indexed="64"/>
      </top>
      <bottom style="thin">
        <color indexed="64"/>
      </bottom>
      <diagonal/>
    </border>
    <border>
      <left style="medium">
        <color theme="3"/>
      </left>
      <right style="medium">
        <color theme="3"/>
      </right>
      <top style="thin">
        <color indexed="64"/>
      </top>
      <bottom style="medium">
        <color theme="3"/>
      </bottom>
      <diagonal/>
    </border>
    <border>
      <left style="medium">
        <color theme="3"/>
      </left>
      <right style="medium">
        <color theme="3"/>
      </right>
      <top style="medium">
        <color theme="3"/>
      </top>
      <bottom style="thin">
        <color indexed="64"/>
      </bottom>
      <diagonal/>
    </border>
    <border>
      <left style="medium">
        <color theme="3"/>
      </left>
      <right style="medium">
        <color theme="3"/>
      </right>
      <top style="thin">
        <color indexed="64"/>
      </top>
      <bottom/>
      <diagonal/>
    </border>
    <border>
      <left style="medium">
        <color theme="3"/>
      </left>
      <right/>
      <top style="medium">
        <color theme="3"/>
      </top>
      <bottom/>
      <diagonal/>
    </border>
    <border>
      <left style="medium">
        <color theme="3"/>
      </left>
      <right/>
      <top/>
      <bottom style="medium">
        <color theme="3"/>
      </bottom>
      <diagonal/>
    </border>
    <border>
      <left/>
      <right style="medium">
        <color theme="3"/>
      </right>
      <top style="medium">
        <color theme="3"/>
      </top>
      <bottom style="thin">
        <color theme="3"/>
      </bottom>
      <diagonal/>
    </border>
    <border>
      <left/>
      <right style="medium">
        <color theme="3"/>
      </right>
      <top style="thin">
        <color theme="3"/>
      </top>
      <bottom style="thin">
        <color theme="3"/>
      </bottom>
      <diagonal/>
    </border>
    <border>
      <left/>
      <right style="medium">
        <color theme="3"/>
      </right>
      <top style="thin">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medium">
        <color theme="3"/>
      </right>
      <top style="thin">
        <color theme="3"/>
      </top>
      <bottom style="medium">
        <color theme="3"/>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theme="4" tint="0.39997558519241921"/>
      </top>
      <bottom style="thin">
        <color theme="4" tint="0.39997558519241921"/>
      </bottom>
      <diagonal/>
    </border>
    <border>
      <left/>
      <right style="medium">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65">
    <xf numFmtId="0" fontId="0" fillId="0" borderId="0" xfId="0"/>
    <xf numFmtId="0" fontId="2" fillId="0" borderId="0" xfId="0" applyFont="1"/>
    <xf numFmtId="0" fontId="3" fillId="0" borderId="0" xfId="0" applyFont="1"/>
    <xf numFmtId="0" fontId="6" fillId="0" borderId="0" xfId="0" applyFont="1"/>
    <xf numFmtId="0" fontId="7" fillId="0" borderId="0" xfId="0" applyFont="1"/>
    <xf numFmtId="0" fontId="2" fillId="0" borderId="0" xfId="0" applyFont="1" applyAlignment="1">
      <alignment vertical="top"/>
    </xf>
    <xf numFmtId="0" fontId="3" fillId="0" borderId="0" xfId="0" applyFont="1" applyAlignment="1">
      <alignment vertical="top"/>
    </xf>
    <xf numFmtId="0" fontId="9" fillId="0" borderId="0" xfId="0" applyFont="1" applyAlignment="1">
      <alignment vertical="top"/>
    </xf>
    <xf numFmtId="0" fontId="8" fillId="3" borderId="0" xfId="0" applyFont="1" applyFill="1" applyAlignment="1">
      <alignment vertical="top"/>
    </xf>
    <xf numFmtId="0" fontId="2" fillId="0" borderId="0" xfId="0" applyFont="1" applyBorder="1"/>
    <xf numFmtId="0" fontId="10" fillId="0" borderId="0" xfId="0" applyFont="1"/>
    <xf numFmtId="0" fontId="6" fillId="0" borderId="0" xfId="0" applyFont="1" applyAlignment="1">
      <alignment wrapText="1"/>
    </xf>
    <xf numFmtId="0" fontId="11" fillId="0" borderId="0" xfId="0" applyFont="1"/>
    <xf numFmtId="9" fontId="12" fillId="5" borderId="0" xfId="0" applyNumberFormat="1" applyFont="1" applyFill="1"/>
    <xf numFmtId="0" fontId="2" fillId="0" borderId="0" xfId="0" applyFont="1" applyFill="1"/>
    <xf numFmtId="0" fontId="10" fillId="0" borderId="0" xfId="0" applyFont="1" applyFill="1"/>
    <xf numFmtId="41" fontId="5" fillId="2" borderId="0" xfId="0" applyNumberFormat="1" applyFont="1" applyFill="1" applyAlignment="1">
      <alignment horizontal="center"/>
    </xf>
    <xf numFmtId="41" fontId="7" fillId="0" borderId="0" xfId="0" applyNumberFormat="1" applyFont="1" applyAlignment="1">
      <alignment horizontal="center"/>
    </xf>
    <xf numFmtId="165" fontId="7" fillId="0" borderId="3" xfId="0" applyNumberFormat="1" applyFont="1" applyBorder="1"/>
    <xf numFmtId="0" fontId="2" fillId="0" borderId="3" xfId="0" applyFont="1" applyBorder="1"/>
    <xf numFmtId="0" fontId="2" fillId="6" borderId="5" xfId="0" applyFont="1" applyFill="1" applyBorder="1" applyAlignment="1">
      <alignment horizontal="right"/>
    </xf>
    <xf numFmtId="41" fontId="2" fillId="0" borderId="0" xfId="0" applyNumberFormat="1" applyFont="1" applyFill="1" applyBorder="1" applyAlignment="1">
      <alignment horizontal="center"/>
    </xf>
    <xf numFmtId="0" fontId="2" fillId="0" borderId="0" xfId="0" applyFont="1" applyFill="1" applyBorder="1"/>
    <xf numFmtId="0" fontId="2" fillId="0" borderId="0" xfId="0" applyFont="1" applyFill="1" applyBorder="1" applyAlignment="1">
      <alignment horizontal="right"/>
    </xf>
    <xf numFmtId="0" fontId="18" fillId="2" borderId="0" xfId="0" applyFont="1" applyFill="1"/>
    <xf numFmtId="0" fontId="18" fillId="2" borderId="3" xfId="0" applyFont="1" applyFill="1" applyBorder="1"/>
    <xf numFmtId="0" fontId="18" fillId="0" borderId="0" xfId="0" applyFont="1"/>
    <xf numFmtId="1" fontId="19" fillId="0" borderId="0" xfId="0" applyNumberFormat="1" applyFont="1"/>
    <xf numFmtId="0" fontId="18" fillId="6" borderId="0" xfId="0" applyFont="1" applyFill="1" applyBorder="1"/>
    <xf numFmtId="0" fontId="20" fillId="6" borderId="0" xfId="0" applyFont="1" applyFill="1" applyBorder="1"/>
    <xf numFmtId="41" fontId="18" fillId="6" borderId="0" xfId="0" applyNumberFormat="1" applyFont="1" applyFill="1" applyBorder="1" applyAlignment="1">
      <alignment horizontal="center"/>
    </xf>
    <xf numFmtId="164" fontId="20" fillId="6" borderId="3" xfId="1" applyNumberFormat="1" applyFont="1" applyFill="1" applyBorder="1"/>
    <xf numFmtId="9" fontId="2" fillId="0" borderId="12" xfId="0" applyNumberFormat="1" applyFont="1" applyBorder="1"/>
    <xf numFmtId="9" fontId="2" fillId="0" borderId="13" xfId="0" applyNumberFormat="1" applyFont="1" applyBorder="1"/>
    <xf numFmtId="0" fontId="2" fillId="0" borderId="13" xfId="0" applyFont="1" applyBorder="1"/>
    <xf numFmtId="0" fontId="10" fillId="0" borderId="15" xfId="0" applyFont="1" applyFill="1" applyBorder="1"/>
    <xf numFmtId="9" fontId="2" fillId="0" borderId="16" xfId="0" applyNumberFormat="1" applyFont="1" applyFill="1" applyBorder="1"/>
    <xf numFmtId="0" fontId="2" fillId="0" borderId="17" xfId="0" applyFont="1" applyFill="1" applyBorder="1"/>
    <xf numFmtId="0" fontId="2" fillId="0" borderId="18" xfId="0" applyFont="1" applyFill="1" applyBorder="1"/>
    <xf numFmtId="9" fontId="2" fillId="0" borderId="0" xfId="0" applyNumberFormat="1" applyFont="1" applyFill="1" applyBorder="1"/>
    <xf numFmtId="0" fontId="18" fillId="0" borderId="0" xfId="0" applyFont="1" applyFill="1"/>
    <xf numFmtId="0" fontId="21" fillId="0" borderId="0" xfId="0" applyFont="1"/>
    <xf numFmtId="9" fontId="21" fillId="0" borderId="13" xfId="0" applyNumberFormat="1" applyFont="1" applyBorder="1"/>
    <xf numFmtId="0" fontId="22" fillId="0" borderId="0" xfId="0" applyFont="1"/>
    <xf numFmtId="9" fontId="21" fillId="0" borderId="14" xfId="0" applyNumberFormat="1" applyFont="1" applyBorder="1"/>
    <xf numFmtId="0" fontId="21" fillId="0" borderId="18" xfId="0" applyFont="1" applyFill="1" applyBorder="1"/>
    <xf numFmtId="0" fontId="21" fillId="0" borderId="0" xfId="0" applyFont="1" applyFill="1" applyBorder="1"/>
    <xf numFmtId="9" fontId="21" fillId="0" borderId="0" xfId="0" applyNumberFormat="1" applyFont="1" applyFill="1" applyBorder="1"/>
    <xf numFmtId="9" fontId="2" fillId="0" borderId="18" xfId="0" applyNumberFormat="1" applyFont="1" applyFill="1" applyBorder="1"/>
    <xf numFmtId="9" fontId="21" fillId="0" borderId="20" xfId="0" applyNumberFormat="1" applyFont="1" applyFill="1" applyBorder="1"/>
    <xf numFmtId="0" fontId="21" fillId="0" borderId="20" xfId="0" applyFont="1" applyFill="1" applyBorder="1"/>
    <xf numFmtId="9" fontId="21" fillId="0" borderId="19" xfId="0" applyNumberFormat="1" applyFont="1" applyFill="1" applyBorder="1"/>
    <xf numFmtId="166" fontId="2" fillId="0" borderId="0" xfId="0" applyNumberFormat="1" applyFont="1"/>
    <xf numFmtId="1" fontId="6" fillId="0" borderId="0" xfId="0" applyNumberFormat="1" applyFont="1"/>
    <xf numFmtId="164" fontId="6" fillId="0" borderId="0" xfId="0" applyNumberFormat="1" applyFont="1"/>
    <xf numFmtId="9" fontId="6" fillId="0" borderId="0" xfId="2" applyFont="1"/>
    <xf numFmtId="164" fontId="22" fillId="0" borderId="0" xfId="0" applyNumberFormat="1" applyFont="1"/>
    <xf numFmtId="9" fontId="22" fillId="0" borderId="0" xfId="2" applyFont="1"/>
    <xf numFmtId="9" fontId="2" fillId="0" borderId="0" xfId="2" applyFont="1"/>
    <xf numFmtId="9" fontId="2" fillId="0" borderId="0" xfId="0" applyNumberFormat="1" applyFont="1"/>
    <xf numFmtId="164" fontId="27" fillId="0" borderId="0" xfId="0" applyNumberFormat="1" applyFont="1"/>
    <xf numFmtId="165" fontId="29" fillId="0" borderId="0" xfId="0" applyNumberFormat="1" applyFont="1"/>
    <xf numFmtId="1" fontId="29" fillId="0" borderId="0" xfId="0" applyNumberFormat="1" applyFont="1"/>
    <xf numFmtId="9" fontId="29" fillId="0" borderId="0" xfId="2" applyFont="1"/>
    <xf numFmtId="0" fontId="2" fillId="0" borderId="22" xfId="0" applyFont="1" applyBorder="1"/>
    <xf numFmtId="0" fontId="25" fillId="0" borderId="21" xfId="0" applyFont="1" applyBorder="1" applyAlignment="1">
      <alignment wrapText="1"/>
    </xf>
    <xf numFmtId="167" fontId="6" fillId="0" borderId="0" xfId="0" applyNumberFormat="1" applyFont="1"/>
    <xf numFmtId="0" fontId="28" fillId="0" borderId="6" xfId="0" applyFont="1" applyBorder="1"/>
    <xf numFmtId="164" fontId="28" fillId="0" borderId="23" xfId="1" applyNumberFormat="1" applyFont="1" applyBorder="1"/>
    <xf numFmtId="164" fontId="6" fillId="0" borderId="23" xfId="1" applyNumberFormat="1" applyFont="1" applyBorder="1"/>
    <xf numFmtId="0" fontId="28" fillId="0" borderId="23" xfId="1" applyNumberFormat="1" applyFont="1" applyBorder="1"/>
    <xf numFmtId="1" fontId="28" fillId="0" borderId="7" xfId="0" applyNumberFormat="1" applyFont="1" applyBorder="1"/>
    <xf numFmtId="0" fontId="28" fillId="0" borderId="8" xfId="0" applyFont="1" applyBorder="1"/>
    <xf numFmtId="164" fontId="28" fillId="0" borderId="0" xfId="1" applyNumberFormat="1" applyFont="1" applyBorder="1"/>
    <xf numFmtId="164" fontId="6" fillId="0" borderId="0" xfId="1" applyNumberFormat="1" applyFont="1" applyBorder="1"/>
    <xf numFmtId="0" fontId="28" fillId="0" borderId="0" xfId="1" applyNumberFormat="1" applyFont="1" applyBorder="1"/>
    <xf numFmtId="1" fontId="28" fillId="0" borderId="9" xfId="0" applyNumberFormat="1" applyFont="1" applyBorder="1"/>
    <xf numFmtId="164" fontId="22" fillId="0" borderId="0" xfId="1" applyNumberFormat="1" applyFont="1" applyBorder="1"/>
    <xf numFmtId="0" fontId="22" fillId="0" borderId="10" xfId="0" applyFont="1" applyBorder="1"/>
    <xf numFmtId="164" fontId="22" fillId="0" borderId="24" xfId="1" applyNumberFormat="1" applyFont="1" applyBorder="1"/>
    <xf numFmtId="164" fontId="28" fillId="0" borderId="24" xfId="1" applyNumberFormat="1" applyFont="1" applyBorder="1"/>
    <xf numFmtId="0" fontId="28" fillId="0" borderId="24" xfId="1" applyNumberFormat="1" applyFont="1" applyBorder="1"/>
    <xf numFmtId="1" fontId="28" fillId="0" borderId="11" xfId="0" applyNumberFormat="1" applyFont="1" applyBorder="1"/>
    <xf numFmtId="164" fontId="6" fillId="0" borderId="25" xfId="0" applyNumberFormat="1" applyFont="1" applyBorder="1"/>
    <xf numFmtId="164" fontId="6" fillId="0" borderId="26" xfId="0" applyNumberFormat="1" applyFont="1" applyBorder="1"/>
    <xf numFmtId="164" fontId="6" fillId="0" borderId="27" xfId="0" applyNumberFormat="1" applyFont="1" applyBorder="1"/>
    <xf numFmtId="164" fontId="28" fillId="8" borderId="23" xfId="1" applyNumberFormat="1" applyFont="1" applyFill="1" applyBorder="1"/>
    <xf numFmtId="164" fontId="28" fillId="8" borderId="0" xfId="1" applyNumberFormat="1" applyFont="1" applyFill="1" applyBorder="1"/>
    <xf numFmtId="164" fontId="28" fillId="8" borderId="24" xfId="1" applyNumberFormat="1" applyFont="1" applyFill="1" applyBorder="1"/>
    <xf numFmtId="0" fontId="25" fillId="0" borderId="0" xfId="0" applyFont="1" applyBorder="1" applyAlignment="1">
      <alignment wrapText="1"/>
    </xf>
    <xf numFmtId="0" fontId="6" fillId="0" borderId="6" xfId="0" applyFont="1" applyBorder="1"/>
    <xf numFmtId="167" fontId="6" fillId="0" borderId="23" xfId="0" applyNumberFormat="1" applyFont="1" applyBorder="1"/>
    <xf numFmtId="167" fontId="6" fillId="0" borderId="7" xfId="0" applyNumberFormat="1" applyFont="1" applyBorder="1"/>
    <xf numFmtId="0" fontId="6" fillId="0" borderId="8" xfId="0" applyFont="1" applyBorder="1"/>
    <xf numFmtId="167" fontId="6" fillId="0" borderId="0" xfId="0" applyNumberFormat="1" applyFont="1" applyBorder="1"/>
    <xf numFmtId="167" fontId="6" fillId="0" borderId="9" xfId="0" applyNumberFormat="1" applyFont="1" applyBorder="1"/>
    <xf numFmtId="0" fontId="6" fillId="0" borderId="10" xfId="0" applyFont="1" applyBorder="1"/>
    <xf numFmtId="167" fontId="6" fillId="0" borderId="24" xfId="0" applyNumberFormat="1" applyFont="1" applyBorder="1"/>
    <xf numFmtId="167" fontId="6" fillId="0" borderId="11" xfId="0" applyNumberFormat="1" applyFont="1" applyBorder="1"/>
    <xf numFmtId="165" fontId="31" fillId="0" borderId="0" xfId="0" applyNumberFormat="1" applyFont="1"/>
    <xf numFmtId="0" fontId="6" fillId="0" borderId="0" xfId="0" applyFont="1" applyBorder="1"/>
    <xf numFmtId="165" fontId="29" fillId="0" borderId="0" xfId="0" applyNumberFormat="1" applyFont="1" applyBorder="1"/>
    <xf numFmtId="165" fontId="29" fillId="0" borderId="4" xfId="0" applyNumberFormat="1" applyFont="1" applyBorder="1"/>
    <xf numFmtId="164" fontId="31" fillId="0" borderId="0" xfId="1" applyNumberFormat="1" applyFont="1"/>
    <xf numFmtId="9" fontId="30" fillId="0" borderId="0" xfId="2" applyFont="1"/>
    <xf numFmtId="0" fontId="26" fillId="0" borderId="0" xfId="0" applyFont="1"/>
    <xf numFmtId="14" fontId="26" fillId="0" borderId="0" xfId="0" applyNumberFormat="1" applyFont="1"/>
    <xf numFmtId="0" fontId="2" fillId="9" borderId="28" xfId="0" applyFont="1" applyFill="1" applyBorder="1"/>
    <xf numFmtId="0" fontId="2" fillId="9" borderId="30" xfId="0" applyFont="1" applyFill="1" applyBorder="1"/>
    <xf numFmtId="0" fontId="2" fillId="7" borderId="28" xfId="0" applyFont="1" applyFill="1" applyBorder="1"/>
    <xf numFmtId="0" fontId="29" fillId="9" borderId="29" xfId="0" applyFont="1" applyFill="1" applyBorder="1"/>
    <xf numFmtId="0" fontId="29" fillId="7" borderId="31" xfId="0" applyFont="1" applyFill="1" applyBorder="1"/>
    <xf numFmtId="0" fontId="29" fillId="9" borderId="31" xfId="0" applyFont="1" applyFill="1" applyBorder="1"/>
    <xf numFmtId="0" fontId="32" fillId="0" borderId="0" xfId="0" applyFont="1"/>
    <xf numFmtId="0" fontId="33" fillId="3" borderId="0" xfId="0" applyFont="1" applyFill="1" applyAlignment="1">
      <alignment vertical="top"/>
    </xf>
    <xf numFmtId="0" fontId="7" fillId="0" borderId="0" xfId="0" applyFont="1" applyBorder="1"/>
    <xf numFmtId="41" fontId="7" fillId="0" borderId="0" xfId="0" applyNumberFormat="1" applyFont="1" applyBorder="1" applyAlignment="1">
      <alignment horizontal="center"/>
    </xf>
    <xf numFmtId="0" fontId="0" fillId="0" borderId="0" xfId="0" applyAlignment="1">
      <alignment horizontal="left"/>
    </xf>
    <xf numFmtId="0" fontId="0" fillId="0" borderId="0" xfId="0" applyNumberFormat="1"/>
    <xf numFmtId="41" fontId="5" fillId="2" borderId="0" xfId="0" applyNumberFormat="1" applyFont="1" applyFill="1" applyBorder="1" applyAlignment="1">
      <alignment horizontal="center"/>
    </xf>
    <xf numFmtId="41" fontId="2" fillId="0" borderId="0" xfId="0" applyNumberFormat="1" applyFont="1" applyBorder="1" applyAlignment="1">
      <alignment horizontal="center"/>
    </xf>
    <xf numFmtId="0" fontId="18" fillId="2" borderId="0" xfId="0" applyFont="1" applyFill="1" applyBorder="1"/>
    <xf numFmtId="1" fontId="6" fillId="0" borderId="0" xfId="0" applyNumberFormat="1" applyFont="1" applyFill="1" applyBorder="1"/>
    <xf numFmtId="1" fontId="19" fillId="0" borderId="0" xfId="0" applyNumberFormat="1" applyFont="1" applyBorder="1"/>
    <xf numFmtId="166" fontId="7" fillId="0" borderId="34" xfId="0" applyNumberFormat="1" applyFont="1" applyBorder="1" applyAlignment="1">
      <alignment horizontal="center"/>
    </xf>
    <xf numFmtId="166" fontId="5" fillId="0" borderId="34" xfId="0" applyNumberFormat="1" applyFont="1" applyFill="1" applyBorder="1" applyAlignment="1">
      <alignment horizontal="center"/>
    </xf>
    <xf numFmtId="0" fontId="2" fillId="0" borderId="34" xfId="0" applyFont="1" applyBorder="1" applyAlignment="1">
      <alignment horizontal="center"/>
    </xf>
    <xf numFmtId="1" fontId="5" fillId="2" borderId="34" xfId="0" applyNumberFormat="1" applyFont="1" applyFill="1" applyBorder="1" applyAlignment="1">
      <alignment horizontal="center"/>
    </xf>
    <xf numFmtId="1" fontId="17" fillId="0" borderId="34" xfId="0" applyNumberFormat="1" applyFont="1" applyFill="1" applyBorder="1" applyAlignment="1">
      <alignment horizontal="center"/>
    </xf>
    <xf numFmtId="0" fontId="2" fillId="0" borderId="34" xfId="0" applyFont="1" applyBorder="1"/>
    <xf numFmtId="0" fontId="18" fillId="2" borderId="34" xfId="0" applyFont="1" applyFill="1" applyBorder="1"/>
    <xf numFmtId="1" fontId="7" fillId="0" borderId="34" xfId="0" applyNumberFormat="1" applyFont="1" applyBorder="1" applyAlignment="1">
      <alignment horizontal="center"/>
    </xf>
    <xf numFmtId="1" fontId="19" fillId="0" borderId="34" xfId="0" applyNumberFormat="1" applyFont="1" applyBorder="1"/>
    <xf numFmtId="1" fontId="20" fillId="6" borderId="35" xfId="0" applyNumberFormat="1" applyFont="1" applyFill="1" applyBorder="1" applyAlignment="1">
      <alignment horizontal="center"/>
    </xf>
    <xf numFmtId="164" fontId="2" fillId="0" borderId="0" xfId="0" applyNumberFormat="1" applyFont="1"/>
    <xf numFmtId="166" fontId="28" fillId="0" borderId="7" xfId="0" applyNumberFormat="1" applyFont="1" applyBorder="1"/>
    <xf numFmtId="166" fontId="28" fillId="0" borderId="9" xfId="0" applyNumberFormat="1" applyFont="1" applyBorder="1"/>
    <xf numFmtId="0" fontId="35" fillId="0" borderId="0" xfId="0" applyFont="1" applyFill="1"/>
    <xf numFmtId="168" fontId="7" fillId="0" borderId="0" xfId="0" applyNumberFormat="1" applyFont="1" applyBorder="1" applyAlignment="1">
      <alignment horizontal="center"/>
    </xf>
    <xf numFmtId="165" fontId="5" fillId="2" borderId="0" xfId="0" applyNumberFormat="1" applyFont="1" applyFill="1" applyBorder="1"/>
    <xf numFmtId="165" fontId="5" fillId="2" borderId="38" xfId="0" applyNumberFormat="1" applyFont="1" applyFill="1" applyBorder="1"/>
    <xf numFmtId="165" fontId="7" fillId="0" borderId="0" xfId="0" applyNumberFormat="1" applyFont="1" applyBorder="1"/>
    <xf numFmtId="165" fontId="5" fillId="2" borderId="33" xfId="0" applyNumberFormat="1" applyFont="1" applyFill="1" applyBorder="1"/>
    <xf numFmtId="164" fontId="17" fillId="6" borderId="5" xfId="1" applyNumberFormat="1" applyFont="1" applyFill="1" applyBorder="1"/>
    <xf numFmtId="0" fontId="6" fillId="0" borderId="47" xfId="0" applyFont="1" applyBorder="1"/>
    <xf numFmtId="168" fontId="7" fillId="0" borderId="48" xfId="0" applyNumberFormat="1" applyFont="1" applyBorder="1" applyAlignment="1">
      <alignment horizontal="center"/>
    </xf>
    <xf numFmtId="0" fontId="2" fillId="0" borderId="47" xfId="0" applyFont="1" applyBorder="1"/>
    <xf numFmtId="41" fontId="2" fillId="0" borderId="48" xfId="0" applyNumberFormat="1" applyFont="1" applyBorder="1" applyAlignment="1">
      <alignment horizontal="center"/>
    </xf>
    <xf numFmtId="0" fontId="5" fillId="10" borderId="47" xfId="0" applyFont="1" applyFill="1" applyBorder="1"/>
    <xf numFmtId="0" fontId="5" fillId="10" borderId="0" xfId="0" applyFont="1" applyFill="1" applyBorder="1"/>
    <xf numFmtId="168" fontId="5" fillId="10" borderId="0" xfId="0" applyNumberFormat="1" applyFont="1" applyFill="1" applyBorder="1" applyAlignment="1">
      <alignment horizontal="center"/>
    </xf>
    <xf numFmtId="41" fontId="5" fillId="10" borderId="0" xfId="0" applyNumberFormat="1" applyFont="1" applyFill="1" applyBorder="1" applyAlignment="1">
      <alignment horizontal="center"/>
    </xf>
    <xf numFmtId="41" fontId="5" fillId="10" borderId="48" xfId="0" applyNumberFormat="1" applyFont="1" applyFill="1" applyBorder="1" applyAlignment="1">
      <alignment horizontal="center"/>
    </xf>
    <xf numFmtId="166" fontId="5" fillId="10" borderId="32" xfId="0" applyNumberFormat="1" applyFont="1" applyFill="1" applyBorder="1" applyAlignment="1">
      <alignment horizontal="center"/>
    </xf>
    <xf numFmtId="168" fontId="5" fillId="10" borderId="37" xfId="0" applyNumberFormat="1" applyFont="1" applyFill="1" applyBorder="1" applyAlignment="1">
      <alignment horizontal="center"/>
    </xf>
    <xf numFmtId="0" fontId="13" fillId="11" borderId="42" xfId="0" applyFont="1" applyFill="1" applyBorder="1"/>
    <xf numFmtId="0" fontId="13" fillId="11" borderId="43" xfId="0" applyFont="1" applyFill="1" applyBorder="1"/>
    <xf numFmtId="0" fontId="13" fillId="11" borderId="44" xfId="0" applyFont="1" applyFill="1" applyBorder="1"/>
    <xf numFmtId="0" fontId="13" fillId="11" borderId="47" xfId="0" applyFont="1" applyFill="1" applyBorder="1"/>
    <xf numFmtId="0" fontId="13" fillId="11" borderId="0" xfId="0" applyFont="1" applyFill="1" applyBorder="1"/>
    <xf numFmtId="0" fontId="14" fillId="11" borderId="34" xfId="0" applyFont="1" applyFill="1" applyBorder="1" applyAlignment="1">
      <alignment horizontal="center"/>
    </xf>
    <xf numFmtId="0" fontId="15" fillId="11" borderId="0" xfId="0" applyFont="1" applyFill="1" applyBorder="1"/>
    <xf numFmtId="0" fontId="15" fillId="11" borderId="48" xfId="0" applyFont="1" applyFill="1" applyBorder="1" applyAlignment="1">
      <alignment horizontal="center"/>
    </xf>
    <xf numFmtId="0" fontId="13" fillId="11" borderId="34" xfId="0" applyFont="1" applyFill="1" applyBorder="1"/>
    <xf numFmtId="0" fontId="5" fillId="10" borderId="50" xfId="0" applyFont="1" applyFill="1" applyBorder="1"/>
    <xf numFmtId="0" fontId="5" fillId="10" borderId="33" xfId="0" applyFont="1" applyFill="1" applyBorder="1"/>
    <xf numFmtId="166" fontId="5" fillId="10" borderId="35" xfId="0" applyNumberFormat="1" applyFont="1" applyFill="1" applyBorder="1" applyAlignment="1">
      <alignment horizontal="center"/>
    </xf>
    <xf numFmtId="41" fontId="5" fillId="10" borderId="33" xfId="0" applyNumberFormat="1" applyFont="1" applyFill="1" applyBorder="1" applyAlignment="1">
      <alignment horizontal="center"/>
    </xf>
    <xf numFmtId="168" fontId="5" fillId="10" borderId="33" xfId="0" applyNumberFormat="1" applyFont="1" applyFill="1" applyBorder="1" applyAlignment="1">
      <alignment horizontal="center"/>
    </xf>
    <xf numFmtId="168" fontId="5" fillId="10" borderId="51" xfId="0" applyNumberFormat="1" applyFont="1" applyFill="1" applyBorder="1" applyAlignment="1">
      <alignment horizontal="center"/>
    </xf>
    <xf numFmtId="166" fontId="36" fillId="11" borderId="41" xfId="0" applyNumberFormat="1" applyFont="1" applyFill="1" applyBorder="1" applyAlignment="1">
      <alignment horizontal="center"/>
    </xf>
    <xf numFmtId="166" fontId="36" fillId="11" borderId="39" xfId="0" applyNumberFormat="1" applyFont="1" applyFill="1" applyBorder="1" applyAlignment="1">
      <alignment horizontal="center"/>
    </xf>
    <xf numFmtId="0" fontId="7" fillId="0" borderId="0" xfId="0" applyFont="1" applyBorder="1" applyAlignment="1">
      <alignment wrapText="1"/>
    </xf>
    <xf numFmtId="0" fontId="36" fillId="11" borderId="52" xfId="0" applyFont="1" applyFill="1" applyBorder="1" applyAlignment="1"/>
    <xf numFmtId="164" fontId="16" fillId="11" borderId="53" xfId="1" applyNumberFormat="1" applyFont="1" applyFill="1" applyBorder="1"/>
    <xf numFmtId="164" fontId="16" fillId="11" borderId="33" xfId="1" applyNumberFormat="1" applyFont="1" applyFill="1" applyBorder="1"/>
    <xf numFmtId="164" fontId="16" fillId="11" borderId="51" xfId="1" applyNumberFormat="1" applyFont="1" applyFill="1" applyBorder="1"/>
    <xf numFmtId="0" fontId="14" fillId="3" borderId="2" xfId="0" applyFont="1" applyFill="1" applyBorder="1"/>
    <xf numFmtId="0" fontId="14" fillId="3" borderId="54" xfId="0" applyFont="1" applyFill="1" applyBorder="1"/>
    <xf numFmtId="0" fontId="13" fillId="3" borderId="1" xfId="0" applyFont="1" applyFill="1" applyBorder="1" applyAlignment="1">
      <alignment horizontal="center"/>
    </xf>
    <xf numFmtId="9" fontId="37" fillId="5" borderId="0" xfId="0" applyNumberFormat="1" applyFont="1" applyFill="1"/>
    <xf numFmtId="0" fontId="34" fillId="0" borderId="0" xfId="0" applyFont="1" applyFill="1" applyBorder="1" applyAlignment="1">
      <alignment wrapText="1"/>
    </xf>
    <xf numFmtId="169" fontId="13" fillId="12" borderId="0" xfId="0" applyNumberFormat="1" applyFont="1" applyFill="1"/>
    <xf numFmtId="170" fontId="13" fillId="12" borderId="0" xfId="0" applyNumberFormat="1" applyFont="1" applyFill="1"/>
    <xf numFmtId="0" fontId="8" fillId="3" borderId="55" xfId="0" applyFont="1" applyFill="1" applyBorder="1" applyAlignment="1">
      <alignment horizontal="center" vertical="top"/>
    </xf>
    <xf numFmtId="0" fontId="8" fillId="3" borderId="56" xfId="0" applyFont="1" applyFill="1" applyBorder="1" applyAlignment="1">
      <alignment horizontal="center" vertical="top"/>
    </xf>
    <xf numFmtId="0" fontId="7" fillId="0" borderId="66" xfId="0" applyFont="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0" fontId="7" fillId="0" borderId="71" xfId="0" applyFont="1" applyBorder="1" applyAlignment="1">
      <alignment horizontal="center" vertical="center"/>
    </xf>
    <xf numFmtId="0" fontId="5" fillId="0" borderId="0" xfId="0" applyFont="1" applyAlignment="1">
      <alignment horizontal="center"/>
    </xf>
    <xf numFmtId="166" fontId="5" fillId="0" borderId="0" xfId="0" applyNumberFormat="1" applyFont="1" applyAlignment="1">
      <alignment horizontal="center"/>
    </xf>
    <xf numFmtId="0" fontId="5" fillId="0" borderId="0" xfId="0" applyFont="1"/>
    <xf numFmtId="2" fontId="13" fillId="12" borderId="0" xfId="0" applyNumberFormat="1" applyFont="1" applyFill="1"/>
    <xf numFmtId="0" fontId="2" fillId="0" borderId="0" xfId="0" applyNumberFormat="1" applyFont="1" applyAlignment="1">
      <alignment vertical="top"/>
    </xf>
    <xf numFmtId="0" fontId="2" fillId="0" borderId="0" xfId="0" applyFont="1" applyBorder="1" applyAlignment="1">
      <alignment vertical="top"/>
    </xf>
    <xf numFmtId="0" fontId="2" fillId="0" borderId="0" xfId="0" applyNumberFormat="1" applyFont="1" applyBorder="1" applyAlignment="1">
      <alignment vertical="top"/>
    </xf>
    <xf numFmtId="0" fontId="38" fillId="0" borderId="0" xfId="0" applyFont="1"/>
    <xf numFmtId="0" fontId="2" fillId="0" borderId="0" xfId="0" applyFont="1" applyBorder="1" applyAlignment="1">
      <alignment wrapText="1"/>
    </xf>
    <xf numFmtId="0" fontId="39" fillId="0" borderId="0" xfId="0" applyFont="1" applyAlignment="1">
      <alignment vertical="top"/>
    </xf>
    <xf numFmtId="0" fontId="39" fillId="0" borderId="0" xfId="0" applyFont="1" applyBorder="1" applyAlignment="1">
      <alignment vertical="top"/>
    </xf>
    <xf numFmtId="0" fontId="39" fillId="0" borderId="0" xfId="0" applyNumberFormat="1" applyFont="1" applyAlignment="1">
      <alignment vertical="top"/>
    </xf>
    <xf numFmtId="167" fontId="2" fillId="0" borderId="0" xfId="0" applyNumberFormat="1" applyFont="1"/>
    <xf numFmtId="0" fontId="40" fillId="0" borderId="38" xfId="0" applyFont="1" applyBorder="1" applyAlignment="1">
      <alignment vertical="center"/>
    </xf>
    <xf numFmtId="0" fontId="40" fillId="0" borderId="72" xfId="0" applyFont="1" applyBorder="1" applyAlignment="1">
      <alignment vertical="center"/>
    </xf>
    <xf numFmtId="0" fontId="41" fillId="0" borderId="72" xfId="0" applyFont="1" applyBorder="1" applyAlignment="1">
      <alignment vertical="center"/>
    </xf>
    <xf numFmtId="0" fontId="40" fillId="0" borderId="32" xfId="0" applyFont="1" applyBorder="1" applyAlignment="1">
      <alignment vertical="center" wrapText="1"/>
    </xf>
    <xf numFmtId="0" fontId="40" fillId="0" borderId="35" xfId="0" applyFont="1" applyBorder="1" applyAlignment="1">
      <alignment vertical="center" wrapText="1"/>
    </xf>
    <xf numFmtId="0" fontId="40" fillId="0" borderId="34" xfId="0" applyFont="1" applyBorder="1" applyAlignment="1">
      <alignment vertical="center" wrapText="1"/>
    </xf>
    <xf numFmtId="0" fontId="0" fillId="0" borderId="0" xfId="0" applyAlignment="1">
      <alignment wrapText="1"/>
    </xf>
    <xf numFmtId="0" fontId="42" fillId="3" borderId="0" xfId="0" applyFont="1" applyFill="1" applyAlignment="1">
      <alignment vertical="top"/>
    </xf>
    <xf numFmtId="0" fontId="42" fillId="3" borderId="0" xfId="0" applyNumberFormat="1" applyFont="1" applyFill="1" applyAlignment="1">
      <alignment horizontal="center" vertical="top"/>
    </xf>
    <xf numFmtId="0" fontId="42" fillId="3" borderId="0" xfId="0" applyFont="1" applyFill="1" applyAlignment="1">
      <alignment horizontal="left" vertical="top"/>
    </xf>
    <xf numFmtId="0" fontId="6" fillId="0" borderId="0" xfId="0" applyNumberFormat="1" applyFont="1" applyAlignment="1">
      <alignment vertical="top" wrapText="1"/>
    </xf>
    <xf numFmtId="0" fontId="6" fillId="7" borderId="74" xfId="0" applyFont="1" applyFill="1" applyBorder="1" applyAlignment="1">
      <alignment horizontal="left" vertical="top" wrapText="1"/>
    </xf>
    <xf numFmtId="0" fontId="6" fillId="0" borderId="0" xfId="0" applyFont="1" applyBorder="1" applyAlignment="1">
      <alignment horizontal="center" vertical="top"/>
    </xf>
    <xf numFmtId="0" fontId="6" fillId="0" borderId="0" xfId="0" applyFont="1" applyAlignment="1">
      <alignment vertical="top" wrapText="1"/>
    </xf>
    <xf numFmtId="0" fontId="6" fillId="0" borderId="0" xfId="0" applyFont="1" applyAlignment="1">
      <alignment vertical="top"/>
    </xf>
    <xf numFmtId="0" fontId="6" fillId="0" borderId="74" xfId="0" applyFont="1" applyBorder="1" applyAlignment="1">
      <alignment horizontal="left" vertical="top" wrapText="1"/>
    </xf>
    <xf numFmtId="0" fontId="43" fillId="0" borderId="35" xfId="0" applyFont="1" applyBorder="1" applyAlignment="1">
      <alignment vertical="center" wrapText="1"/>
    </xf>
    <xf numFmtId="0" fontId="0" fillId="0" borderId="0" xfId="0" applyAlignment="1">
      <alignment vertical="top" wrapText="1"/>
    </xf>
    <xf numFmtId="0" fontId="21" fillId="0" borderId="0" xfId="0" applyFont="1" applyAlignment="1">
      <alignment vertical="top"/>
    </xf>
    <xf numFmtId="0" fontId="2" fillId="0" borderId="0" xfId="0" applyFont="1" applyAlignment="1">
      <alignment wrapText="1"/>
    </xf>
    <xf numFmtId="0" fontId="8" fillId="3" borderId="0" xfId="0" applyFont="1" applyFill="1" applyAlignment="1">
      <alignment vertical="top" wrapText="1"/>
    </xf>
    <xf numFmtId="0" fontId="44" fillId="3" borderId="0" xfId="0" applyFont="1" applyFill="1" applyAlignment="1">
      <alignment vertical="top"/>
    </xf>
    <xf numFmtId="169" fontId="2" fillId="0" borderId="0" xfId="0" applyNumberFormat="1" applyFont="1"/>
    <xf numFmtId="1" fontId="45" fillId="6" borderId="36" xfId="0" applyNumberFormat="1" applyFont="1" applyFill="1" applyBorder="1" applyAlignment="1">
      <alignment horizontal="center"/>
    </xf>
    <xf numFmtId="41" fontId="46" fillId="6" borderId="5" xfId="0" applyNumberFormat="1" applyFont="1" applyFill="1" applyBorder="1" applyAlignment="1">
      <alignment horizontal="center"/>
    </xf>
    <xf numFmtId="164" fontId="45" fillId="6" borderId="5" xfId="1" applyNumberFormat="1" applyFont="1" applyFill="1" applyBorder="1"/>
    <xf numFmtId="7" fontId="2" fillId="0" borderId="0" xfId="0" applyNumberFormat="1" applyFont="1"/>
    <xf numFmtId="44" fontId="2" fillId="0" borderId="0" xfId="0" applyNumberFormat="1" applyFont="1"/>
    <xf numFmtId="0" fontId="2" fillId="0" borderId="0" xfId="0" applyFont="1" applyAlignment="1">
      <alignment horizontal="center"/>
    </xf>
    <xf numFmtId="166" fontId="2" fillId="0" borderId="0" xfId="0" applyNumberFormat="1" applyFont="1" applyAlignment="1">
      <alignment horizontal="center"/>
    </xf>
    <xf numFmtId="0" fontId="13" fillId="11" borderId="46" xfId="0" applyFont="1" applyFill="1" applyBorder="1" applyAlignment="1">
      <alignment horizontal="center"/>
    </xf>
    <xf numFmtId="166" fontId="36" fillId="11" borderId="0" xfId="0" applyNumberFormat="1" applyFont="1" applyFill="1" applyBorder="1" applyAlignment="1">
      <alignment horizontal="center"/>
    </xf>
    <xf numFmtId="0" fontId="13" fillId="11" borderId="45" xfId="0" applyFont="1" applyFill="1" applyBorder="1" applyAlignment="1"/>
    <xf numFmtId="0" fontId="13" fillId="11" borderId="43" xfId="0" applyFont="1" applyFill="1" applyBorder="1" applyAlignment="1"/>
    <xf numFmtId="0" fontId="13" fillId="11" borderId="46" xfId="0" applyFont="1" applyFill="1" applyBorder="1" applyAlignment="1"/>
    <xf numFmtId="0" fontId="7" fillId="0" borderId="56"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64" xfId="0" applyFont="1" applyBorder="1" applyAlignment="1">
      <alignment horizontal="left" vertical="center" wrapText="1"/>
    </xf>
    <xf numFmtId="0" fontId="7" fillId="0" borderId="3" xfId="0" applyFont="1" applyBorder="1" applyAlignment="1">
      <alignment horizontal="left" vertical="center" wrapText="1"/>
    </xf>
    <xf numFmtId="0" fontId="7" fillId="0" borderId="65" xfId="0" applyFont="1" applyBorder="1" applyAlignment="1">
      <alignment horizontal="left" vertical="center" wrapText="1"/>
    </xf>
    <xf numFmtId="0" fontId="7" fillId="0" borderId="62" xfId="0" applyFont="1" applyBorder="1" applyAlignment="1">
      <alignment horizontal="left" vertical="center" wrapText="1"/>
    </xf>
    <xf numFmtId="0" fontId="7" fillId="0" borderId="60" xfId="0" applyFont="1" applyBorder="1" applyAlignment="1">
      <alignment horizontal="left" vertical="center" wrapText="1"/>
    </xf>
    <xf numFmtId="0" fontId="7" fillId="0" borderId="61" xfId="0" applyFont="1" applyBorder="1" applyAlignment="1">
      <alignment horizontal="left" vertical="center" wrapText="1"/>
    </xf>
    <xf numFmtId="0" fontId="7" fillId="4" borderId="59" xfId="0" applyFont="1" applyFill="1" applyBorder="1" applyAlignment="1">
      <alignment horizontal="center" vertical="center" wrapText="1"/>
    </xf>
    <xf numFmtId="0" fontId="7" fillId="4" borderId="60" xfId="0" applyFont="1" applyFill="1" applyBorder="1" applyAlignment="1">
      <alignment horizontal="center" vertical="center" wrapText="1"/>
    </xf>
    <xf numFmtId="0" fontId="7" fillId="4" borderId="63" xfId="0" applyFont="1" applyFill="1" applyBorder="1" applyAlignment="1">
      <alignment horizontal="center" vertical="center" wrapText="1"/>
    </xf>
    <xf numFmtId="0" fontId="7" fillId="4" borderId="59" xfId="0" applyFont="1" applyFill="1" applyBorder="1" applyAlignment="1">
      <alignment horizontal="left" vertical="center" wrapText="1"/>
    </xf>
    <xf numFmtId="0" fontId="7" fillId="4" borderId="60" xfId="0" applyFont="1" applyFill="1" applyBorder="1" applyAlignment="1">
      <alignment horizontal="left" vertical="center" wrapText="1"/>
    </xf>
    <xf numFmtId="0" fontId="7" fillId="4" borderId="63" xfId="0" applyFont="1" applyFill="1" applyBorder="1" applyAlignment="1">
      <alignment horizontal="left" vertical="center" wrapText="1"/>
    </xf>
    <xf numFmtId="0" fontId="5" fillId="10" borderId="49" xfId="0" applyFont="1" applyFill="1" applyBorder="1" applyAlignment="1">
      <alignment horizontal="left"/>
    </xf>
    <xf numFmtId="0" fontId="5" fillId="10" borderId="38" xfId="0" applyFont="1" applyFill="1" applyBorder="1" applyAlignment="1">
      <alignment horizontal="left"/>
    </xf>
    <xf numFmtId="0" fontId="36" fillId="11" borderId="52" xfId="0" applyFont="1" applyFill="1" applyBorder="1" applyAlignment="1">
      <alignment horizontal="left"/>
    </xf>
    <xf numFmtId="0" fontId="36" fillId="11" borderId="40" xfId="0" applyFont="1" applyFill="1" applyBorder="1" applyAlignment="1">
      <alignment horizontal="left"/>
    </xf>
    <xf numFmtId="0" fontId="40" fillId="0" borderId="73" xfId="0" applyFont="1" applyBorder="1" applyAlignment="1">
      <alignment vertical="center"/>
    </xf>
    <xf numFmtId="0" fontId="40" fillId="0" borderId="34" xfId="0" applyFont="1" applyBorder="1" applyAlignment="1">
      <alignment vertical="center"/>
    </xf>
    <xf numFmtId="0" fontId="47" fillId="0" borderId="0" xfId="0" applyFont="1" applyAlignment="1">
      <alignment wrapText="1"/>
    </xf>
    <xf numFmtId="0" fontId="48" fillId="6" borderId="5" xfId="0" applyFont="1" applyFill="1" applyBorder="1" applyAlignment="1">
      <alignment horizontal="right"/>
    </xf>
    <xf numFmtId="0" fontId="5" fillId="2" borderId="0" xfId="0" applyFont="1" applyFill="1" applyAlignment="1">
      <alignment horizontal="left"/>
    </xf>
    <xf numFmtId="0" fontId="5" fillId="2" borderId="75" xfId="0" applyFont="1" applyFill="1" applyBorder="1" applyAlignment="1">
      <alignment horizontal="left"/>
    </xf>
  </cellXfs>
  <cellStyles count="3">
    <cellStyle name="Monétaire" xfId="1" builtinId="4"/>
    <cellStyle name="Normal" xfId="0" builtinId="0"/>
    <cellStyle name="Pourcentage" xfId="2" builtinId="5"/>
  </cellStyles>
  <dxfs count="101">
    <dxf>
      <font>
        <color rgb="FF006100"/>
      </font>
      <fill>
        <patternFill>
          <bgColor rgb="FFC6EFCE"/>
        </patternFill>
      </fill>
    </dxf>
    <dxf>
      <font>
        <b/>
        <color theme="0"/>
        <name val="Futura Medium"/>
        <scheme val="none"/>
      </font>
      <fill>
        <patternFill patternType="solid">
          <fgColor indexed="64"/>
          <bgColor theme="4"/>
        </patternFill>
      </fill>
      <alignment vertical="top" readingOrder="0"/>
    </dxf>
    <dxf>
      <font>
        <b/>
        <color theme="0"/>
        <name val="Futura Medium"/>
        <scheme val="none"/>
      </font>
      <fill>
        <patternFill patternType="solid">
          <fgColor indexed="64"/>
          <bgColor theme="4"/>
        </patternFill>
      </fill>
      <alignment vertical="top" readingOrder="0"/>
    </dxf>
    <dxf>
      <font>
        <b/>
        <color theme="0"/>
        <name val="Futura Medium"/>
        <scheme val="none"/>
      </font>
      <fill>
        <patternFill patternType="solid">
          <fgColor indexed="64"/>
          <bgColor theme="4"/>
        </patternFill>
      </fill>
      <alignment vertical="top" readingOrder="0"/>
    </dxf>
    <dxf>
      <font>
        <b/>
        <color theme="0"/>
        <name val="Futura Medium"/>
        <scheme val="none"/>
      </font>
      <fill>
        <patternFill patternType="solid">
          <fgColor indexed="64"/>
          <bgColor theme="4"/>
        </patternFill>
      </fill>
      <alignment vertical="top" readingOrder="0"/>
    </dxf>
    <dxf>
      <font>
        <b/>
        <color theme="0"/>
        <name val="Futura Medium"/>
        <scheme val="none"/>
      </font>
      <fill>
        <patternFill patternType="solid">
          <fgColor indexed="64"/>
          <bgColor theme="4"/>
        </patternFill>
      </fill>
      <alignment vertical="top" readingOrder="0"/>
    </dxf>
    <dxf>
      <font>
        <b/>
        <color theme="0"/>
        <name val="Futura Medium"/>
        <scheme val="none"/>
      </font>
      <fill>
        <patternFill patternType="solid">
          <fgColor indexed="64"/>
          <bgColor theme="4"/>
        </patternFill>
      </fill>
      <alignment vertical="top" readingOrder="0"/>
    </dxf>
    <dxf>
      <font>
        <b/>
        <color theme="0"/>
        <name val="Futura Medium"/>
        <scheme val="none"/>
      </font>
      <fill>
        <patternFill patternType="solid">
          <fgColor indexed="64"/>
          <bgColor theme="4"/>
        </patternFill>
      </fill>
      <alignment horizontal="left" vertical="top" readingOrder="0"/>
    </dxf>
    <dxf>
      <alignment horizontal="center" readingOrder="0"/>
    </dxf>
    <dxf>
      <alignment wrapText="1" readingOrder="0"/>
    </dxf>
    <dxf>
      <font>
        <b val="0"/>
        <i val="0"/>
        <strike val="0"/>
        <condense val="0"/>
        <extend val="0"/>
        <outline val="0"/>
        <shadow val="0"/>
        <u val="none"/>
        <vertAlign val="baseline"/>
        <sz val="9"/>
        <color theme="1"/>
        <name val="Futura Book"/>
        <scheme val="none"/>
      </font>
      <numFmt numFmtId="0" formatCode="General"/>
    </dxf>
    <dxf>
      <font>
        <b val="0"/>
        <i val="0"/>
        <strike val="0"/>
        <condense val="0"/>
        <extend val="0"/>
        <outline val="0"/>
        <shadow val="0"/>
        <u val="none"/>
        <vertAlign val="baseline"/>
        <sz val="9"/>
        <color theme="1"/>
        <name val="Futura Book"/>
        <scheme val="none"/>
      </font>
      <numFmt numFmtId="167" formatCode="#,##0\ &quot;€&quot;"/>
    </dxf>
    <dxf>
      <font>
        <b val="0"/>
        <i val="0"/>
        <strike val="0"/>
        <condense val="0"/>
        <extend val="0"/>
        <outline val="0"/>
        <shadow val="0"/>
        <u val="none"/>
        <vertAlign val="baseline"/>
        <sz val="9"/>
        <color theme="1"/>
        <name val="Futura Book"/>
        <scheme val="none"/>
      </font>
      <numFmt numFmtId="167" formatCode="#,##0\ &quot;€&quot;"/>
      <border diagonalUp="0" diagonalDown="0">
        <left/>
        <right style="medium">
          <color rgb="FFFF0000"/>
        </right>
        <top/>
        <bottom/>
        <vertical/>
        <horizontal/>
      </border>
    </dxf>
    <dxf>
      <font>
        <b val="0"/>
        <i val="0"/>
        <strike val="0"/>
        <condense val="0"/>
        <extend val="0"/>
        <outline val="0"/>
        <shadow val="0"/>
        <u val="none"/>
        <vertAlign val="baseline"/>
        <sz val="9"/>
        <color theme="1"/>
        <name val="Futura Book"/>
        <scheme val="none"/>
      </font>
      <numFmt numFmtId="167" formatCode="#,##0\ &quot;€&quot;"/>
    </dxf>
    <dxf>
      <font>
        <b val="0"/>
        <i val="0"/>
        <strike val="0"/>
        <condense val="0"/>
        <extend val="0"/>
        <outline val="0"/>
        <shadow val="0"/>
        <u val="none"/>
        <vertAlign val="baseline"/>
        <sz val="9"/>
        <color theme="1"/>
        <name val="Futura Book"/>
        <scheme val="none"/>
      </font>
      <border diagonalUp="0" diagonalDown="0">
        <left style="medium">
          <color rgb="FFFF0000"/>
        </left>
        <right/>
        <top/>
        <bottom/>
        <vertical/>
        <horizontal/>
      </border>
    </dxf>
    <dxf>
      <border outline="0">
        <top style="thin">
          <color theme="4"/>
        </top>
      </border>
    </dxf>
    <dxf>
      <font>
        <b val="0"/>
        <i val="0"/>
        <strike val="0"/>
        <condense val="0"/>
        <extend val="0"/>
        <outline val="0"/>
        <shadow val="0"/>
        <u val="none"/>
        <vertAlign val="baseline"/>
        <sz val="9"/>
        <color theme="1"/>
        <name val="Futura Book"/>
        <scheme val="none"/>
      </font>
    </dxf>
    <dxf>
      <border outline="0">
        <bottom style="thin">
          <color theme="4"/>
        </bottom>
      </border>
    </dxf>
    <dxf>
      <font>
        <b/>
        <i val="0"/>
        <strike val="0"/>
        <condense val="0"/>
        <extend val="0"/>
        <outline val="0"/>
        <shadow val="0"/>
        <u val="none"/>
        <vertAlign val="baseline"/>
        <sz val="9"/>
        <color theme="4" tint="-0.249977111117893"/>
        <name val="Futura Book"/>
        <scheme val="none"/>
      </font>
      <alignment horizontal="general" vertical="bottom" textRotation="0" wrapText="1" indent="0" justifyLastLine="0" shrinkToFit="0" readingOrder="0"/>
    </dxf>
    <dxf>
      <font>
        <b val="0"/>
        <i val="0"/>
        <strike val="0"/>
        <condense val="0"/>
        <extend val="0"/>
        <outline val="0"/>
        <shadow val="0"/>
        <u val="none"/>
        <vertAlign val="baseline"/>
        <sz val="9"/>
        <color theme="1"/>
        <name val="Futura Book"/>
        <scheme val="none"/>
      </font>
      <numFmt numFmtId="13" formatCode="0%"/>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1"/>
        <name val="Futura Book"/>
        <scheme val="none"/>
      </font>
      <numFmt numFmtId="164" formatCode="_-* #,##0\ &quot;€&quot;_-;\-* #,##0\ &quot;€&quot;_-;_-* &quot;-&quot;??\ &quot;€&quot;_-;_-@_-"/>
      <border diagonalUp="0" diagonalDown="0">
        <left style="medium">
          <color rgb="FFFF0000"/>
        </left>
        <right style="medium">
          <color rgb="FFFF0000"/>
        </right>
        <top/>
        <bottom/>
        <vertical/>
        <horizontal/>
      </border>
    </dxf>
    <dxf>
      <font>
        <b val="0"/>
        <i val="0"/>
        <strike val="0"/>
        <condense val="0"/>
        <extend val="0"/>
        <outline val="0"/>
        <shadow val="0"/>
        <u val="none"/>
        <vertAlign val="baseline"/>
        <sz val="9"/>
        <color theme="2" tint="-0.499984740745262"/>
        <name val="Futura Book"/>
        <scheme val="none"/>
      </font>
      <numFmt numFmtId="164" formatCode="_-* #,##0\ &quot;€&quot;_-;\-* #,##0\ &quot;€&quot;_-;_-* &quot;-&quot;??\ &quot;€&quot;_-;_-@_-"/>
    </dxf>
    <dxf>
      <font>
        <b val="0"/>
        <i val="0"/>
        <strike val="0"/>
        <condense val="0"/>
        <extend val="0"/>
        <outline val="0"/>
        <shadow val="0"/>
        <u val="none"/>
        <vertAlign val="baseline"/>
        <sz val="9"/>
        <color theme="3" tint="-0.499984740745262"/>
        <name val="Futura Book"/>
        <scheme val="none"/>
      </font>
      <numFmt numFmtId="1" formatCode="0"/>
      <border diagonalUp="0" diagonalDown="0">
        <left/>
        <right style="medium">
          <color rgb="FFFF0000"/>
        </right>
        <top/>
        <bottom/>
        <vertical/>
        <horizontal/>
      </border>
    </dxf>
    <dxf>
      <font>
        <b val="0"/>
        <i val="0"/>
        <strike val="0"/>
        <condense val="0"/>
        <extend val="0"/>
        <outline val="0"/>
        <shadow val="0"/>
        <u val="none"/>
        <vertAlign val="baseline"/>
        <sz val="9"/>
        <color theme="3" tint="-0.499984740745262"/>
        <name val="Futura Book"/>
        <scheme val="none"/>
      </font>
      <numFmt numFmtId="0" formatCode="General"/>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3" tint="-0.499984740745262"/>
        <name val="Futura Book"/>
        <scheme val="none"/>
      </font>
      <numFmt numFmtId="164" formatCode="_-* #,##0\ &quot;€&quot;_-;\-* #,##0\ &quot;€&quot;_-;_-* &quot;-&quot;??\ &quot;€&quot;_-;_-@_-"/>
      <fill>
        <patternFill patternType="lightUp">
          <fgColor theme="2" tint="-0.24994659260841701"/>
          <bgColor theme="2" tint="-9.9948118533890809E-2"/>
        </patternFill>
      </fill>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1"/>
        <name val="Futura Book"/>
        <scheme val="none"/>
      </font>
      <border diagonalUp="0" diagonalDown="0">
        <left style="medium">
          <color rgb="FFFF0000"/>
        </left>
        <right/>
        <top/>
        <bottom/>
        <vertical/>
        <horizontal/>
      </border>
    </dxf>
    <dxf>
      <font>
        <b val="0"/>
        <i val="0"/>
        <strike val="0"/>
        <condense val="0"/>
        <extend val="0"/>
        <outline val="0"/>
        <shadow val="0"/>
        <u val="none"/>
        <vertAlign val="baseline"/>
        <sz val="9"/>
        <color theme="1"/>
        <name val="Futura Book"/>
        <scheme val="none"/>
      </font>
    </dxf>
    <dxf>
      <font>
        <b val="0"/>
        <i val="0"/>
        <strike val="0"/>
        <condense val="0"/>
        <extend val="0"/>
        <outline val="0"/>
        <shadow val="0"/>
        <u val="none"/>
        <vertAlign val="baseline"/>
        <sz val="9"/>
        <color theme="1"/>
        <name val="Futura Book"/>
        <scheme val="none"/>
      </font>
    </dxf>
    <dxf>
      <font>
        <b val="0"/>
        <i val="0"/>
        <strike val="0"/>
        <condense val="0"/>
        <extend val="0"/>
        <outline val="0"/>
        <shadow val="0"/>
        <u val="none"/>
        <vertAlign val="baseline"/>
        <sz val="9"/>
        <color theme="1"/>
        <name val="Futura Book"/>
        <scheme val="none"/>
      </font>
      <numFmt numFmtId="13" formatCode="0%"/>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1"/>
        <name val="Futura Book"/>
        <scheme val="none"/>
      </font>
      <numFmt numFmtId="164" formatCode="_-* #,##0\ &quot;€&quot;_-;\-* #,##0\ &quot;€&quot;_-;_-* &quot;-&quot;??\ &quot;€&quot;_-;_-@_-"/>
      <border diagonalUp="0" diagonalDown="0">
        <left style="medium">
          <color rgb="FFFF0000"/>
        </left>
        <right style="medium">
          <color rgb="FFFF0000"/>
        </right>
        <top/>
        <bottom/>
        <vertical/>
        <horizontal/>
      </border>
    </dxf>
    <dxf>
      <font>
        <b val="0"/>
        <i val="0"/>
        <strike val="0"/>
        <condense val="0"/>
        <extend val="0"/>
        <outline val="0"/>
        <shadow val="0"/>
        <u val="none"/>
        <vertAlign val="baseline"/>
        <sz val="9"/>
        <color theme="2" tint="-0.499984740745262"/>
        <name val="Futura Book"/>
        <scheme val="none"/>
      </font>
      <numFmt numFmtId="164" formatCode="_-* #,##0\ &quot;€&quot;_-;\-* #,##0\ &quot;€&quot;_-;_-* &quot;-&quot;??\ &quot;€&quot;_-;_-@_-"/>
    </dxf>
    <dxf>
      <font>
        <b val="0"/>
        <i val="0"/>
        <strike val="0"/>
        <condense val="0"/>
        <extend val="0"/>
        <outline val="0"/>
        <shadow val="0"/>
        <u val="none"/>
        <vertAlign val="baseline"/>
        <sz val="9"/>
        <color theme="3" tint="-0.499984740745262"/>
        <name val="Futura Book"/>
        <scheme val="none"/>
      </font>
      <numFmt numFmtId="1" formatCode="0"/>
      <border diagonalUp="0" diagonalDown="0">
        <left/>
        <right style="medium">
          <color rgb="FFFF0000"/>
        </right>
        <top/>
        <bottom/>
        <vertical/>
        <horizontal/>
      </border>
    </dxf>
    <dxf>
      <font>
        <b val="0"/>
        <i val="0"/>
        <strike val="0"/>
        <condense val="0"/>
        <extend val="0"/>
        <outline val="0"/>
        <shadow val="0"/>
        <u val="none"/>
        <vertAlign val="baseline"/>
        <sz val="9"/>
        <color theme="3" tint="-0.499984740745262"/>
        <name val="Futura Book"/>
        <scheme val="none"/>
      </font>
      <numFmt numFmtId="0" formatCode="General"/>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3" tint="-0.499984740745262"/>
        <name val="Futura Book"/>
        <scheme val="none"/>
      </font>
      <numFmt numFmtId="164" formatCode="_-* #,##0\ &quot;€&quot;_-;\-* #,##0\ &quot;€&quot;_-;_-* &quot;-&quot;??\ &quot;€&quot;_-;_-@_-"/>
    </dxf>
    <dxf>
      <font>
        <b val="0"/>
        <i val="0"/>
        <strike val="0"/>
        <condense val="0"/>
        <extend val="0"/>
        <outline val="0"/>
        <shadow val="0"/>
        <u val="none"/>
        <vertAlign val="baseline"/>
        <sz val="9"/>
        <color theme="1"/>
        <name val="Futura Book"/>
        <scheme val="none"/>
      </font>
      <numFmt numFmtId="164" formatCode="_-* #,##0\ &quot;€&quot;_-;\-* #,##0\ &quot;€&quot;_-;_-* &quot;-&quot;??\ &quot;€&quot;_-;_-@_-"/>
    </dxf>
    <dxf>
      <font>
        <b val="0"/>
        <i val="0"/>
        <strike val="0"/>
        <condense val="0"/>
        <extend val="0"/>
        <outline val="0"/>
        <shadow val="0"/>
        <u val="none"/>
        <vertAlign val="baseline"/>
        <sz val="9"/>
        <color theme="1"/>
        <name val="Futura Book"/>
        <scheme val="none"/>
      </font>
      <border diagonalUp="0" diagonalDown="0">
        <left style="medium">
          <color rgb="FFFF0000"/>
        </left>
        <right/>
        <top/>
        <bottom/>
        <vertical/>
        <horizontal/>
      </border>
    </dxf>
    <dxf>
      <font>
        <b val="0"/>
        <i val="0"/>
        <strike val="0"/>
        <condense val="0"/>
        <extend val="0"/>
        <outline val="0"/>
        <shadow val="0"/>
        <u val="none"/>
        <vertAlign val="baseline"/>
        <sz val="9"/>
        <color theme="1"/>
        <name val="Futura Book"/>
        <scheme val="none"/>
      </font>
    </dxf>
    <dxf>
      <font>
        <b val="0"/>
        <i val="0"/>
        <strike val="0"/>
        <condense val="0"/>
        <extend val="0"/>
        <outline val="0"/>
        <shadow val="0"/>
        <u val="none"/>
        <vertAlign val="baseline"/>
        <sz val="9"/>
        <color theme="1"/>
        <name val="Futura Book"/>
        <scheme val="none"/>
      </font>
    </dxf>
    <dxf>
      <font>
        <b val="0"/>
        <i val="0"/>
        <strike val="0"/>
        <condense val="0"/>
        <extend val="0"/>
        <outline val="0"/>
        <shadow val="0"/>
        <u val="none"/>
        <vertAlign val="baseline"/>
        <sz val="11"/>
        <color theme="5"/>
        <name val="Futura Book"/>
        <scheme val="none"/>
      </font>
      <numFmt numFmtId="13" formatCode="0%"/>
      <fill>
        <patternFill patternType="solid">
          <fgColor indexed="64"/>
          <bgColor theme="5" tint="0.39997558519241921"/>
        </patternFill>
      </fill>
    </dxf>
    <dxf>
      <font>
        <b val="0"/>
        <i val="0"/>
        <strike val="0"/>
        <condense val="0"/>
        <extend val="0"/>
        <outline val="0"/>
        <shadow val="0"/>
        <u val="none"/>
        <vertAlign val="baseline"/>
        <sz val="11"/>
        <color theme="1"/>
        <name val="Futura Book"/>
        <scheme val="none"/>
      </font>
    </dxf>
    <dxf>
      <font>
        <b val="0"/>
        <i val="0"/>
        <strike val="0"/>
        <condense val="0"/>
        <extend val="0"/>
        <outline val="0"/>
        <shadow val="0"/>
        <u val="none"/>
        <vertAlign val="baseline"/>
        <sz val="11"/>
        <color theme="1"/>
        <name val="Futura Book"/>
        <scheme val="none"/>
      </font>
      <numFmt numFmtId="13" formatCode="0%"/>
      <fill>
        <patternFill patternType="none">
          <fgColor indexed="64"/>
          <bgColor indexed="65"/>
        </patternFill>
      </fill>
    </dxf>
    <dxf>
      <font>
        <b val="0"/>
        <i val="0"/>
        <strike val="0"/>
        <condense val="0"/>
        <extend val="0"/>
        <outline val="0"/>
        <shadow val="0"/>
        <u val="none"/>
        <vertAlign val="baseline"/>
        <sz val="11"/>
        <color theme="1"/>
        <name val="Futura Book"/>
        <scheme val="none"/>
      </font>
      <numFmt numFmtId="13" formatCode="0%"/>
      <fill>
        <patternFill patternType="none">
          <fgColor indexed="64"/>
          <bgColor indexed="65"/>
        </patternFill>
      </fill>
    </dxf>
    <dxf>
      <font>
        <b val="0"/>
        <i val="0"/>
        <strike val="0"/>
        <condense val="0"/>
        <extend val="0"/>
        <outline val="0"/>
        <shadow val="0"/>
        <u val="none"/>
        <vertAlign val="baseline"/>
        <sz val="11"/>
        <color theme="1"/>
        <name val="Futura Book"/>
        <scheme val="none"/>
      </font>
      <fill>
        <patternFill patternType="none">
          <fgColor indexed="64"/>
          <bgColor indexed="65"/>
        </patternFill>
      </fill>
    </dxf>
    <dxf>
      <font>
        <b val="0"/>
        <i val="0"/>
        <strike val="0"/>
        <condense val="0"/>
        <extend val="0"/>
        <outline val="0"/>
        <shadow val="0"/>
        <u val="none"/>
        <vertAlign val="baseline"/>
        <sz val="11"/>
        <color theme="1"/>
        <name val="Futura Book"/>
        <scheme val="none"/>
      </font>
      <numFmt numFmtId="13" formatCode="0%"/>
      <fill>
        <patternFill patternType="none">
          <fgColor indexed="64"/>
          <bgColor indexed="65"/>
        </patternFill>
      </fill>
    </dxf>
    <dxf>
      <font>
        <b val="0"/>
        <i val="0"/>
        <strike val="0"/>
        <condense val="0"/>
        <extend val="0"/>
        <outline val="0"/>
        <shadow val="0"/>
        <u val="none"/>
        <vertAlign val="baseline"/>
        <sz val="11"/>
        <color theme="1"/>
        <name val="Futura Book"/>
        <scheme val="none"/>
      </font>
      <fill>
        <patternFill patternType="none">
          <fgColor indexed="64"/>
          <bgColor indexed="65"/>
        </patternFill>
      </fill>
      <border diagonalUp="0" diagonalDown="0">
        <left style="medium">
          <color theme="9"/>
        </left>
        <right/>
        <top/>
        <bottom/>
        <vertical/>
        <horizontal/>
      </border>
    </dxf>
    <dxf>
      <font>
        <b val="0"/>
        <i val="0"/>
        <strike val="0"/>
        <condense val="0"/>
        <extend val="0"/>
        <outline val="0"/>
        <shadow val="0"/>
        <u val="none"/>
        <vertAlign val="baseline"/>
        <sz val="11"/>
        <color theme="4" tint="-0.249977111117893"/>
        <name val="Futura Book"/>
        <scheme val="none"/>
      </font>
      <fill>
        <patternFill patternType="none">
          <fgColor indexed="64"/>
          <bgColor indexed="65"/>
        </patternFill>
      </fill>
    </dxf>
    <dxf>
      <font>
        <b val="0"/>
        <i val="0"/>
        <strike val="0"/>
        <condense val="0"/>
        <extend val="0"/>
        <outline val="0"/>
        <shadow val="0"/>
        <u val="none"/>
        <vertAlign val="baseline"/>
        <sz val="11"/>
        <color theme="4" tint="-0.249977111117893"/>
        <name val="Futura Book"/>
        <scheme val="none"/>
      </font>
      <fill>
        <patternFill patternType="none">
          <fgColor indexed="64"/>
          <bgColor indexed="65"/>
        </patternFill>
      </fill>
    </dxf>
    <dxf>
      <font>
        <b val="0"/>
        <i val="0"/>
        <strike val="0"/>
        <condense val="0"/>
        <extend val="0"/>
        <outline val="0"/>
        <shadow val="0"/>
        <u val="none"/>
        <vertAlign val="baseline"/>
        <sz val="11"/>
        <color theme="4" tint="-0.249977111117893"/>
        <name val="Futura Book"/>
        <scheme val="none"/>
      </font>
      <fill>
        <patternFill patternType="none">
          <fgColor indexed="64"/>
          <bgColor indexed="65"/>
        </patternFill>
      </fill>
    </dxf>
    <dxf>
      <font>
        <b val="0"/>
        <i val="0"/>
        <strike val="0"/>
        <condense val="0"/>
        <extend val="0"/>
        <outline val="0"/>
        <shadow val="0"/>
        <u val="none"/>
        <vertAlign val="baseline"/>
        <sz val="11"/>
        <color theme="1"/>
        <name val="Futura Book"/>
        <scheme val="none"/>
      </font>
    </dxf>
    <dxf>
      <font>
        <b val="0"/>
        <i val="0"/>
        <strike val="0"/>
        <condense val="0"/>
        <extend val="0"/>
        <outline val="0"/>
        <shadow val="0"/>
        <u val="none"/>
        <vertAlign val="baseline"/>
        <sz val="11"/>
        <color theme="1"/>
        <name val="Futura Book"/>
        <scheme val="none"/>
      </font>
    </dxf>
    <dxf>
      <font>
        <b val="0"/>
        <i val="0"/>
        <strike val="0"/>
        <condense val="0"/>
        <extend val="0"/>
        <outline val="0"/>
        <shadow val="0"/>
        <u val="none"/>
        <vertAlign val="baseline"/>
        <sz val="11"/>
        <color theme="1"/>
        <name val="Futura Book"/>
        <scheme val="none"/>
      </font>
    </dxf>
    <dxf>
      <font>
        <b val="0"/>
        <i val="0"/>
        <strike val="0"/>
        <condense val="0"/>
        <extend val="0"/>
        <outline val="0"/>
        <shadow val="0"/>
        <u val="none"/>
        <vertAlign val="baseline"/>
        <sz val="11"/>
        <color theme="1"/>
        <name val="Futura Book"/>
        <scheme val="none"/>
      </font>
    </dxf>
    <dxf>
      <font>
        <b val="0"/>
        <i val="0"/>
        <strike val="0"/>
        <condense val="0"/>
        <extend val="0"/>
        <outline val="0"/>
        <shadow val="0"/>
        <u val="none"/>
        <vertAlign val="baseline"/>
        <sz val="9"/>
        <color theme="1"/>
        <name val="Futura Book"/>
        <scheme val="none"/>
      </font>
    </dxf>
    <dxf>
      <font>
        <b val="0"/>
        <i val="0"/>
        <strike val="0"/>
        <condense val="0"/>
        <extend val="0"/>
        <outline val="0"/>
        <shadow val="0"/>
        <u val="none"/>
        <vertAlign val="baseline"/>
        <sz val="11"/>
        <color theme="1"/>
        <name val="Futura Book"/>
        <scheme val="none"/>
      </font>
      <numFmt numFmtId="13" formatCode="0%"/>
      <border diagonalUp="0" diagonalDown="0">
        <left style="medium">
          <color theme="9"/>
        </left>
        <right style="medium">
          <color theme="9"/>
        </right>
        <top/>
        <bottom/>
        <vertical/>
        <horizontal/>
      </border>
    </dxf>
    <dxf>
      <font>
        <b val="0"/>
        <i val="0"/>
        <strike val="0"/>
        <condense val="0"/>
        <extend val="0"/>
        <outline val="0"/>
        <shadow val="0"/>
        <u val="none"/>
        <vertAlign val="baseline"/>
        <sz val="11"/>
        <color theme="1"/>
        <name val="Futura Book"/>
        <scheme val="none"/>
      </font>
    </dxf>
    <dxf>
      <font>
        <b val="0"/>
        <i val="0"/>
        <strike val="0"/>
        <condense val="0"/>
        <extend val="0"/>
        <outline val="0"/>
        <shadow val="0"/>
        <u val="none"/>
        <vertAlign val="baseline"/>
        <sz val="11"/>
        <color theme="1"/>
        <name val="Futura Book"/>
        <scheme val="none"/>
      </font>
    </dxf>
    <dxf>
      <font>
        <b val="0"/>
        <i val="0"/>
        <strike val="0"/>
        <condense val="0"/>
        <extend val="0"/>
        <outline val="0"/>
        <shadow val="0"/>
        <u val="none"/>
        <vertAlign val="baseline"/>
        <sz val="11"/>
        <color theme="1"/>
        <name val="Futura Book"/>
        <scheme val="none"/>
      </font>
    </dxf>
    <dxf>
      <font>
        <b val="0"/>
        <i val="0"/>
        <strike val="0"/>
        <condense val="0"/>
        <extend val="0"/>
        <outline val="0"/>
        <shadow val="0"/>
        <u val="none"/>
        <vertAlign val="baseline"/>
        <sz val="11"/>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11"/>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11"/>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11"/>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9"/>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9"/>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9"/>
        <color theme="1"/>
        <name val="Futura Book"/>
        <scheme val="none"/>
      </font>
      <alignment horizontal="general" vertical="top" textRotation="0" wrapText="1" indent="0" justifyLastLine="0" shrinkToFit="0" readingOrder="0"/>
    </dxf>
    <dxf>
      <font>
        <b val="0"/>
        <i val="0"/>
        <strike val="0"/>
        <condense val="0"/>
        <extend val="0"/>
        <outline val="0"/>
        <shadow val="0"/>
        <u val="none"/>
        <vertAlign val="baseline"/>
        <sz val="9"/>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9"/>
        <color theme="1"/>
        <name val="Futura Book"/>
        <scheme val="none"/>
      </font>
      <alignment horizontal="general" vertical="top" textRotation="0" wrapText="1" indent="0" justifyLastLine="0" shrinkToFit="0" readingOrder="0"/>
    </dxf>
    <dxf>
      <font>
        <b val="0"/>
        <i val="0"/>
        <strike val="0"/>
        <condense val="0"/>
        <extend val="0"/>
        <outline val="0"/>
        <shadow val="0"/>
        <u val="none"/>
        <vertAlign val="baseline"/>
        <sz val="9"/>
        <color theme="1"/>
        <name val="Futura Book"/>
        <scheme val="none"/>
      </font>
      <alignment horizontal="center" vertical="top" textRotation="0" wrapText="0" indent="0" justifyLastLine="0" shrinkToFit="0" readingOrder="0"/>
    </dxf>
    <dxf>
      <font>
        <b val="0"/>
        <i val="0"/>
        <strike val="0"/>
        <condense val="0"/>
        <extend val="0"/>
        <outline val="0"/>
        <shadow val="0"/>
        <u val="none"/>
        <vertAlign val="baseline"/>
        <sz val="9"/>
        <color theme="1"/>
        <name val="Futura Book"/>
        <scheme val="none"/>
      </font>
      <alignment horizontal="center" vertical="top" textRotation="0" wrapText="1" indent="0" justifyLastLine="0" shrinkToFit="0" readingOrder="0"/>
    </dxf>
    <dxf>
      <font>
        <b val="0"/>
        <i val="0"/>
        <strike val="0"/>
        <condense val="0"/>
        <extend val="0"/>
        <outline val="0"/>
        <shadow val="0"/>
        <u val="none"/>
        <vertAlign val="baseline"/>
        <sz val="9"/>
        <color theme="1"/>
        <name val="Futura Book"/>
        <scheme val="none"/>
      </font>
      <numFmt numFmtId="0" formatCode="General"/>
      <alignment horizontal="general" vertical="top" textRotation="0" indent="0" justifyLastLine="0" shrinkToFit="0" readingOrder="0"/>
    </dxf>
    <dxf>
      <font>
        <b val="0"/>
        <i val="0"/>
        <strike val="0"/>
        <condense val="0"/>
        <extend val="0"/>
        <outline val="0"/>
        <shadow val="0"/>
        <u val="none"/>
        <vertAlign val="baseline"/>
        <sz val="9"/>
        <color theme="1"/>
        <name val="Futura Book"/>
        <scheme val="none"/>
      </font>
      <alignment horizontal="general"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1"/>
        <name val="Futura Book"/>
        <scheme val="none"/>
      </font>
      <alignment horizontal="general" vertical="top" textRotation="0" indent="0" justifyLastLine="0" shrinkToFit="0" readingOrder="0"/>
    </dxf>
    <dxf>
      <font>
        <b/>
        <i val="0"/>
        <strike val="0"/>
        <condense val="0"/>
        <extend val="0"/>
        <outline val="0"/>
        <shadow val="0"/>
        <u val="none"/>
        <vertAlign val="baseline"/>
        <sz val="11"/>
        <color theme="0"/>
        <name val="Futura Medium"/>
        <scheme val="none"/>
      </font>
      <fill>
        <patternFill patternType="solid">
          <fgColor indexed="64"/>
          <bgColor theme="4"/>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11"/>
        <color theme="1"/>
        <name val="Futura Book"/>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11"/>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11"/>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11"/>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11"/>
        <color theme="1"/>
        <name val="Futura Book"/>
        <scheme val="none"/>
      </font>
      <alignment horizontal="general" vertical="top" textRotation="0" indent="0" justifyLastLine="0" shrinkToFit="0" readingOrder="0"/>
    </dxf>
    <dxf>
      <font>
        <b val="0"/>
        <i val="0"/>
        <strike val="0"/>
        <condense val="0"/>
        <extend val="0"/>
        <outline val="0"/>
        <shadow val="0"/>
        <u val="none"/>
        <vertAlign val="baseline"/>
        <sz val="11"/>
        <color theme="0"/>
        <name val="Futura Medium"/>
        <scheme val="none"/>
      </font>
      <alignment horizontal="general" vertical="top" textRotation="0" indent="0" justifyLastLine="0" shrinkToFit="0" readingOrder="0"/>
    </dxf>
    <dxf>
      <alignment wrapText="1" readingOrder="0"/>
    </dxf>
    <dxf>
      <alignment horizontal="center" readingOrder="0"/>
    </dxf>
    <dxf>
      <font>
        <b/>
        <color theme="0"/>
        <name val="Futura Medium"/>
        <scheme val="none"/>
      </font>
      <fill>
        <patternFill patternType="solid">
          <fgColor indexed="64"/>
          <bgColor theme="4"/>
        </patternFill>
      </fill>
      <alignment horizontal="left" vertical="top" readingOrder="0"/>
    </dxf>
    <dxf>
      <font>
        <b/>
        <color theme="0"/>
        <name val="Futura Medium"/>
        <scheme val="none"/>
      </font>
      <fill>
        <patternFill patternType="solid">
          <fgColor indexed="64"/>
          <bgColor theme="4"/>
        </patternFill>
      </fill>
      <alignment vertical="top" readingOrder="0"/>
    </dxf>
    <dxf>
      <font>
        <b/>
        <color theme="0"/>
        <name val="Futura Medium"/>
        <scheme val="none"/>
      </font>
      <fill>
        <patternFill patternType="solid">
          <fgColor indexed="64"/>
          <bgColor theme="4"/>
        </patternFill>
      </fill>
      <alignment vertical="top" readingOrder="0"/>
    </dxf>
    <dxf>
      <font>
        <b/>
        <color theme="0"/>
        <name val="Futura Medium"/>
        <scheme val="none"/>
      </font>
      <fill>
        <patternFill patternType="solid">
          <fgColor indexed="64"/>
          <bgColor theme="4"/>
        </patternFill>
      </fill>
      <alignment vertical="top" readingOrder="0"/>
    </dxf>
    <dxf>
      <font>
        <b/>
        <color theme="0"/>
        <name val="Futura Medium"/>
        <scheme val="none"/>
      </font>
      <fill>
        <patternFill patternType="solid">
          <fgColor indexed="64"/>
          <bgColor theme="4"/>
        </patternFill>
      </fill>
      <alignment vertical="top" readingOrder="0"/>
    </dxf>
    <dxf>
      <font>
        <b/>
        <color theme="0"/>
        <name val="Futura Medium"/>
        <scheme val="none"/>
      </font>
      <fill>
        <patternFill patternType="solid">
          <fgColor indexed="64"/>
          <bgColor theme="4"/>
        </patternFill>
      </fill>
      <alignment vertical="top" readingOrder="0"/>
    </dxf>
    <dxf>
      <font>
        <b/>
        <color theme="0"/>
        <name val="Futura Medium"/>
        <scheme val="none"/>
      </font>
      <fill>
        <patternFill patternType="solid">
          <fgColor indexed="64"/>
          <bgColor theme="4"/>
        </patternFill>
      </fill>
      <alignment vertical="top" readingOrder="0"/>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38100</xdr:colOff>
      <xdr:row>0</xdr:row>
      <xdr:rowOff>95250</xdr:rowOff>
    </xdr:from>
    <xdr:to>
      <xdr:col>8</xdr:col>
      <xdr:colOff>647700</xdr:colOff>
      <xdr:row>1</xdr:row>
      <xdr:rowOff>85725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24600" y="95250"/>
          <a:ext cx="1524000" cy="35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361950</xdr:colOff>
      <xdr:row>28</xdr:row>
      <xdr:rowOff>149629</xdr:rowOff>
    </xdr:from>
    <xdr:to>
      <xdr:col>6</xdr:col>
      <xdr:colOff>485775</xdr:colOff>
      <xdr:row>33</xdr:row>
      <xdr:rowOff>0</xdr:rowOff>
    </xdr:to>
    <xdr:grpSp>
      <xdr:nvGrpSpPr>
        <xdr:cNvPr id="5" name="Groupe 4"/>
        <xdr:cNvGrpSpPr/>
      </xdr:nvGrpSpPr>
      <xdr:grpSpPr>
        <a:xfrm>
          <a:off x="1213597" y="6701335"/>
          <a:ext cx="5584825" cy="858900"/>
          <a:chOff x="-4419600" y="7796829"/>
          <a:chExt cx="5334000" cy="895350"/>
        </a:xfrm>
      </xdr:grpSpPr>
      <xdr:sp macro="" textlink="">
        <xdr:nvSpPr>
          <xdr:cNvPr id="2" name="ZoneTexte 1"/>
          <xdr:cNvSpPr txBox="1"/>
        </xdr:nvSpPr>
        <xdr:spPr>
          <a:xfrm>
            <a:off x="-4419600" y="7796829"/>
            <a:ext cx="5334000" cy="895350"/>
          </a:xfrm>
          <a:prstGeom prst="rect">
            <a:avLst/>
          </a:prstGeom>
          <a:solidFill>
            <a:schemeClr val="bg2"/>
          </a:solidFill>
          <a:ln>
            <a:solidFill>
              <a:schemeClr val="bg2">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100" i="1">
                <a:latin typeface="Futura Book" pitchFamily="34" charset="0"/>
              </a:rPr>
              <a:t>Légende</a:t>
            </a:r>
          </a:p>
          <a:p>
            <a:endParaRPr lang="fr-FR" sz="1100" i="1">
              <a:latin typeface="Futura Book" pitchFamily="34" charset="0"/>
            </a:endParaRPr>
          </a:p>
          <a:p>
            <a:r>
              <a:rPr lang="fr-FR" sz="1100" i="1">
                <a:latin typeface="Futura Book" pitchFamily="34" charset="0"/>
              </a:rPr>
              <a:t>	</a:t>
            </a:r>
            <a:r>
              <a:rPr lang="fr-FR" sz="1050" i="1">
                <a:latin typeface="Futura Book" pitchFamily="34" charset="0"/>
              </a:rPr>
              <a:t>A mettre</a:t>
            </a:r>
            <a:r>
              <a:rPr lang="fr-FR" sz="1050" i="1" baseline="0">
                <a:latin typeface="Futura Book" pitchFamily="34" charset="0"/>
              </a:rPr>
              <a:t> à jour ou vérifier pour chaque projet</a:t>
            </a:r>
          </a:p>
          <a:p>
            <a:r>
              <a:rPr lang="fr-FR" sz="1050" i="1" baseline="0">
                <a:latin typeface="Futura Book" pitchFamily="34" charset="0"/>
              </a:rPr>
              <a:t>	A mettre à jour le cas échéant, sinon garder les paramètres standard</a:t>
            </a:r>
            <a:endParaRPr lang="fr-FR" sz="1050" i="1">
              <a:latin typeface="Futura Book" pitchFamily="34" charset="0"/>
            </a:endParaRPr>
          </a:p>
        </xdr:txBody>
      </xdr:sp>
      <xdr:sp macro="" textlink="">
        <xdr:nvSpPr>
          <xdr:cNvPr id="3" name="Rectangle 2"/>
          <xdr:cNvSpPr/>
        </xdr:nvSpPr>
        <xdr:spPr>
          <a:xfrm>
            <a:off x="-4210050" y="8206898"/>
            <a:ext cx="447675" cy="142875"/>
          </a:xfrm>
          <a:prstGeom prst="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fr-FR" sz="1100"/>
          </a:p>
        </xdr:txBody>
      </xdr:sp>
      <xdr:sp macro="" textlink="">
        <xdr:nvSpPr>
          <xdr:cNvPr id="4" name="Rectangle 3"/>
          <xdr:cNvSpPr/>
        </xdr:nvSpPr>
        <xdr:spPr>
          <a:xfrm>
            <a:off x="-4210050" y="8406921"/>
            <a:ext cx="447675" cy="142875"/>
          </a:xfrm>
          <a:prstGeom prst="rect">
            <a:avLst/>
          </a:prstGeom>
          <a:ln>
            <a:solidFill>
              <a:schemeClr val="accent6"/>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fr-FR"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DS/SwissLife/DossierClient/Migration%20Liferay/Lot%202.x/ITA9L1%20-%20Migration%20EJB%20WS/0%20-%20Proposition%20commerciale/Polyexpert%20%20-%20Chiffrage%2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ébut"/>
      <sheetName val="Analyse fonctionnelle"/>
      <sheetName val="Lotissement"/>
      <sheetName val="Charges &amp; coûts"/>
      <sheetName val="Plan de charge"/>
      <sheetName val="CEP"/>
      <sheetName val="UO - Complexité"/>
      <sheetName val="UO-Référence"/>
      <sheetName val="Paramétrage"/>
      <sheetName val="Offre Licence"/>
      <sheetName val="Feuil1"/>
    </sheetNames>
    <sheetDataSet>
      <sheetData sheetId="0"/>
      <sheetData sheetId="1"/>
      <sheetData sheetId="2"/>
      <sheetData sheetId="3"/>
      <sheetData sheetId="4"/>
      <sheetData sheetId="5"/>
      <sheetData sheetId="6"/>
      <sheetData sheetId="7"/>
      <sheetData sheetId="8">
        <row r="47">
          <cell r="C47">
            <v>2.1350000000000002</v>
          </cell>
        </row>
        <row r="48">
          <cell r="C48">
            <v>1184.3499999999999</v>
          </cell>
        </row>
      </sheetData>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UEMMAR Mehdi" refreshedDate="42860.454525578702" createdVersion="3" refreshedVersion="5" minRefreshableVersion="3" recordCount="3">
  <cacheSource type="worksheet">
    <worksheetSource name="Tableau2[[#Tout];[EJB / Ecran]:[Charge PTU]]"/>
  </cacheSource>
  <cacheFields count="11">
    <cacheField name="EJB / Ecran" numFmtId="0">
      <sharedItems containsBlank="1" count="133">
        <s v="Génération des clients WS LDT04 et LDT05, création des delegates, bean / mapping / populate : Traitement Java Moyen"/>
        <s v="Consultation Document (Front + Action Consommation et mapping LDT04.lireDocument()) "/>
        <s v="Ecran DCLI083 Recherche de Document Clef "/>
        <m u="1"/>
        <s v="02 - LWM14-Gestion Indicateurs" u="1"/>
        <s v="19 - LWM02-GestionARV - Tâches transverses" u="1"/>
        <s v="14 - PXI03-Ecran DCLI060" u="1"/>
        <s v="11 - LDU17-Ecrans DCLI080" u="1"/>
        <s v="20 - PXX09-GestionContexte - Mapping" u="1"/>
        <s v="21 - LWM01-Ecran DCLI051, DCLI104, DCLI105, DCLI106, DCLI107, DCLI108, POP019" u="1"/>
        <s v="16 - SWM00-Ecran DCLI051" u="1"/>
        <s v="13 - PCP03-Ecran " u="1"/>
        <s v="03 - LWM05-Ecran DCLI051 " u="1"/>
        <s v="08 - PPB00-Ecran DCLI038" u="1"/>
        <s v="03 - LWM05-GestionContrat  - Mapping" u="1"/>
        <s v="05 - PVP01 - Ecrans DCLI027, DCLI029" u="1"/>
        <s v="19 - LWM01-Ecran DCLI051, DCLI104, DCLI105, DCLI106, DCLI107, DCLI108, POP019" u="1"/>
        <s v="12 - PCP02-GContactTel - Tâches transverses" u="1"/>
        <s v="03 - LWM05-GestionContrat - Mapping" u="1"/>
        <s v="02 - LWM14-Ecrans DCLI060" u="1"/>
        <s v="15 - SWM00-ContratSante - Mapping" u="1"/>
        <s v="01 - SWM01-Decompte" u="1"/>
        <s v="10 - LWM17-Ecran DCLI019" u="1"/>
        <s v="15 - SWM00-Ecran DCLI051" u="1"/>
        <s v="16 - LWM18-Ecran DCLI030" u="1"/>
        <s v="17 - LQP01-Ecran DCLI061, POP008" u="1"/>
        <s v="21 - LWM01-Ecran DCLI060" u="1"/>
        <s v="21 - LWM01-Gestion Personnes - Tâches transverses" u="1"/>
        <s v="17 - LQP01-Gquestionnaires - Mapping" u="1"/>
        <s v="11 - LDU17-Ecrans DCLI080, DCLI081, DCLI009" u="1"/>
        <s v="20 - PXX09-GestionContexte - Tâches transverses" u="1"/>
        <s v="10 - LWM15-Ecran DCLI004, DCLI005, DCLI006, DCLI007," u="1"/>
        <s v="04 - PVP03-Ecrans POP011, POP012 et POP013" u="1"/>
        <s v="11 - LDU17-GContactGED - Tâches transverses" u="1"/>
        <s v="11 - PCP01-GRefContact - Tâches transverses" u="1"/>
        <s v="19 - LWM01-Ecran DCLI060" u="1"/>
        <s v="18 - PGD02-GestionConventionInternet - Tâches transverses" u="1"/>
        <s v="19 - LWM01-Gestion Personnes - Tâches transverses" u="1"/>
        <s v="21 - LWM01-Ecran DCLI018" u="1"/>
        <s v="05 - PVP01-GContratUC  - Mapping" u="1"/>
        <s v="21 - LWM01-Ecran DCLI016" u="1"/>
        <s v="21 - LWM01-Ecran DCLI116" u="1"/>
        <s v="03 - LWM05-GestionContrat  - Tâches transverses" u="1"/>
        <s v="21 - LWM01-Ecran DCLI014" u="1"/>
        <s v="02 - LWM14-Ecrans DCLI160" u="1"/>
        <s v="14 - PXI03-Authentification - Tâches transverses" u="1"/>
        <s v="19 - LWM01-Ecran DCLI018" u="1"/>
        <s v="21 - LWM01-Ecran DCLI012" u="1"/>
        <s v="10 - LWM17-GestionContratVie - Mapping" u="1"/>
        <s v="04 - PVP03-Ecrans DCLI023, DCLI024, DCLI025, DCLI026" u="1"/>
        <s v="19 - LWM01-Ecran DCLI016" u="1"/>
        <s v="10 - LWM15-Gdocuments - Tâches transverses" u="1"/>
        <s v="19 - LWM01-Ecran DCLI116" u="1"/>
        <s v="09 - LWM16-Ecrans  DCLI004, DCLI007, DCLI054, DCLI104, DCLI107" u="1"/>
        <s v="15 - SWM00-ContratSante - Tâches transverses" u="1"/>
        <s v="19 - LWM01-Ecran DCLI014" u="1"/>
        <s v="06 - PKL00-Gcompta - Mapping" u="1"/>
        <s v="19 - LWM01-Ecran DCLI012" u="1"/>
        <s v="21 - LWM01-Ecran DCLI004, DCLI104" u="1"/>
        <s v="11 - PCP01-Ecrans DCLI004, DCLI005, DCLI006, DCLI007" u="1"/>
        <s v="05 - PVP01 - Ecran DCLI027" u="1"/>
        <s v="16 - LWM18-GestionAlertes - Mapping" u="1"/>
        <s v="18 - PGD02-Ecran DCLI160" u="1"/>
        <s v="11 - LDU17-Ecrans DCLI082" u="1"/>
        <s v="05 - PVP01 - Ecran DCLI028" u="1"/>
        <s v="19 - LWM02-GestionARV - Mapping" u="1"/>
        <s v="13 - PCP03-SLRefContact - Mapping" u="1"/>
        <s v="19 - LWM01-Ecran DCLI004, DCLI104" u="1"/>
        <s v="17 - LQP01-Gquestionnaires - Tâches transverses" u="1"/>
        <s v="03 - LWM05-GestionContrat" u="1"/>
        <s v="12 - PCP02-GContactTel - Mapping" u="1"/>
        <s v="05 - PVP01 - EcranDCLI029" u="1"/>
        <s v="16 - LWM18-GestionAlertes - Tâches transverses" u="1"/>
        <s v="16 - SWM00-Ecran DCLI052" u="1"/>
        <s v="16 - SWM00-Ecran DCLI050" u="1"/>
        <s v="03 - LWM05-Ecran DCLI050 " u="1"/>
        <s v="04 - PVP03-GContratEuroNGWS - Tâches transverses" u="1"/>
        <s v="08 - PPB00-GestionCoordBancaire - Tâches transverses" u="1"/>
        <s v="09 - LWM16-GestionContratDommage - Mapping" u="1"/>
        <s v="02 - LWM14-Gestion Indicateurs - Mapping" u="1"/>
        <s v="11 - LDU17-GContactGED - Mapping" u="1"/>
        <s v="11 - PCP01-GRefContact - Mapping" u="1"/>
        <s v="10 - LWM17-GestionContratVie - Tâches transverses" u="1"/>
        <s v="02 - LWM14-Ecrans DCLI104, DCLI105, DCLI106, DCLI107, DCLI108" u="1"/>
        <s v="16 - SWM00-Ecran  DCLI050 et DCLI051" u="1"/>
        <s v="02 - LWM14-Gestion Indicateurs - Tâches transverses" u="1"/>
        <s v="10 - LWM17-Ecrans DCLI004, DCLI005, DCLI104, DCLI105" u="1"/>
        <s v="14 - PXI03-Authentification - Mapping" u="1"/>
        <s v="01 - SWM01-Decompte- Tâches transverses" u="1"/>
        <s v="08 - PPB00-GestionCoordBancaire - Mapping" u="1"/>
        <s v="13 - PCP03-SLRefContact - Tâches transverses" u="1"/>
        <s v="04 - PVP03-Ecrans DCLI039" u="1"/>
        <s v="07 - PKP00-PaiementLigne - Tâches transverses" u="1"/>
        <s v="15 - SWM00-Ecran DCLI052" u="1"/>
        <s v="21 - LWM01-Ecran DCLI004, DCLI005, DCLI006, DCLI007, DCLI008, POP018" u="1"/>
        <s v="01 - SWM01-Decompte - Mapping" u="1"/>
        <s v="16 - LWM18-Ecran DCLI031" u="1"/>
        <s v="15 - SWM00-Ecrans DCLI004, DCLI006, DCLI053, DCLI104, DCLI106, POP019" u="1"/>
        <s v="15 - SWM00-Ecran DCLI050" u="1"/>
        <s v="07 - PKP00-Ecran POP008, POP010" u="1"/>
        <s v="07 - PKP00-PaiementLigne - Mapping" u="1"/>
        <s v="21 - LWM01-Ecran DCLI010, DCLI011,  DCLI013" u="1"/>
        <s v="19 - LWM01-Ecran DCLI004, DCLI005, DCLI006, DCLI007, DCLI008, POP018" u="1"/>
        <s v="21 - LWM01-Ecran DCLI017" u="1"/>
        <s v="10 - LWM15-Gdocuments - Mapping" u="1"/>
        <s v="15 - SWM00-Ecran  DCLI050 et DCLI051" u="1"/>
        <s v="03 - LWM05-Ecran DCLI009" u="1"/>
        <s v="20 - PXX09-Ecran DCLI001" u="1"/>
        <s v="12 - PCP02-Ecran DCLI090" u="1"/>
        <s v="09 - LWM16-GestionContratDommage - Tâches transverses" u="1"/>
        <s v="04 - PVP03-Ecrans  DCLI020, DCLI021, DCLI022, DCLI032, DCLI033, DCLI034, DCLI035, DCLI037, DCLI038" u="1"/>
        <s v="19 - LWM01-Ecran DCLI017" u="1"/>
        <s v="03 - LWM05-Ecran DCLI036" u="1"/>
        <s v="11 - PCP01-Ecran DCLI009" u="1"/>
        <s v="04 - PVP03-Ecrans DCLI070, DCLI071" u="1"/>
        <s v="03 - LWM05-Ecrans DCLI050, DCLI051 " u="1"/>
        <s v="18 - PGD02-GestionConventionInternet - Mapping" u="1"/>
        <s v="21 - LWM01-Ecran DCLI015, DCLI060, DCLI160" u="1"/>
        <s v="06 - PKL00-Ecran DCLI053 et DCLI054" u="1"/>
        <s v="19 - LWM02-Ecran Tous les écrans détails contrat" u="1"/>
        <s v="02 - LWM14-Ecrans  DCLI004, DCLI005, DCLI006, DCLI007, DCLI008" u="1"/>
        <s v="06 - PKL00-Gcompta - Tâches transverses" u="1"/>
        <s v="21 - LWM01-Ecran DCLI002, DCLI003" u="1"/>
        <s v="05 - PVP01-GContratUC  - Tâches transverses" u="1"/>
        <s v="19 - LWM01-Ecran DCLI010, DCLI011, DCLI110" u="1"/>
        <s v="21 - LWM01-Gestion Personnes - Mapping" u="1"/>
        <s v="19 - LWM01-Ecran DCLI015, DCLI060, DCLI160" u="1"/>
        <s v="01 - SWM01-DCLI50-Pavé remboursements" u="1"/>
        <s v="01 - SWM01-DCLI51-Pavé remboursements" u="1"/>
        <s v="21 - LWM01-Ecran DCLI011, DCLI111" u="1"/>
        <s v="19 - LWM01-Ecran DCLI002, DCLI003" u="1"/>
        <s v="19 - LWM01-Gestion Personnes - Mapping" u="1"/>
        <s v="04 - PVP03-GContratEuroNGWS  - Mapping" u="1"/>
      </sharedItems>
    </cacheField>
    <cacheField name="EJB /Ecran/Tâche" numFmtId="0">
      <sharedItems/>
    </cacheField>
    <cacheField name="Type d'UO" numFmtId="0">
      <sharedItems/>
    </cacheField>
    <cacheField name="Technologie" numFmtId="0">
      <sharedItems/>
    </cacheField>
    <cacheField name="Description" numFmtId="0">
      <sharedItems/>
    </cacheField>
    <cacheField name="Option (oui/non)" numFmtId="0">
      <sharedItems containsNonDate="0" containsString="0" containsBlank="1"/>
    </cacheField>
    <cacheField name="Référence CDC" numFmtId="0">
      <sharedItems containsBlank="1"/>
    </cacheField>
    <cacheField name="Complexité" numFmtId="0">
      <sharedItems containsBlank="1" count="6">
        <s v="Moyen"/>
        <s v="complexe"/>
        <m u="1"/>
        <s v="Très complexe" u="1"/>
        <s v="basique" u="1"/>
        <s v="simple" u="1"/>
      </sharedItems>
    </cacheField>
    <cacheField name="UO" numFmtId="0">
      <sharedItems/>
    </cacheField>
    <cacheField name="Colonne2" numFmtId="0">
      <sharedItems containsNonDate="0" containsString="0" containsBlank="1"/>
    </cacheField>
    <cacheField name="Charge PTU" numFmtId="0">
      <sharedItems containsSemiMixedTypes="0" containsString="0" containsNumber="1" containsInteger="1" minValue="2"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
  <r>
    <x v="0"/>
    <s v="Génération des clients WS LDT04 et LDT05, création des delegates, bean / mapping / populate : Traitement Java Moyen"/>
    <s v="Migration EJB"/>
    <s v="Java"/>
    <s v="Réécriture du Delagate  et du mapping "/>
    <m/>
    <s v="§4.1 Connexion à l'extranet"/>
    <x v="0"/>
    <s v="Migration EJB Moyen Java "/>
    <m/>
    <n v="3"/>
  </r>
  <r>
    <x v="1"/>
    <s v="Consultation Document (Front + Action Consommation et mapping LDT04.lireDocument()) "/>
    <s v="Migration EJB tâches transverses"/>
    <s v="Java"/>
    <s v="Impacts objets en session, aiguillage et nettoyage du code._x000a_"/>
    <m/>
    <m/>
    <x v="0"/>
    <s v="Migration EJB tâches transverses moyen Java "/>
    <m/>
    <n v="2"/>
  </r>
  <r>
    <x v="2"/>
    <s v="06 - PKL00-Ecran DCLI009"/>
    <s v="Migration Ecran Portlet"/>
    <s v="Java"/>
    <s v="Rerchercher Liste RestantDu"/>
    <m/>
    <m/>
    <x v="1"/>
    <s v="Migration Ecran Portlet complexe Java "/>
    <m/>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1" cacheId="4" applyNumberFormats="0" applyBorderFormats="0" applyFontFormats="0" applyPatternFormats="0" applyAlignmentFormats="0" applyWidthHeightFormats="1" dataCaption="Valeurs" updatedVersion="5" minRefreshableVersion="3" showCalcMbrs="0" showDrill="0" showDataTips="0" useAutoFormatting="1" itemPrintTitles="1" createdVersion="3" indent="0" showHeaders="0" outline="1" outlineData="1" multipleFieldFilters="0">
  <location ref="A3:D8" firstHeaderRow="1" firstDataRow="2" firstDataCol="1"/>
  <pivotFields count="11">
    <pivotField axis="axisRow" showAll="0" defaultSubtotal="0">
      <items count="133">
        <item m="1" x="127"/>
        <item m="1" x="128"/>
        <item m="1" x="21"/>
        <item m="1" x="120"/>
        <item m="1" x="19"/>
        <item m="1" x="83"/>
        <item m="1" x="44"/>
        <item m="1" x="4"/>
        <item m="1" x="3"/>
        <item m="1" x="95"/>
        <item m="1" x="88"/>
        <item m="1" x="79"/>
        <item m="1" x="85"/>
        <item m="1" x="69"/>
        <item m="1" x="42"/>
        <item m="1" x="14"/>
        <item m="1" x="106"/>
        <item m="1" x="112"/>
        <item m="1" x="115"/>
        <item m="1" x="75"/>
        <item m="1" x="12"/>
        <item m="1" x="18"/>
        <item m="1" x="132"/>
        <item m="1" x="76"/>
        <item m="1" x="110"/>
        <item m="1" x="49"/>
        <item m="1" x="91"/>
        <item m="1" x="114"/>
        <item m="1" x="32"/>
        <item m="1" x="39"/>
        <item m="1" x="123"/>
        <item m="1" x="60"/>
        <item m="1" x="15"/>
        <item m="1" x="64"/>
        <item m="1" x="71"/>
        <item m="1" x="56"/>
        <item m="1" x="121"/>
        <item m="1" x="118"/>
        <item m="1" x="100"/>
        <item m="1" x="92"/>
        <item m="1" x="99"/>
        <item m="1" x="89"/>
        <item m="1" x="77"/>
        <item m="1" x="13"/>
        <item m="1" x="78"/>
        <item m="1" x="109"/>
        <item m="1" x="53"/>
        <item m="1" x="48"/>
        <item m="1" x="82"/>
        <item m="1" x="86"/>
        <item m="1" x="22"/>
        <item m="1" x="80"/>
        <item m="1" x="33"/>
        <item m="1" x="29"/>
        <item m="1" x="7"/>
        <item m="1" x="63"/>
        <item m="1" x="104"/>
        <item m="1" x="51"/>
        <item m="1" x="31"/>
        <item m="1" x="81"/>
        <item m="1" x="34"/>
        <item m="1" x="113"/>
        <item m="1" x="59"/>
        <item m="1" x="70"/>
        <item m="1" x="17"/>
        <item m="1" x="108"/>
        <item m="1" x="66"/>
        <item m="1" x="90"/>
        <item m="1" x="11"/>
        <item m="1" x="87"/>
        <item m="1" x="45"/>
        <item m="1" x="6"/>
        <item m="1" x="20"/>
        <item m="1" x="54"/>
        <item m="1" x="97"/>
        <item m="1" x="74"/>
        <item m="1" x="10"/>
        <item m="1" x="73"/>
        <item m="1" x="84"/>
        <item m="1" x="28"/>
        <item m="1" x="68"/>
        <item m="1" x="25"/>
        <item m="1" x="116"/>
        <item m="1" x="36"/>
        <item m="1" x="62"/>
        <item m="1" x="131"/>
        <item m="1" x="37"/>
        <item m="1" x="130"/>
        <item m="1" x="102"/>
        <item m="1" x="67"/>
        <item m="1" x="124"/>
        <item m="1" x="57"/>
        <item m="1" x="55"/>
        <item m="1" x="126"/>
        <item m="1" x="50"/>
        <item m="1" x="111"/>
        <item m="1" x="46"/>
        <item m="1" x="16"/>
        <item m="1" x="35"/>
        <item m="1" x="52"/>
        <item m="1" x="98"/>
        <item m="1" x="23"/>
        <item m="1" x="93"/>
        <item m="1" x="105"/>
        <item m="1" x="61"/>
        <item m="1" x="72"/>
        <item m="1" x="24"/>
        <item m="1" x="96"/>
        <item m="1" x="65"/>
        <item m="1" x="5"/>
        <item m="1" x="119"/>
        <item m="1" x="8"/>
        <item m="1" x="30"/>
        <item m="1" x="107"/>
        <item m="1" x="125"/>
        <item m="1" x="27"/>
        <item m="1" x="122"/>
        <item m="1" x="94"/>
        <item m="1" x="58"/>
        <item m="1" x="101"/>
        <item m="1" x="129"/>
        <item m="1" x="47"/>
        <item m="1" x="43"/>
        <item m="1" x="117"/>
        <item m="1" x="40"/>
        <item m="1" x="103"/>
        <item m="1" x="38"/>
        <item m="1" x="9"/>
        <item m="1" x="26"/>
        <item m="1" x="41"/>
        <item x="0"/>
        <item x="1"/>
        <item x="2"/>
      </items>
    </pivotField>
    <pivotField showAll="0" defaultSubtotal="0"/>
    <pivotField showAll="0"/>
    <pivotField showAll="0"/>
    <pivotField showAll="0" defaultSubtotal="0"/>
    <pivotField showAll="0" defaultSubtotal="0"/>
    <pivotField showAll="0" defaultSubtotal="0"/>
    <pivotField axis="axisCol" showAll="0">
      <items count="7">
        <item x="0"/>
        <item m="1" x="5"/>
        <item m="1" x="2"/>
        <item x="1"/>
        <item m="1" x="4"/>
        <item m="1" x="3"/>
        <item t="default"/>
      </items>
    </pivotField>
    <pivotField showAll="0"/>
    <pivotField showAll="0"/>
    <pivotField dataField="1" showAll="0"/>
  </pivotFields>
  <rowFields count="1">
    <field x="0"/>
  </rowFields>
  <rowItems count="4">
    <i>
      <x v="130"/>
    </i>
    <i>
      <x v="131"/>
    </i>
    <i>
      <x v="132"/>
    </i>
    <i t="grand">
      <x/>
    </i>
  </rowItems>
  <colFields count="1">
    <field x="7"/>
  </colFields>
  <colItems count="3">
    <i>
      <x/>
    </i>
    <i>
      <x v="3"/>
    </i>
    <i t="grand">
      <x/>
    </i>
  </colItems>
  <dataFields count="1">
    <dataField name="Somme de Charge PTU" fld="10" baseField="0" baseItem="0"/>
  </dataFields>
  <formats count="9">
    <format dxfId="100">
      <pivotArea type="origin" dataOnly="0" labelOnly="1" outline="0" fieldPosition="0"/>
    </format>
    <format dxfId="99">
      <pivotArea field="7" type="button" dataOnly="0" labelOnly="1" outline="0" axis="axisCol" fieldPosition="0"/>
    </format>
    <format dxfId="98">
      <pivotArea type="topRight" dataOnly="0" labelOnly="1" outline="0" fieldPosition="0"/>
    </format>
    <format dxfId="97">
      <pivotArea dataOnly="0" labelOnly="1" fieldPosition="0">
        <references count="1">
          <reference field="7" count="0"/>
        </references>
      </pivotArea>
    </format>
    <format dxfId="96">
      <pivotArea dataOnly="0" labelOnly="1" grandCol="1" outline="0" fieldPosition="0"/>
    </format>
    <format dxfId="95">
      <pivotArea dataOnly="0" labelOnly="1" grandRow="1" outline="0" fieldPosition="0"/>
    </format>
    <format dxfId="94">
      <pivotArea grandRow="1" outline="0" collapsedLevelsAreSubtotals="1" fieldPosition="0"/>
    </format>
    <format dxfId="93">
      <pivotArea grandRow="1" outline="0" collapsedLevelsAreSubtotals="1" fieldPosition="0"/>
    </format>
    <format dxfId="92">
      <pivotArea dataOnly="0" labelOnly="1" fieldPosition="0">
        <references count="1">
          <reference field="0" count="17">
            <x v="14"/>
            <x v="16"/>
            <x v="17"/>
            <x v="18"/>
            <x v="19"/>
            <x v="20"/>
            <x v="21"/>
            <x v="22"/>
            <x v="23"/>
            <x v="24"/>
            <x v="25"/>
            <x v="26"/>
            <x v="27"/>
            <x v="28"/>
            <x v="29"/>
            <x v="30"/>
            <x v="31"/>
          </reference>
        </references>
      </pivotArea>
    </format>
  </formats>
  <pivotTableStyleInfo name="PivotStyleLight16" showRowHeaders="1" showColHeaders="1" showRowStripes="0" showColStripes="0" showLastColumn="1"/>
</pivotTableDefinition>
</file>

<file path=xl/tables/table1.xml><?xml version="1.0" encoding="utf-8"?>
<table xmlns="http://schemas.openxmlformats.org/spreadsheetml/2006/main" id="1" name="Catalogue_UO" displayName="Catalogue_UO" ref="A4:F99" totalsRowShown="0" headerRowDxfId="91" dataDxfId="90">
  <autoFilter ref="A4:F99">
    <filterColumn colId="0">
      <filters>
        <filter val="Migration Ecran Portlet"/>
        <filter val="Migration EJB"/>
        <filter val="Migration EJB tâches transverses"/>
      </filters>
    </filterColumn>
  </autoFilter>
  <tableColumns count="6">
    <tableColumn id="1" name="Type d'UO" dataDxfId="89"/>
    <tableColumn id="3" name="Complexité" dataDxfId="88"/>
    <tableColumn id="5" name="Technologie" dataDxfId="87"/>
    <tableColumn id="6" name="Variante" dataDxfId="86"/>
    <tableColumn id="8" name="Nom" dataDxfId="85">
      <calculatedColumnFormula>CONCATENATE(Catalogue_UO[[#This Row],[Type d''UO]]," ",Catalogue_UO[[#This Row],[Complexité]]," ",Catalogue_UO[[#This Row],[Technologie]]," ",Catalogue_UO[[#This Row],[Variante]])</calculatedColumnFormula>
    </tableColumn>
    <tableColumn id="7" name="Charge PTU" dataDxfId="84"/>
  </tableColumns>
  <tableStyleInfo name="TableStyleMedium2" showFirstColumn="0" showLastColumn="0" showRowStripes="1" showColumnStripes="0"/>
</table>
</file>

<file path=xl/tables/table2.xml><?xml version="1.0" encoding="utf-8"?>
<table xmlns="http://schemas.openxmlformats.org/spreadsheetml/2006/main" id="2" name="Tableau2" displayName="Tableau2" ref="A2:M5" totalsRowShown="0" headerRowDxfId="83" dataDxfId="82" tableBorderDxfId="81">
  <autoFilter ref="A2:M5"/>
  <sortState ref="A5:K106">
    <sortCondition ref="A4:A106"/>
  </sortState>
  <tableColumns count="13">
    <tableColumn id="2" name="EJB / Ecran" dataDxfId="80"/>
    <tableColumn id="1" name="EJB /Ecran/Tâche" dataDxfId="79">
      <calculatedColumnFormula>IF(Tableau2[[#This Row],[Option (oui/non)]]="Option",CONCATENATE(Tableau2[[#This Row],[Option (oui/non)]],"-",Tableau2[[#This Row],[EJB / Ecran]]),Tableau2[[#This Row],[EJB / Ecran]])</calculatedColumnFormula>
    </tableColumn>
    <tableColumn id="3" name="Type d'UO" dataDxfId="78"/>
    <tableColumn id="4" name="Technologie" dataDxfId="77"/>
    <tableColumn id="5" name="Description" dataDxfId="76"/>
    <tableColumn id="6" name="Option (oui/non)" dataDxfId="75"/>
    <tableColumn id="12" name="Référence CDC" dataDxfId="74"/>
    <tableColumn id="7" name="Complexité" dataDxfId="73"/>
    <tableColumn id="8" name="UO" dataDxfId="72">
      <calculatedColumnFormula>CONCATENATE(C3," ",H3," ",D3," ")</calculatedColumnFormula>
    </tableColumn>
    <tableColumn id="9" name="Colonne2" dataDxfId="71"/>
    <tableColumn id="10" name="Charge PTU" dataDxfId="70">
      <calculatedColumnFormula>IF(NOT(ISNA(VLOOKUP(CONCATENATE(C3," ",H3," ",D3," "),Catalogue_UO[[#All],[Nom]:[Charge PTU]],2,FALSE))),VLOOKUP(CONCATENATE(C3," ",H3," ",D3," "),Catalogue_UO[[#All],[Nom]:[Charge PTU]],2,FALSE),"")</calculatedColumnFormula>
    </tableColumn>
    <tableColumn id="11" name="Colonne1" dataDxfId="69"/>
    <tableColumn id="13" name="Colonne12" dataDxfId="68"/>
  </tableColumns>
  <tableStyleInfo name="TableStyleMedium2" showFirstColumn="0" showLastColumn="0" showRowStripes="1" showColumnStripes="0"/>
</table>
</file>

<file path=xl/tables/table3.xml><?xml version="1.0" encoding="utf-8"?>
<table xmlns="http://schemas.openxmlformats.org/spreadsheetml/2006/main" id="3" name="ExtrapolationPTU" displayName="ExtrapolationPTU" ref="A6:D22" totalsRowShown="0" headerRowDxfId="67">
  <autoFilter ref="A6:D22"/>
  <tableColumns count="4">
    <tableColumn id="1" name="Phase" dataDxfId="66"/>
    <tableColumn id="2" name="Sous-phase" dataDxfId="65"/>
    <tableColumn id="3" name="%" dataDxfId="64"/>
    <tableColumn id="4" name="de" dataDxfId="63"/>
  </tableColumns>
  <tableStyleInfo name="TableStyleLight2" showFirstColumn="0" showLastColumn="0" showRowStripes="1" showColumnStripes="0"/>
</table>
</file>

<file path=xl/tables/table4.xml><?xml version="1.0" encoding="utf-8"?>
<table xmlns="http://schemas.openxmlformats.org/spreadsheetml/2006/main" id="4" name="TJM" displayName="TJM" ref="F6:G14" totalsRowShown="0" headerRowDxfId="62" dataDxfId="61">
  <autoFilter ref="F6:G14"/>
  <tableColumns count="2">
    <tableColumn id="1" name="Profil" dataDxfId="60"/>
    <tableColumn id="2" name="TJM" dataDxfId="59"/>
  </tableColumns>
  <tableStyleInfo name="TableStyleLight2" showFirstColumn="0" showLastColumn="0" showRowStripes="1" showColumnStripes="0"/>
</table>
</file>

<file path=xl/tables/table5.xml><?xml version="1.0" encoding="utf-8"?>
<table xmlns="http://schemas.openxmlformats.org/spreadsheetml/2006/main" id="5" name="Répartition" displayName="Répartition" ref="I6:Q94" totalsRowShown="0" headerRowDxfId="58">
  <autoFilter ref="I6:Q94"/>
  <tableColumns count="9">
    <tableColumn id="1" name="Phase" dataDxfId="57"/>
    <tableColumn id="2" name="Sous-phase" dataDxfId="56"/>
    <tableColumn id="3" name="Chef de projet" dataDxfId="55"/>
    <tableColumn id="4" name="Concepteur" dataDxfId="54"/>
    <tableColumn id="5" name="Architecte" dataDxfId="53"/>
    <tableColumn id="6" name="Développeur" dataDxfId="52"/>
    <tableColumn id="12" name="Graphiste" dataDxfId="51"/>
    <tableColumn id="7" name="Colonne3" dataDxfId="50"/>
    <tableColumn id="8" name="Vérification" dataDxfId="49">
      <calculatedColumnFormula>SUM(K7:O7)</calculatedColumnFormula>
    </tableColumn>
  </tableColumns>
  <tableStyleInfo name="TableStyleLight2" showFirstColumn="0" showLastColumn="0" showRowStripes="1" showColumnStripes="0"/>
</table>
</file>

<file path=xl/tables/table6.xml><?xml version="1.0" encoding="utf-8"?>
<table xmlns="http://schemas.openxmlformats.org/spreadsheetml/2006/main" id="7" name="CEP_Axones" displayName="CEP_Axones" ref="A6:M16" totalsRowShown="0" headerRowDxfId="48" dataDxfId="47">
  <autoFilter ref="A6:M16"/>
  <tableColumns count="13">
    <tableColumn id="1" name="Profil" dataDxfId="46"/>
    <tableColumn id="2" name="Nom" dataDxfId="45" dataCellStyle="Monétaire"/>
    <tableColumn id="3" name="Salaire annuel Brut" dataDxfId="44" dataCellStyle="Monétaire"/>
    <tableColumn id="4" name="Prix de revient jour" dataDxfId="43" dataCellStyle="Monétaire">
      <calculatedColumnFormula>CEP_Axones[[#This Row],[Salaire annuel Brut]]*1.7/215</calculatedColumnFormula>
    </tableColumn>
    <tableColumn id="12" name="Coefficient efficacité" dataDxfId="42" dataCellStyle="Monétaire"/>
    <tableColumn id="5" name="Nb jours vendus" dataDxfId="41">
      <calculatedColumnFormula>'Charges &amp; coûts'!#REF!</calculatedColumnFormula>
    </tableColumn>
    <tableColumn id="6" name="Prix vente cible" dataDxfId="40">
      <calculatedColumnFormula>CEP_Axones[[#This Row],[Prix de revient jour]]*(1+Marge_Cible)/CEP_Axones[[#This Row],[Coefficient efficacité]]</calculatedColumnFormula>
    </tableColumn>
    <tableColumn id="7" name="Prix vente effectif" dataDxfId="39">
      <calculatedColumnFormula>'Analyse fonctionnelle'!$I$3</calculatedColumnFormula>
    </tableColumn>
    <tableColumn id="8" name="CA" dataDxfId="38">
      <calculatedColumnFormula>CEP_Axones[[#This Row],[Nb jours vendus]]*CEP_Axones[[#This Row],[Prix vente effectif]]</calculatedColumnFormula>
    </tableColumn>
    <tableColumn id="13" name="Nb jours à produire" dataDxfId="37">
      <calculatedColumnFormula>CEP_Axones[[#This Row],[Nb jours vendus]]/CEP_Axones[[#This Row],[Coefficient efficacité]]</calculatedColumnFormula>
    </tableColumn>
    <tableColumn id="9" name="Prix revient" dataDxfId="36">
      <calculatedColumnFormula>CEP_Axones[[#This Row],[Prix de revient jour]]*CEP_Axones[[#This Row],[Nb jours à produire]]</calculatedColumnFormula>
    </tableColumn>
    <tableColumn id="10" name="Marge brute" dataDxfId="35">
      <calculatedColumnFormula>CEP_Axones[[#This Row],[CA]]-CEP_Axones[[#This Row],[Prix revient]]</calculatedColumnFormula>
    </tableColumn>
    <tableColumn id="11" name="Marge brute (%)" dataDxfId="34" dataCellStyle="Pourcentage">
      <calculatedColumnFormula>IF(CEP_Axones[[#This Row],[CA]]&gt;0,CEP_Axones[[#This Row],[Marge brute]]/CEP_Axones[[#This Row],[CA]],"")</calculatedColumnFormula>
    </tableColumn>
  </tableColumns>
  <tableStyleInfo name="TableStyleLight2" showFirstColumn="0" showLastColumn="0" showRowStripes="1" showColumnStripes="0"/>
</table>
</file>

<file path=xl/tables/table7.xml><?xml version="1.0" encoding="utf-8"?>
<table xmlns="http://schemas.openxmlformats.org/spreadsheetml/2006/main" id="8" name="CEP_Sstraitants" displayName="CEP_Sstraitants" ref="A22:M32" totalsRowShown="0" headerRowDxfId="33" dataDxfId="32">
  <autoFilter ref="A22:M32"/>
  <tableColumns count="13">
    <tableColumn id="1" name="Profil" dataDxfId="31"/>
    <tableColumn id="2" name="Nom" dataDxfId="30" dataCellStyle="Monétaire"/>
    <tableColumn id="3" name="Colonne1" dataDxfId="29" dataCellStyle="Monétaire"/>
    <tableColumn id="4" name="Prix Achat" dataDxfId="28" dataCellStyle="Monétaire">
      <calculatedColumnFormula>CEP_Sstraitants[[#This Row],[Colonne1]]*1.7/215</calculatedColumnFormula>
    </tableColumn>
    <tableColumn id="12" name="Coefficient efficacité" dataDxfId="27" dataCellStyle="Monétaire"/>
    <tableColumn id="5" name="Nb jours vendus" dataDxfId="26">
      <calculatedColumnFormula>'Charges &amp; coûts'!#REF!</calculatedColumnFormula>
    </tableColumn>
    <tableColumn id="6" name="Prix vente cible" dataDxfId="25">
      <calculatedColumnFormula>CEP_Sstraitants[[#This Row],[Prix Achat]]*(1+Marge_Cible)/CEP_Sstraitants[[#This Row],[Coefficient efficacité]]</calculatedColumnFormula>
    </tableColumn>
    <tableColumn id="7" name="Prix vente effectif" dataDxfId="24">
      <calculatedColumnFormula>'Analyse fonctionnelle'!$I$3</calculatedColumnFormula>
    </tableColumn>
    <tableColumn id="8" name="CA" dataDxfId="23">
      <calculatedColumnFormula>CEP_Sstraitants[[#This Row],[Nb jours vendus]]*CEP_Sstraitants[[#This Row],[Prix vente effectif]]</calculatedColumnFormula>
    </tableColumn>
    <tableColumn id="13" name="Nb jours à produire" dataDxfId="22">
      <calculatedColumnFormula>CEP_Sstraitants[[#This Row],[Nb jours vendus]]/CEP_Sstraitants[[#This Row],[Coefficient efficacité]]</calculatedColumnFormula>
    </tableColumn>
    <tableColumn id="9" name="Prix revient" dataDxfId="21">
      <calculatedColumnFormula>CEP_Sstraitants[[#This Row],[Prix Achat]]*CEP_Sstraitants[[#This Row],[Nb jours à produire]]</calculatedColumnFormula>
    </tableColumn>
    <tableColumn id="10" name="Marge brute" dataDxfId="20">
      <calculatedColumnFormula>CEP_Sstraitants[[#This Row],[CA]]-CEP_Sstraitants[[#This Row],[Prix revient]]</calculatedColumnFormula>
    </tableColumn>
    <tableColumn id="11" name="Marge brute (%)" dataDxfId="19" dataCellStyle="Pourcentage">
      <calculatedColumnFormula>IF(CEP_Sstraitants[[#This Row],[CA]]&gt;0,CEP_Sstraitants[[#This Row],[Marge brute]]/CEP_Sstraitants[[#This Row],[CA]],"")</calculatedColumnFormula>
    </tableColumn>
  </tableColumns>
  <tableStyleInfo name="TableStyleLight2" showFirstColumn="0" showLastColumn="0" showRowStripes="1" showColumnStripes="0"/>
</table>
</file>

<file path=xl/tables/table8.xml><?xml version="1.0" encoding="utf-8"?>
<table xmlns="http://schemas.openxmlformats.org/spreadsheetml/2006/main" id="9" name="AchatRevente" displayName="AchatRevente" ref="A40:E45" totalsRowShown="0" headerRowDxfId="18" dataDxfId="16" headerRowBorderDxfId="17" tableBorderDxfId="15">
  <autoFilter ref="A40:E45"/>
  <tableColumns count="5">
    <tableColumn id="1" name="Dénomination" dataDxfId="14"/>
    <tableColumn id="2" name="Prix d'achat" dataDxfId="13"/>
    <tableColumn id="3" name="Prix de vente" dataDxfId="12"/>
    <tableColumn id="4" name="Marge" dataDxfId="11">
      <calculatedColumnFormula>AchatRevente[[#This Row],[Prix de vente]]-AchatRevente[[#This Row],[Prix d''achat]]</calculatedColumnFormula>
    </tableColumn>
    <tableColumn id="5" name="Marge (%)" dataDxfId="10">
      <calculatedColumnFormula>IF(AchatRevente[[#This Row],[Prix d''achat]]&gt;0,AchatRevente[[#This Row],[Marge]]/AchatRevente[[#This Row],[Prix d''achat]],"")</calculatedColumnFormula>
    </tableColumn>
  </tableColumns>
  <tableStyleInfo name="TableStyleLight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openxmlformats.org/officeDocument/2006/relationships/comments" Target="../comments2.xml"/><Relationship Id="rId5" Type="http://schemas.openxmlformats.org/officeDocument/2006/relationships/table" Target="../tables/table8.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2"/>
  <sheetViews>
    <sheetView workbookViewId="0">
      <selection activeCell="D5" sqref="D5"/>
    </sheetView>
  </sheetViews>
  <sheetFormatPr baseColWidth="10" defaultRowHeight="14.5" x14ac:dyDescent="0.35"/>
  <cols>
    <col min="1" max="1" width="100.81640625" bestFit="1" customWidth="1"/>
    <col min="2" max="2" width="6.81640625" customWidth="1"/>
    <col min="3" max="3" width="9.1796875" customWidth="1"/>
    <col min="4" max="4" width="12.08984375" bestFit="1" customWidth="1"/>
    <col min="5" max="5" width="9.7265625" bestFit="1" customWidth="1"/>
    <col min="6" max="6" width="8.1796875" bestFit="1" customWidth="1"/>
    <col min="7" max="8" width="12.81640625" bestFit="1" customWidth="1"/>
  </cols>
  <sheetData>
    <row r="3" spans="1:4" ht="15.5" x14ac:dyDescent="0.35">
      <c r="A3" s="212" t="s">
        <v>120</v>
      </c>
      <c r="C3" s="212"/>
      <c r="D3" s="212"/>
    </row>
    <row r="4" spans="1:4" ht="15.5" x14ac:dyDescent="0.35">
      <c r="B4" s="212" t="s">
        <v>8</v>
      </c>
      <c r="C4" s="212" t="s">
        <v>321</v>
      </c>
      <c r="D4" s="212" t="s">
        <v>119</v>
      </c>
    </row>
    <row r="5" spans="1:4" x14ac:dyDescent="0.35">
      <c r="A5" s="117" t="s">
        <v>329</v>
      </c>
      <c r="B5" s="118">
        <v>3</v>
      </c>
      <c r="C5" s="118"/>
      <c r="D5" s="118">
        <v>3</v>
      </c>
    </row>
    <row r="6" spans="1:4" x14ac:dyDescent="0.35">
      <c r="A6" s="117" t="s">
        <v>330</v>
      </c>
      <c r="B6" s="118">
        <v>2</v>
      </c>
      <c r="C6" s="118"/>
      <c r="D6" s="118">
        <v>2</v>
      </c>
    </row>
    <row r="7" spans="1:4" x14ac:dyDescent="0.35">
      <c r="A7" s="117" t="s">
        <v>331</v>
      </c>
      <c r="B7" s="118"/>
      <c r="C7" s="118">
        <v>7</v>
      </c>
      <c r="D7" s="118">
        <v>7</v>
      </c>
    </row>
    <row r="8" spans="1:4" ht="15.5" x14ac:dyDescent="0.35">
      <c r="A8" s="214" t="s">
        <v>119</v>
      </c>
      <c r="B8" s="213">
        <v>5</v>
      </c>
      <c r="C8" s="213">
        <v>7</v>
      </c>
      <c r="D8" s="213">
        <v>12</v>
      </c>
    </row>
    <row r="82" ht="15.5" x14ac:dyDescent="0.35"/>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E6" sqref="E6"/>
    </sheetView>
  </sheetViews>
  <sheetFormatPr baseColWidth="10" defaultColWidth="11.453125" defaultRowHeight="16" x14ac:dyDescent="0.45"/>
  <cols>
    <col min="1" max="1" width="11.453125" style="1"/>
    <col min="2" max="2" width="24" style="1" customWidth="1"/>
    <col min="3" max="4" width="11.453125" style="1"/>
    <col min="5" max="5" width="11.54296875" style="1" customWidth="1"/>
    <col min="6" max="7" width="11.453125" style="1"/>
    <col min="8" max="8" width="13.7265625" style="1" customWidth="1"/>
    <col min="9" max="16384" width="11.453125" style="1"/>
  </cols>
  <sheetData>
    <row r="1" spans="1:9" ht="27" x14ac:dyDescent="0.65">
      <c r="A1" s="113" t="s">
        <v>104</v>
      </c>
    </row>
    <row r="3" spans="1:9" ht="22" x14ac:dyDescent="0.55000000000000004">
      <c r="A3" s="2" t="s">
        <v>14</v>
      </c>
    </row>
    <row r="4" spans="1:9" ht="16.5" thickBot="1" x14ac:dyDescent="0.5"/>
    <row r="5" spans="1:9" ht="16.5" thickTop="1" x14ac:dyDescent="0.45">
      <c r="A5" s="110" t="s">
        <v>109</v>
      </c>
      <c r="B5" s="108"/>
      <c r="H5" s="105" t="s">
        <v>112</v>
      </c>
      <c r="I5" s="105" t="s">
        <v>117</v>
      </c>
    </row>
    <row r="6" spans="1:9" x14ac:dyDescent="0.45">
      <c r="A6" s="111" t="s">
        <v>14</v>
      </c>
      <c r="B6" s="109"/>
      <c r="H6" s="105" t="s">
        <v>108</v>
      </c>
      <c r="I6" s="106">
        <v>40590</v>
      </c>
    </row>
    <row r="7" spans="1:9" x14ac:dyDescent="0.45">
      <c r="A7" s="112" t="s">
        <v>110</v>
      </c>
      <c r="B7" s="107"/>
      <c r="H7" s="105" t="s">
        <v>106</v>
      </c>
      <c r="I7" s="105" t="s">
        <v>107</v>
      </c>
    </row>
    <row r="8" spans="1:9" x14ac:dyDescent="0.45">
      <c r="A8" s="111" t="s">
        <v>105</v>
      </c>
      <c r="B8" s="109"/>
    </row>
    <row r="9" spans="1:9" x14ac:dyDescent="0.45">
      <c r="A9" s="112" t="s">
        <v>111</v>
      </c>
      <c r="B9" s="107"/>
    </row>
    <row r="12" spans="1:9" ht="22" x14ac:dyDescent="0.55000000000000004">
      <c r="A12" s="2" t="s">
        <v>113</v>
      </c>
    </row>
    <row r="15" spans="1:9" x14ac:dyDescent="0.45">
      <c r="A15" s="1" t="s">
        <v>114</v>
      </c>
      <c r="B15" s="1" t="s">
        <v>115</v>
      </c>
    </row>
    <row r="16" spans="1:9" x14ac:dyDescent="0.45">
      <c r="B16" s="1" t="s">
        <v>116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topLeftCell="A4" workbookViewId="0">
      <selection activeCell="B92" sqref="B92"/>
    </sheetView>
  </sheetViews>
  <sheetFormatPr baseColWidth="10" defaultColWidth="11.453125" defaultRowHeight="16" x14ac:dyDescent="0.45"/>
  <cols>
    <col min="1" max="1" width="38.1796875" style="1" bestFit="1" customWidth="1"/>
    <col min="2" max="2" width="16.7265625" style="1" customWidth="1"/>
    <col min="3" max="3" width="17.54296875" style="1" customWidth="1"/>
    <col min="4" max="4" width="14.81640625" style="1" customWidth="1"/>
    <col min="5" max="5" width="52.453125" style="1" bestFit="1" customWidth="1"/>
    <col min="6" max="6" width="14.54296875" style="1" customWidth="1"/>
    <col min="7" max="9" width="11.453125" style="1"/>
    <col min="10" max="10" width="9" style="1" customWidth="1"/>
    <col min="11" max="11" width="13.453125" style="1" bestFit="1" customWidth="1"/>
    <col min="12" max="16384" width="11.453125" style="1"/>
  </cols>
  <sheetData>
    <row r="1" spans="1:11" ht="22" x14ac:dyDescent="0.55000000000000004">
      <c r="A1" s="2" t="s">
        <v>15</v>
      </c>
    </row>
    <row r="4" spans="1:11" x14ac:dyDescent="0.45">
      <c r="A4" s="7" t="s">
        <v>0</v>
      </c>
      <c r="B4" s="7" t="s">
        <v>2</v>
      </c>
      <c r="C4" s="7" t="s">
        <v>3</v>
      </c>
      <c r="D4" s="7" t="s">
        <v>6</v>
      </c>
      <c r="E4" s="7" t="s">
        <v>1</v>
      </c>
      <c r="F4" s="7" t="s">
        <v>4</v>
      </c>
    </row>
    <row r="5" spans="1:11" hidden="1" x14ac:dyDescent="0.45">
      <c r="A5" s="5" t="s">
        <v>11</v>
      </c>
      <c r="B5" s="5" t="s">
        <v>132</v>
      </c>
      <c r="C5" s="5" t="s">
        <v>10</v>
      </c>
      <c r="D5" s="5"/>
      <c r="E5" s="5" t="str">
        <f>CONCATENATE(Catalogue_UO[[#This Row],[Type d''UO]]," ",Catalogue_UO[[#This Row],[Complexité]]," ",Catalogue_UO[[#This Row],[Technologie]]," ",Catalogue_UO[[#This Row],[Variante]])</f>
        <v xml:space="preserve">Ecran Basique Java </v>
      </c>
      <c r="F5" s="5">
        <f>J5</f>
        <v>0.5</v>
      </c>
      <c r="J5" s="1">
        <v>0.5</v>
      </c>
      <c r="K5" s="1">
        <f>J5*2</f>
        <v>1</v>
      </c>
    </row>
    <row r="6" spans="1:11" hidden="1" x14ac:dyDescent="0.45">
      <c r="A6" s="5" t="s">
        <v>11</v>
      </c>
      <c r="B6" s="5" t="s">
        <v>7</v>
      </c>
      <c r="C6" s="5" t="s">
        <v>10</v>
      </c>
      <c r="D6" s="5"/>
      <c r="E6" s="5" t="str">
        <f>CONCATENATE(Catalogue_UO[[#This Row],[Type d''UO]]," ",Catalogue_UO[[#This Row],[Complexité]]," ",Catalogue_UO[[#This Row],[Technologie]]," ",Catalogue_UO[[#This Row],[Variante]])</f>
        <v xml:space="preserve">Ecran Simple Java </v>
      </c>
      <c r="F6" s="5">
        <f t="shared" ref="F6:F9" si="0">J6</f>
        <v>1</v>
      </c>
      <c r="J6" s="1">
        <v>1</v>
      </c>
      <c r="K6" s="1">
        <f t="shared" ref="K6:K9" si="1">J6*2</f>
        <v>2</v>
      </c>
    </row>
    <row r="7" spans="1:11" hidden="1" x14ac:dyDescent="0.45">
      <c r="A7" s="5" t="s">
        <v>11</v>
      </c>
      <c r="B7" s="5" t="s">
        <v>8</v>
      </c>
      <c r="C7" s="5" t="s">
        <v>10</v>
      </c>
      <c r="D7" s="5"/>
      <c r="E7" s="5" t="str">
        <f>CONCATENATE(Catalogue_UO[[#This Row],[Type d''UO]]," ",Catalogue_UO[[#This Row],[Complexité]]," ",Catalogue_UO[[#This Row],[Technologie]]," ",Catalogue_UO[[#This Row],[Variante]])</f>
        <v xml:space="preserve">Ecran Moyen Java </v>
      </c>
      <c r="F7" s="5">
        <f t="shared" si="0"/>
        <v>2.5</v>
      </c>
      <c r="J7" s="1">
        <v>2.5</v>
      </c>
      <c r="K7" s="1">
        <f t="shared" si="1"/>
        <v>5</v>
      </c>
    </row>
    <row r="8" spans="1:11" hidden="1" x14ac:dyDescent="0.45">
      <c r="A8" s="5" t="s">
        <v>11</v>
      </c>
      <c r="B8" s="5" t="s">
        <v>9</v>
      </c>
      <c r="C8" s="5" t="s">
        <v>10</v>
      </c>
      <c r="D8" s="5"/>
      <c r="E8" s="5" t="str">
        <f>CONCATENATE(Catalogue_UO[[#This Row],[Type d''UO]]," ",Catalogue_UO[[#This Row],[Complexité]]," ",Catalogue_UO[[#This Row],[Technologie]]," ",Catalogue_UO[[#This Row],[Variante]])</f>
        <v xml:space="preserve">Ecran Complexe Java </v>
      </c>
      <c r="F8" s="5">
        <f t="shared" si="0"/>
        <v>4.5</v>
      </c>
      <c r="J8" s="1">
        <v>4.5</v>
      </c>
      <c r="K8" s="1">
        <f t="shared" si="1"/>
        <v>9</v>
      </c>
    </row>
    <row r="9" spans="1:11" hidden="1" x14ac:dyDescent="0.45">
      <c r="A9" s="5" t="s">
        <v>11</v>
      </c>
      <c r="B9" s="5" t="s">
        <v>133</v>
      </c>
      <c r="C9" s="5" t="s">
        <v>10</v>
      </c>
      <c r="D9" s="5"/>
      <c r="E9" s="5" t="str">
        <f>CONCATENATE(Catalogue_UO[[#This Row],[Type d''UO]]," ",Catalogue_UO[[#This Row],[Complexité]]," ",Catalogue_UO[[#This Row],[Technologie]]," ",Catalogue_UO[[#This Row],[Variante]])</f>
        <v xml:space="preserve">Ecran Très complexe Java </v>
      </c>
      <c r="F9" s="5">
        <f t="shared" si="0"/>
        <v>8</v>
      </c>
      <c r="J9" s="1">
        <v>8</v>
      </c>
      <c r="K9" s="1">
        <f t="shared" si="1"/>
        <v>16</v>
      </c>
    </row>
    <row r="10" spans="1:11" hidden="1" x14ac:dyDescent="0.45">
      <c r="A10" s="5" t="s">
        <v>136</v>
      </c>
      <c r="B10" s="5" t="s">
        <v>7</v>
      </c>
      <c r="C10" s="5" t="s">
        <v>10</v>
      </c>
      <c r="D10" s="5"/>
      <c r="E10" s="5" t="str">
        <f>CONCATENATE(Catalogue_UO[[#This Row],[Type d''UO]]," ",Catalogue_UO[[#This Row],[Complexité]]," ",Catalogue_UO[[#This Row],[Technologie]]," ",Catalogue_UO[[#This Row],[Variante]])</f>
        <v xml:space="preserve">Structure Simple Java </v>
      </c>
      <c r="F10" s="5">
        <v>2</v>
      </c>
    </row>
    <row r="11" spans="1:11" hidden="1" x14ac:dyDescent="0.45">
      <c r="A11" s="5" t="s">
        <v>136</v>
      </c>
      <c r="B11" s="5" t="s">
        <v>8</v>
      </c>
      <c r="C11" s="5" t="s">
        <v>10</v>
      </c>
      <c r="D11" s="5"/>
      <c r="E11" s="5" t="str">
        <f>CONCATENATE(Catalogue_UO[[#This Row],[Type d''UO]]," ",Catalogue_UO[[#This Row],[Complexité]]," ",Catalogue_UO[[#This Row],[Technologie]]," ",Catalogue_UO[[#This Row],[Variante]])</f>
        <v xml:space="preserve">Structure Moyen Java </v>
      </c>
      <c r="F11" s="5">
        <v>4</v>
      </c>
    </row>
    <row r="12" spans="1:11" hidden="1" x14ac:dyDescent="0.45">
      <c r="A12" s="5" t="s">
        <v>136</v>
      </c>
      <c r="B12" s="5" t="s">
        <v>9</v>
      </c>
      <c r="C12" s="5" t="s">
        <v>10</v>
      </c>
      <c r="D12" s="5"/>
      <c r="E12" s="5" t="str">
        <f>CONCATENATE(Catalogue_UO[[#This Row],[Type d''UO]]," ",Catalogue_UO[[#This Row],[Complexité]]," ",Catalogue_UO[[#This Row],[Technologie]]," ",Catalogue_UO[[#This Row],[Variante]])</f>
        <v xml:space="preserve">Structure Complexe Java </v>
      </c>
      <c r="F12" s="5">
        <v>9</v>
      </c>
    </row>
    <row r="13" spans="1:11" hidden="1" x14ac:dyDescent="0.45">
      <c r="A13" s="5" t="s">
        <v>13</v>
      </c>
      <c r="B13" s="5" t="s">
        <v>132</v>
      </c>
      <c r="C13" s="5" t="s">
        <v>10</v>
      </c>
      <c r="D13" s="5"/>
      <c r="E13" s="5" t="str">
        <f>CONCATENATE(Catalogue_UO[[#This Row],[Type d''UO]]," ",Catalogue_UO[[#This Row],[Complexité]]," ",Catalogue_UO[[#This Row],[Technologie]]," ",Catalogue_UO[[#This Row],[Variante]])</f>
        <v xml:space="preserve">Traitement Basique Java </v>
      </c>
      <c r="F13" s="5">
        <f>J5</f>
        <v>0.5</v>
      </c>
    </row>
    <row r="14" spans="1:11" hidden="1" x14ac:dyDescent="0.45">
      <c r="A14" s="5" t="s">
        <v>13</v>
      </c>
      <c r="B14" s="5" t="s">
        <v>7</v>
      </c>
      <c r="C14" s="5" t="s">
        <v>10</v>
      </c>
      <c r="D14" s="5"/>
      <c r="E14" s="5" t="str">
        <f>CONCATENATE(Catalogue_UO[[#This Row],[Type d''UO]]," ",Catalogue_UO[[#This Row],[Complexité]]," ",Catalogue_UO[[#This Row],[Technologie]]," ",Catalogue_UO[[#This Row],[Variante]])</f>
        <v xml:space="preserve">Traitement Simple Java </v>
      </c>
      <c r="F14" s="5">
        <f t="shared" ref="F14:F16" si="2">J6</f>
        <v>1</v>
      </c>
    </row>
    <row r="15" spans="1:11" hidden="1" x14ac:dyDescent="0.45">
      <c r="A15" s="5" t="s">
        <v>13</v>
      </c>
      <c r="B15" s="5" t="s">
        <v>8</v>
      </c>
      <c r="C15" s="5" t="s">
        <v>10</v>
      </c>
      <c r="D15" s="5"/>
      <c r="E15" s="5" t="str">
        <f>CONCATENATE(Catalogue_UO[[#This Row],[Type d''UO]]," ",Catalogue_UO[[#This Row],[Complexité]]," ",Catalogue_UO[[#This Row],[Technologie]]," ",Catalogue_UO[[#This Row],[Variante]])</f>
        <v xml:space="preserve">Traitement Moyen Java </v>
      </c>
      <c r="F15" s="5">
        <f t="shared" si="2"/>
        <v>2.5</v>
      </c>
    </row>
    <row r="16" spans="1:11" hidden="1" x14ac:dyDescent="0.45">
      <c r="A16" s="5" t="s">
        <v>13</v>
      </c>
      <c r="B16" s="5" t="s">
        <v>9</v>
      </c>
      <c r="C16" s="5" t="s">
        <v>10</v>
      </c>
      <c r="D16" s="5"/>
      <c r="E16" s="5" t="str">
        <f>CONCATENATE(Catalogue_UO[[#This Row],[Type d''UO]]," ",Catalogue_UO[[#This Row],[Complexité]]," ",Catalogue_UO[[#This Row],[Technologie]]," ",Catalogue_UO[[#This Row],[Variante]])</f>
        <v xml:space="preserve">Traitement Complexe Java </v>
      </c>
      <c r="F16" s="5">
        <f t="shared" si="2"/>
        <v>4.5</v>
      </c>
    </row>
    <row r="17" spans="1:6" hidden="1" x14ac:dyDescent="0.45">
      <c r="A17" s="5" t="s">
        <v>13</v>
      </c>
      <c r="B17" s="5" t="s">
        <v>133</v>
      </c>
      <c r="C17" s="5" t="s">
        <v>10</v>
      </c>
      <c r="D17" s="5"/>
      <c r="E17" s="5" t="str">
        <f>CONCATENATE(Catalogue_UO[[#This Row],[Type d''UO]]," ",Catalogue_UO[[#This Row],[Complexité]]," ",Catalogue_UO[[#This Row],[Technologie]]," ",Catalogue_UO[[#This Row],[Variante]])</f>
        <v xml:space="preserve">Traitement Très complexe Java </v>
      </c>
      <c r="F17" s="5">
        <v>10</v>
      </c>
    </row>
    <row r="18" spans="1:6" hidden="1" x14ac:dyDescent="0.45">
      <c r="A18" s="5" t="s">
        <v>134</v>
      </c>
      <c r="B18" s="5" t="s">
        <v>132</v>
      </c>
      <c r="C18" s="5" t="s">
        <v>10</v>
      </c>
      <c r="D18" s="5"/>
      <c r="E18" s="5" t="str">
        <f>CONCATENATE(Catalogue_UO[[#This Row],[Type d''UO]]," ",Catalogue_UO[[#This Row],[Complexité]]," ",Catalogue_UO[[#This Row],[Technologie]]," ",Catalogue_UO[[#This Row],[Variante]])</f>
        <v xml:space="preserve">Import Basique Java </v>
      </c>
      <c r="F18" s="5">
        <f>K5</f>
        <v>1</v>
      </c>
    </row>
    <row r="19" spans="1:6" hidden="1" x14ac:dyDescent="0.45">
      <c r="A19" s="5" t="s">
        <v>134</v>
      </c>
      <c r="B19" s="5" t="s">
        <v>7</v>
      </c>
      <c r="C19" s="5" t="s">
        <v>10</v>
      </c>
      <c r="D19" s="5"/>
      <c r="E19" s="5" t="str">
        <f>CONCATENATE(Catalogue_UO[[#This Row],[Type d''UO]]," ",Catalogue_UO[[#This Row],[Complexité]]," ",Catalogue_UO[[#This Row],[Technologie]]," ",Catalogue_UO[[#This Row],[Variante]])</f>
        <v xml:space="preserve">Import Simple Java </v>
      </c>
      <c r="F19" s="5">
        <f t="shared" ref="F19:F22" si="3">K6</f>
        <v>2</v>
      </c>
    </row>
    <row r="20" spans="1:6" hidden="1" x14ac:dyDescent="0.45">
      <c r="A20" s="5" t="s">
        <v>134</v>
      </c>
      <c r="B20" s="5" t="s">
        <v>8</v>
      </c>
      <c r="C20" s="5" t="s">
        <v>10</v>
      </c>
      <c r="D20" s="5"/>
      <c r="E20" s="5" t="str">
        <f>CONCATENATE(Catalogue_UO[[#This Row],[Type d''UO]]," ",Catalogue_UO[[#This Row],[Complexité]]," ",Catalogue_UO[[#This Row],[Technologie]]," ",Catalogue_UO[[#This Row],[Variante]])</f>
        <v xml:space="preserve">Import Moyen Java </v>
      </c>
      <c r="F20" s="5">
        <f t="shared" si="3"/>
        <v>5</v>
      </c>
    </row>
    <row r="21" spans="1:6" hidden="1" x14ac:dyDescent="0.45">
      <c r="A21" s="5" t="s">
        <v>134</v>
      </c>
      <c r="B21" s="5" t="s">
        <v>9</v>
      </c>
      <c r="C21" s="5" t="s">
        <v>10</v>
      </c>
      <c r="D21" s="5"/>
      <c r="E21" s="5" t="str">
        <f>CONCATENATE(Catalogue_UO[[#This Row],[Type d''UO]]," ",Catalogue_UO[[#This Row],[Complexité]]," ",Catalogue_UO[[#This Row],[Technologie]]," ",Catalogue_UO[[#This Row],[Variante]])</f>
        <v xml:space="preserve">Import Complexe Java </v>
      </c>
      <c r="F21" s="5">
        <f t="shared" si="3"/>
        <v>9</v>
      </c>
    </row>
    <row r="22" spans="1:6" hidden="1" x14ac:dyDescent="0.45">
      <c r="A22" s="5" t="s">
        <v>134</v>
      </c>
      <c r="B22" s="5" t="s">
        <v>133</v>
      </c>
      <c r="C22" s="5" t="s">
        <v>10</v>
      </c>
      <c r="D22" s="5"/>
      <c r="E22" s="5" t="str">
        <f>CONCATENATE(Catalogue_UO[[#This Row],[Type d''UO]]," ",Catalogue_UO[[#This Row],[Complexité]]," ",Catalogue_UO[[#This Row],[Technologie]]," ",Catalogue_UO[[#This Row],[Variante]])</f>
        <v xml:space="preserve">Import Très complexe Java </v>
      </c>
      <c r="F22" s="5">
        <f t="shared" si="3"/>
        <v>16</v>
      </c>
    </row>
    <row r="23" spans="1:6" hidden="1" x14ac:dyDescent="0.45">
      <c r="A23" s="5" t="s">
        <v>12</v>
      </c>
      <c r="B23" s="5" t="s">
        <v>132</v>
      </c>
      <c r="C23" s="5" t="s">
        <v>10</v>
      </c>
      <c r="D23" s="5"/>
      <c r="E23" s="5" t="str">
        <f>CONCATENATE(Catalogue_UO[[#This Row],[Type d''UO]]," ",Catalogue_UO[[#This Row],[Complexité]]," ",Catalogue_UO[[#This Row],[Technologie]]," ",Catalogue_UO[[#This Row],[Variante]])</f>
        <v xml:space="preserve">Rapport Basique Java </v>
      </c>
      <c r="F23" s="5">
        <f>K5</f>
        <v>1</v>
      </c>
    </row>
    <row r="24" spans="1:6" hidden="1" x14ac:dyDescent="0.45">
      <c r="A24" s="5" t="s">
        <v>12</v>
      </c>
      <c r="B24" s="5" t="s">
        <v>7</v>
      </c>
      <c r="C24" s="5" t="s">
        <v>10</v>
      </c>
      <c r="D24" s="5"/>
      <c r="E24" s="5" t="str">
        <f>CONCATENATE(Catalogue_UO[[#This Row],[Type d''UO]]," ",Catalogue_UO[[#This Row],[Complexité]]," ",Catalogue_UO[[#This Row],[Technologie]]," ",Catalogue_UO[[#This Row],[Variante]])</f>
        <v xml:space="preserve">Rapport Simple Java </v>
      </c>
      <c r="F24" s="5">
        <f t="shared" ref="F24:F27" si="4">K6</f>
        <v>2</v>
      </c>
    </row>
    <row r="25" spans="1:6" hidden="1" x14ac:dyDescent="0.45">
      <c r="A25" s="5" t="s">
        <v>12</v>
      </c>
      <c r="B25" s="5" t="s">
        <v>8</v>
      </c>
      <c r="C25" s="5" t="s">
        <v>10</v>
      </c>
      <c r="D25" s="5"/>
      <c r="E25" s="5" t="str">
        <f>CONCATENATE(Catalogue_UO[[#This Row],[Type d''UO]]," ",Catalogue_UO[[#This Row],[Complexité]]," ",Catalogue_UO[[#This Row],[Technologie]]," ",Catalogue_UO[[#This Row],[Variante]])</f>
        <v xml:space="preserve">Rapport Moyen Java </v>
      </c>
      <c r="F25" s="5">
        <f t="shared" si="4"/>
        <v>5</v>
      </c>
    </row>
    <row r="26" spans="1:6" hidden="1" x14ac:dyDescent="0.45">
      <c r="A26" s="5" t="s">
        <v>12</v>
      </c>
      <c r="B26" s="5" t="s">
        <v>9</v>
      </c>
      <c r="C26" s="5" t="s">
        <v>10</v>
      </c>
      <c r="D26" s="5"/>
      <c r="E26" s="5" t="str">
        <f>CONCATENATE(Catalogue_UO[[#This Row],[Type d''UO]]," ",Catalogue_UO[[#This Row],[Complexité]]," ",Catalogue_UO[[#This Row],[Technologie]]," ",Catalogue_UO[[#This Row],[Variante]])</f>
        <v xml:space="preserve">Rapport Complexe Java </v>
      </c>
      <c r="F26" s="5">
        <f t="shared" si="4"/>
        <v>9</v>
      </c>
    </row>
    <row r="27" spans="1:6" hidden="1" x14ac:dyDescent="0.45">
      <c r="A27" s="5" t="s">
        <v>12</v>
      </c>
      <c r="B27" s="5" t="s">
        <v>133</v>
      </c>
      <c r="C27" s="5" t="s">
        <v>10</v>
      </c>
      <c r="D27" s="5"/>
      <c r="E27" s="5" t="str">
        <f>CONCATENATE(Catalogue_UO[[#This Row],[Type d''UO]]," ",Catalogue_UO[[#This Row],[Complexité]]," ",Catalogue_UO[[#This Row],[Technologie]]," ",Catalogue_UO[[#This Row],[Variante]])</f>
        <v xml:space="preserve">Rapport Très complexe Java </v>
      </c>
      <c r="F27" s="5">
        <f t="shared" si="4"/>
        <v>16</v>
      </c>
    </row>
    <row r="28" spans="1:6" hidden="1" x14ac:dyDescent="0.45">
      <c r="A28" s="5" t="s">
        <v>139</v>
      </c>
      <c r="B28" s="5" t="s">
        <v>132</v>
      </c>
      <c r="C28" s="5" t="s">
        <v>10</v>
      </c>
      <c r="D28" s="5"/>
      <c r="E28" s="196" t="str">
        <f>CONCATENATE(Catalogue_UO[[#This Row],[Type d''UO]]," ",Catalogue_UO[[#This Row],[Complexité]]," ",Catalogue_UO[[#This Row],[Technologie]]," ",Catalogue_UO[[#This Row],[Variante]])</f>
        <v xml:space="preserve">Interface Web Service Basique Java </v>
      </c>
      <c r="F28" s="5">
        <f>J5</f>
        <v>0.5</v>
      </c>
    </row>
    <row r="29" spans="1:6" hidden="1" x14ac:dyDescent="0.45">
      <c r="A29" s="5" t="s">
        <v>139</v>
      </c>
      <c r="B29" s="5" t="s">
        <v>7</v>
      </c>
      <c r="C29" s="5" t="s">
        <v>10</v>
      </c>
      <c r="D29" s="5"/>
      <c r="E29" s="196" t="str">
        <f>CONCATENATE(Catalogue_UO[[#This Row],[Type d''UO]]," ",Catalogue_UO[[#This Row],[Complexité]]," ",Catalogue_UO[[#This Row],[Technologie]]," ",Catalogue_UO[[#This Row],[Variante]])</f>
        <v xml:space="preserve">Interface Web Service Simple Java </v>
      </c>
      <c r="F29" s="5">
        <f t="shared" ref="F29:F32" si="5">J6</f>
        <v>1</v>
      </c>
    </row>
    <row r="30" spans="1:6" hidden="1" x14ac:dyDescent="0.45">
      <c r="A30" s="5" t="s">
        <v>139</v>
      </c>
      <c r="B30" s="5" t="s">
        <v>8</v>
      </c>
      <c r="C30" s="5" t="s">
        <v>10</v>
      </c>
      <c r="D30" s="5"/>
      <c r="E30" s="196" t="str">
        <f>CONCATENATE(Catalogue_UO[[#This Row],[Type d''UO]]," ",Catalogue_UO[[#This Row],[Complexité]]," ",Catalogue_UO[[#This Row],[Technologie]]," ",Catalogue_UO[[#This Row],[Variante]])</f>
        <v xml:space="preserve">Interface Web Service Moyen Java </v>
      </c>
      <c r="F30" s="5">
        <f t="shared" si="5"/>
        <v>2.5</v>
      </c>
    </row>
    <row r="31" spans="1:6" hidden="1" x14ac:dyDescent="0.45">
      <c r="A31" s="5" t="s">
        <v>139</v>
      </c>
      <c r="B31" s="5" t="s">
        <v>9</v>
      </c>
      <c r="C31" s="5" t="s">
        <v>10</v>
      </c>
      <c r="D31" s="5"/>
      <c r="E31" s="196" t="str">
        <f>CONCATENATE(Catalogue_UO[[#This Row],[Type d''UO]]," ",Catalogue_UO[[#This Row],[Complexité]]," ",Catalogue_UO[[#This Row],[Technologie]]," ",Catalogue_UO[[#This Row],[Variante]])</f>
        <v xml:space="preserve">Interface Web Service Complexe Java </v>
      </c>
      <c r="F31" s="5">
        <f t="shared" si="5"/>
        <v>4.5</v>
      </c>
    </row>
    <row r="32" spans="1:6" hidden="1" x14ac:dyDescent="0.45">
      <c r="A32" s="5" t="s">
        <v>139</v>
      </c>
      <c r="B32" s="5" t="s">
        <v>133</v>
      </c>
      <c r="C32" s="5" t="s">
        <v>10</v>
      </c>
      <c r="D32" s="5"/>
      <c r="E32" s="196" t="str">
        <f>CONCATENATE(Catalogue_UO[[#This Row],[Type d''UO]]," ",Catalogue_UO[[#This Row],[Complexité]]," ",Catalogue_UO[[#This Row],[Technologie]]," ",Catalogue_UO[[#This Row],[Variante]])</f>
        <v xml:space="preserve">Interface Web Service Très complexe Java </v>
      </c>
      <c r="F32" s="5">
        <f t="shared" si="5"/>
        <v>8</v>
      </c>
    </row>
    <row r="33" spans="1:6" hidden="1" x14ac:dyDescent="0.45">
      <c r="A33" s="197" t="s">
        <v>137</v>
      </c>
      <c r="B33" s="5" t="s">
        <v>132</v>
      </c>
      <c r="C33" s="5" t="s">
        <v>138</v>
      </c>
      <c r="D33" s="5"/>
      <c r="E33" s="196" t="str">
        <f>CONCATENATE(Catalogue_UO[[#This Row],[Type d''UO]]," ",Catalogue_UO[[#This Row],[Complexité]]," ",Catalogue_UO[[#This Row],[Technologie]]," ",Catalogue_UO[[#This Row],[Variante]])</f>
        <v xml:space="preserve">Mise en place d'un site  Basique Liferay </v>
      </c>
      <c r="F33" s="5">
        <f>K5</f>
        <v>1</v>
      </c>
    </row>
    <row r="34" spans="1:6" hidden="1" x14ac:dyDescent="0.45">
      <c r="A34" s="197" t="s">
        <v>137</v>
      </c>
      <c r="B34" s="5" t="s">
        <v>7</v>
      </c>
      <c r="C34" s="197" t="s">
        <v>138</v>
      </c>
      <c r="D34" s="197"/>
      <c r="E34" s="198" t="str">
        <f>CONCATENATE(Catalogue_UO[[#This Row],[Type d''UO]]," ",Catalogue_UO[[#This Row],[Complexité]]," ",Catalogue_UO[[#This Row],[Technologie]]," ",Catalogue_UO[[#This Row],[Variante]])</f>
        <v xml:space="preserve">Mise en place d'un site  Simple Liferay </v>
      </c>
      <c r="F34" s="5">
        <f t="shared" ref="F34:F37" si="6">K6</f>
        <v>2</v>
      </c>
    </row>
    <row r="35" spans="1:6" hidden="1" x14ac:dyDescent="0.45">
      <c r="A35" s="197" t="s">
        <v>137</v>
      </c>
      <c r="B35" s="5" t="s">
        <v>8</v>
      </c>
      <c r="C35" s="197" t="s">
        <v>138</v>
      </c>
      <c r="D35" s="5"/>
      <c r="E35" s="196" t="str">
        <f>CONCATENATE(Catalogue_UO[[#This Row],[Type d''UO]]," ",Catalogue_UO[[#This Row],[Complexité]]," ",Catalogue_UO[[#This Row],[Technologie]]," ",Catalogue_UO[[#This Row],[Variante]])</f>
        <v xml:space="preserve">Mise en place d'un site  Moyen Liferay </v>
      </c>
      <c r="F35" s="5">
        <f t="shared" si="6"/>
        <v>5</v>
      </c>
    </row>
    <row r="36" spans="1:6" hidden="1" x14ac:dyDescent="0.45">
      <c r="A36" s="197" t="s">
        <v>137</v>
      </c>
      <c r="B36" s="5" t="s">
        <v>9</v>
      </c>
      <c r="C36" s="197" t="s">
        <v>138</v>
      </c>
      <c r="D36" s="5"/>
      <c r="E36" s="196" t="str">
        <f>CONCATENATE(Catalogue_UO[[#This Row],[Type d''UO]]," ",Catalogue_UO[[#This Row],[Complexité]]," ",Catalogue_UO[[#This Row],[Technologie]]," ",Catalogue_UO[[#This Row],[Variante]])</f>
        <v xml:space="preserve">Mise en place d'un site  Complexe Liferay </v>
      </c>
      <c r="F36" s="5">
        <f t="shared" si="6"/>
        <v>9</v>
      </c>
    </row>
    <row r="37" spans="1:6" hidden="1" x14ac:dyDescent="0.45">
      <c r="A37" s="197" t="s">
        <v>137</v>
      </c>
      <c r="B37" s="5" t="s">
        <v>133</v>
      </c>
      <c r="C37" s="197" t="s">
        <v>138</v>
      </c>
      <c r="D37" s="5"/>
      <c r="E37" s="196" t="str">
        <f>CONCATENATE(Catalogue_UO[[#This Row],[Type d''UO]]," ",Catalogue_UO[[#This Row],[Complexité]]," ",Catalogue_UO[[#This Row],[Technologie]]," ",Catalogue_UO[[#This Row],[Variante]])</f>
        <v xml:space="preserve">Mise en place d'un site  Très complexe Liferay </v>
      </c>
      <c r="F37" s="5">
        <f t="shared" si="6"/>
        <v>16</v>
      </c>
    </row>
    <row r="38" spans="1:6" s="26" customFormat="1" hidden="1" x14ac:dyDescent="0.45">
      <c r="A38" s="5" t="s">
        <v>140</v>
      </c>
      <c r="B38" s="5" t="s">
        <v>132</v>
      </c>
      <c r="C38" s="197" t="s">
        <v>138</v>
      </c>
      <c r="D38" s="5"/>
      <c r="E38" s="196" t="str">
        <f>CONCATENATE(Catalogue_UO[[#This Row],[Type d''UO]]," ",Catalogue_UO[[#This Row],[Complexité]]," ",Catalogue_UO[[#This Row],[Technologie]]," ",Catalogue_UO[[#This Row],[Variante]])</f>
        <v xml:space="preserve">Theme graphique Basique Liferay </v>
      </c>
      <c r="F38" s="5">
        <f>K5+1</f>
        <v>2</v>
      </c>
    </row>
    <row r="39" spans="1:6" s="26" customFormat="1" hidden="1" x14ac:dyDescent="0.45">
      <c r="A39" s="5" t="s">
        <v>140</v>
      </c>
      <c r="B39" s="5" t="s">
        <v>7</v>
      </c>
      <c r="C39" s="197" t="s">
        <v>138</v>
      </c>
      <c r="D39" s="5"/>
      <c r="E39" s="196" t="str">
        <f>CONCATENATE(Catalogue_UO[[#This Row],[Type d''UO]]," ",Catalogue_UO[[#This Row],[Complexité]]," ",Catalogue_UO[[#This Row],[Technologie]]," ",Catalogue_UO[[#This Row],[Variante]])</f>
        <v xml:space="preserve">Theme graphique Simple Liferay </v>
      </c>
      <c r="F39" s="5">
        <f>K6+1</f>
        <v>3</v>
      </c>
    </row>
    <row r="40" spans="1:6" s="26" customFormat="1" hidden="1" x14ac:dyDescent="0.45">
      <c r="A40" s="5" t="s">
        <v>140</v>
      </c>
      <c r="B40" s="5" t="s">
        <v>8</v>
      </c>
      <c r="C40" s="197" t="s">
        <v>138</v>
      </c>
      <c r="D40" s="5"/>
      <c r="E40" s="196" t="str">
        <f>CONCATENATE(Catalogue_UO[[#This Row],[Type d''UO]]," ",Catalogue_UO[[#This Row],[Complexité]]," ",Catalogue_UO[[#This Row],[Technologie]]," ",Catalogue_UO[[#This Row],[Variante]])</f>
        <v xml:space="preserve">Theme graphique Moyen Liferay </v>
      </c>
      <c r="F40" s="5">
        <f>K7+1</f>
        <v>6</v>
      </c>
    </row>
    <row r="41" spans="1:6" s="26" customFormat="1" hidden="1" x14ac:dyDescent="0.45">
      <c r="A41" s="5" t="s">
        <v>140</v>
      </c>
      <c r="B41" s="5" t="s">
        <v>9</v>
      </c>
      <c r="C41" s="197" t="s">
        <v>138</v>
      </c>
      <c r="D41" s="5"/>
      <c r="E41" s="196" t="str">
        <f>CONCATENATE(Catalogue_UO[[#This Row],[Type d''UO]]," ",Catalogue_UO[[#This Row],[Complexité]]," ",Catalogue_UO[[#This Row],[Technologie]]," ",Catalogue_UO[[#This Row],[Variante]])</f>
        <v xml:space="preserve">Theme graphique Complexe Liferay </v>
      </c>
      <c r="F41" s="5">
        <f>K8+1</f>
        <v>10</v>
      </c>
    </row>
    <row r="42" spans="1:6" s="26" customFormat="1" hidden="1" x14ac:dyDescent="0.45">
      <c r="A42" s="5" t="s">
        <v>140</v>
      </c>
      <c r="B42" s="5" t="s">
        <v>133</v>
      </c>
      <c r="C42" s="197" t="s">
        <v>138</v>
      </c>
      <c r="D42" s="5"/>
      <c r="E42" s="196" t="str">
        <f>CONCATENATE(Catalogue_UO[[#This Row],[Type d''UO]]," ",Catalogue_UO[[#This Row],[Complexité]]," ",Catalogue_UO[[#This Row],[Technologie]]," ",Catalogue_UO[[#This Row],[Variante]])</f>
        <v xml:space="preserve">Theme graphique Très complexe Liferay </v>
      </c>
      <c r="F42" s="5">
        <f>K9+1</f>
        <v>17</v>
      </c>
    </row>
    <row r="43" spans="1:6" s="26" customFormat="1" hidden="1" x14ac:dyDescent="0.45">
      <c r="A43" s="5" t="s">
        <v>141</v>
      </c>
      <c r="B43" s="5" t="s">
        <v>132</v>
      </c>
      <c r="C43" s="197" t="s">
        <v>138</v>
      </c>
      <c r="D43" s="5"/>
      <c r="E43" s="196" t="str">
        <f>CONCATENATE(Catalogue_UO[[#This Row],[Type d''UO]]," ",Catalogue_UO[[#This Row],[Complexité]]," ",Catalogue_UO[[#This Row],[Technologie]]," ",Catalogue_UO[[#This Row],[Variante]])</f>
        <v xml:space="preserve">Theme graphique multi-écrans Basique Liferay </v>
      </c>
      <c r="F43" s="5">
        <f>(K5+1) * 1.5</f>
        <v>3</v>
      </c>
    </row>
    <row r="44" spans="1:6" s="26" customFormat="1" hidden="1" x14ac:dyDescent="0.45">
      <c r="A44" s="5" t="s">
        <v>141</v>
      </c>
      <c r="B44" s="5" t="s">
        <v>7</v>
      </c>
      <c r="C44" s="197" t="s">
        <v>138</v>
      </c>
      <c r="D44" s="5"/>
      <c r="E44" s="196" t="str">
        <f>CONCATENATE(Catalogue_UO[[#This Row],[Type d''UO]]," ",Catalogue_UO[[#This Row],[Complexité]]," ",Catalogue_UO[[#This Row],[Technologie]]," ",Catalogue_UO[[#This Row],[Variante]])</f>
        <v xml:space="preserve">Theme graphique multi-écrans Simple Liferay </v>
      </c>
      <c r="F44" s="5">
        <f t="shared" ref="F44:F47" si="7">(K6+1) * 1.5</f>
        <v>4.5</v>
      </c>
    </row>
    <row r="45" spans="1:6" s="26" customFormat="1" hidden="1" x14ac:dyDescent="0.45">
      <c r="A45" s="5" t="s">
        <v>141</v>
      </c>
      <c r="B45" s="5" t="s">
        <v>8</v>
      </c>
      <c r="C45" s="197" t="s">
        <v>138</v>
      </c>
      <c r="D45" s="5"/>
      <c r="E45" s="196" t="str">
        <f>CONCATENATE(Catalogue_UO[[#This Row],[Type d''UO]]," ",Catalogue_UO[[#This Row],[Complexité]]," ",Catalogue_UO[[#This Row],[Technologie]]," ",Catalogue_UO[[#This Row],[Variante]])</f>
        <v xml:space="preserve">Theme graphique multi-écrans Moyen Liferay </v>
      </c>
      <c r="F45" s="5">
        <f t="shared" si="7"/>
        <v>9</v>
      </c>
    </row>
    <row r="46" spans="1:6" s="26" customFormat="1" hidden="1" x14ac:dyDescent="0.45">
      <c r="A46" s="5" t="s">
        <v>141</v>
      </c>
      <c r="B46" s="5" t="s">
        <v>9</v>
      </c>
      <c r="C46" s="197" t="s">
        <v>138</v>
      </c>
      <c r="D46" s="5"/>
      <c r="E46" s="196" t="str">
        <f>CONCATENATE(Catalogue_UO[[#This Row],[Type d''UO]]," ",Catalogue_UO[[#This Row],[Complexité]]," ",Catalogue_UO[[#This Row],[Technologie]]," ",Catalogue_UO[[#This Row],[Variante]])</f>
        <v xml:space="preserve">Theme graphique multi-écrans Complexe Liferay </v>
      </c>
      <c r="F46" s="5">
        <f t="shared" si="7"/>
        <v>15</v>
      </c>
    </row>
    <row r="47" spans="1:6" s="26" customFormat="1" hidden="1" x14ac:dyDescent="0.45">
      <c r="A47" s="5" t="s">
        <v>141</v>
      </c>
      <c r="B47" s="5" t="s">
        <v>133</v>
      </c>
      <c r="C47" s="197" t="s">
        <v>138</v>
      </c>
      <c r="D47" s="197"/>
      <c r="E47" s="196" t="str">
        <f>CONCATENATE(Catalogue_UO[[#This Row],[Type d''UO]]," ",Catalogue_UO[[#This Row],[Complexité]]," ",Catalogue_UO[[#This Row],[Technologie]]," ",Catalogue_UO[[#This Row],[Variante]])</f>
        <v xml:space="preserve">Theme graphique multi-écrans Très complexe Liferay </v>
      </c>
      <c r="F47" s="5">
        <f t="shared" si="7"/>
        <v>25.5</v>
      </c>
    </row>
    <row r="48" spans="1:6" s="26" customFormat="1" hidden="1" x14ac:dyDescent="0.45">
      <c r="A48" s="5" t="s">
        <v>142</v>
      </c>
      <c r="B48" s="5" t="s">
        <v>132</v>
      </c>
      <c r="C48" s="197" t="s">
        <v>138</v>
      </c>
      <c r="D48" s="5"/>
      <c r="E48" s="196" t="str">
        <f>CONCATENATE(Catalogue_UO[[#This Row],[Type d''UO]]," ",Catalogue_UO[[#This Row],[Complexité]]," ",Catalogue_UO[[#This Row],[Technologie]]," ",Catalogue_UO[[#This Row],[Variante]])</f>
        <v xml:space="preserve">Template de page Basique Liferay </v>
      </c>
      <c r="F48" s="5">
        <f>J5</f>
        <v>0.5</v>
      </c>
    </row>
    <row r="49" spans="1:6" s="26" customFormat="1" hidden="1" x14ac:dyDescent="0.45">
      <c r="A49" s="5" t="s">
        <v>142</v>
      </c>
      <c r="B49" s="5" t="s">
        <v>7</v>
      </c>
      <c r="C49" s="197" t="s">
        <v>138</v>
      </c>
      <c r="D49" s="5"/>
      <c r="E49" s="196" t="str">
        <f>CONCATENATE(Catalogue_UO[[#This Row],[Type d''UO]]," ",Catalogue_UO[[#This Row],[Complexité]]," ",Catalogue_UO[[#This Row],[Technologie]]," ",Catalogue_UO[[#This Row],[Variante]])</f>
        <v xml:space="preserve">Template de page Simple Liferay </v>
      </c>
      <c r="F49" s="5">
        <f t="shared" ref="F49:F52" si="8">J6</f>
        <v>1</v>
      </c>
    </row>
    <row r="50" spans="1:6" s="26" customFormat="1" hidden="1" x14ac:dyDescent="0.45">
      <c r="A50" s="5" t="s">
        <v>142</v>
      </c>
      <c r="B50" s="5" t="s">
        <v>8</v>
      </c>
      <c r="C50" s="197" t="s">
        <v>138</v>
      </c>
      <c r="D50" s="5"/>
      <c r="E50" s="196" t="str">
        <f>CONCATENATE(Catalogue_UO[[#This Row],[Type d''UO]]," ",Catalogue_UO[[#This Row],[Complexité]]," ",Catalogue_UO[[#This Row],[Technologie]]," ",Catalogue_UO[[#This Row],[Variante]])</f>
        <v xml:space="preserve">Template de page Moyen Liferay </v>
      </c>
      <c r="F50" s="5">
        <f t="shared" si="8"/>
        <v>2.5</v>
      </c>
    </row>
    <row r="51" spans="1:6" s="26" customFormat="1" hidden="1" x14ac:dyDescent="0.45">
      <c r="A51" s="5" t="s">
        <v>142</v>
      </c>
      <c r="B51" s="5" t="s">
        <v>9</v>
      </c>
      <c r="C51" s="197" t="s">
        <v>138</v>
      </c>
      <c r="D51" s="5"/>
      <c r="E51" s="196" t="str">
        <f>CONCATENATE(Catalogue_UO[[#This Row],[Type d''UO]]," ",Catalogue_UO[[#This Row],[Complexité]]," ",Catalogue_UO[[#This Row],[Technologie]]," ",Catalogue_UO[[#This Row],[Variante]])</f>
        <v xml:space="preserve">Template de page Complexe Liferay </v>
      </c>
      <c r="F51" s="5">
        <f t="shared" si="8"/>
        <v>4.5</v>
      </c>
    </row>
    <row r="52" spans="1:6" s="26" customFormat="1" hidden="1" x14ac:dyDescent="0.45">
      <c r="A52" s="5" t="s">
        <v>142</v>
      </c>
      <c r="B52" s="5" t="s">
        <v>133</v>
      </c>
      <c r="C52" s="197" t="s">
        <v>138</v>
      </c>
      <c r="D52" s="5"/>
      <c r="E52" s="196" t="str">
        <f>CONCATENATE(Catalogue_UO[[#This Row],[Type d''UO]]," ",Catalogue_UO[[#This Row],[Complexité]]," ",Catalogue_UO[[#This Row],[Technologie]]," ",Catalogue_UO[[#This Row],[Variante]])</f>
        <v xml:space="preserve">Template de page Très complexe Liferay </v>
      </c>
      <c r="F52" s="5">
        <f t="shared" si="8"/>
        <v>8</v>
      </c>
    </row>
    <row r="53" spans="1:6" s="26" customFormat="1" hidden="1" x14ac:dyDescent="0.45">
      <c r="A53" s="5" t="s">
        <v>143</v>
      </c>
      <c r="B53" s="5" t="s">
        <v>132</v>
      </c>
      <c r="C53" s="197" t="s">
        <v>138</v>
      </c>
      <c r="D53" s="5"/>
      <c r="E53" s="196" t="str">
        <f>CONCATENATE(Catalogue_UO[[#This Row],[Type d''UO]]," ",Catalogue_UO[[#This Row],[Complexité]]," ",Catalogue_UO[[#This Row],[Technologie]]," ",Catalogue_UO[[#This Row],[Variante]])</f>
        <v xml:space="preserve">Type de contenu Basique Liferay </v>
      </c>
      <c r="F53" s="5">
        <f>J5</f>
        <v>0.5</v>
      </c>
    </row>
    <row r="54" spans="1:6" s="26" customFormat="1" hidden="1" x14ac:dyDescent="0.45">
      <c r="A54" s="5" t="s">
        <v>143</v>
      </c>
      <c r="B54" s="5" t="s">
        <v>7</v>
      </c>
      <c r="C54" s="197" t="s">
        <v>138</v>
      </c>
      <c r="D54" s="5"/>
      <c r="E54" s="196" t="str">
        <f>CONCATENATE(Catalogue_UO[[#This Row],[Type d''UO]]," ",Catalogue_UO[[#This Row],[Complexité]]," ",Catalogue_UO[[#This Row],[Technologie]]," ",Catalogue_UO[[#This Row],[Variante]])</f>
        <v xml:space="preserve">Type de contenu Simple Liferay </v>
      </c>
      <c r="F54" s="5">
        <f t="shared" ref="F54:F56" si="9">J6</f>
        <v>1</v>
      </c>
    </row>
    <row r="55" spans="1:6" s="26" customFormat="1" hidden="1" x14ac:dyDescent="0.45">
      <c r="A55" s="5" t="s">
        <v>143</v>
      </c>
      <c r="B55" s="5" t="s">
        <v>8</v>
      </c>
      <c r="C55" s="197" t="s">
        <v>138</v>
      </c>
      <c r="D55" s="5"/>
      <c r="E55" s="196" t="str">
        <f>CONCATENATE(Catalogue_UO[[#This Row],[Type d''UO]]," ",Catalogue_UO[[#This Row],[Complexité]]," ",Catalogue_UO[[#This Row],[Technologie]]," ",Catalogue_UO[[#This Row],[Variante]])</f>
        <v xml:space="preserve">Type de contenu Moyen Liferay </v>
      </c>
      <c r="F55" s="5">
        <f t="shared" si="9"/>
        <v>2.5</v>
      </c>
    </row>
    <row r="56" spans="1:6" s="26" customFormat="1" hidden="1" x14ac:dyDescent="0.45">
      <c r="A56" s="5" t="s">
        <v>143</v>
      </c>
      <c r="B56" s="5" t="s">
        <v>9</v>
      </c>
      <c r="C56" s="197" t="s">
        <v>138</v>
      </c>
      <c r="D56" s="5"/>
      <c r="E56" s="196" t="str">
        <f>CONCATENATE(Catalogue_UO[[#This Row],[Type d''UO]]," ",Catalogue_UO[[#This Row],[Complexité]]," ",Catalogue_UO[[#This Row],[Technologie]]," ",Catalogue_UO[[#This Row],[Variante]])</f>
        <v xml:space="preserve">Type de contenu Complexe Liferay </v>
      </c>
      <c r="F56" s="5">
        <f t="shared" si="9"/>
        <v>4.5</v>
      </c>
    </row>
    <row r="57" spans="1:6" s="26" customFormat="1" hidden="1" x14ac:dyDescent="0.45">
      <c r="A57" s="5" t="s">
        <v>143</v>
      </c>
      <c r="B57" s="5" t="s">
        <v>133</v>
      </c>
      <c r="C57" s="197" t="s">
        <v>138</v>
      </c>
      <c r="D57" s="5"/>
      <c r="E57" s="196" t="str">
        <f>CONCATENATE(Catalogue_UO[[#This Row],[Type d''UO]]," ",Catalogue_UO[[#This Row],[Complexité]]," ",Catalogue_UO[[#This Row],[Technologie]]," ",Catalogue_UO[[#This Row],[Variante]])</f>
        <v xml:space="preserve">Type de contenu Très complexe Liferay </v>
      </c>
      <c r="F57" s="5">
        <f>J4</f>
        <v>0</v>
      </c>
    </row>
    <row r="58" spans="1:6" s="26" customFormat="1" hidden="1" x14ac:dyDescent="0.45">
      <c r="A58" s="5" t="s">
        <v>147</v>
      </c>
      <c r="B58" s="5" t="s">
        <v>132</v>
      </c>
      <c r="C58" s="197" t="s">
        <v>138</v>
      </c>
      <c r="D58" s="5"/>
      <c r="E58" s="196" t="str">
        <f>CONCATENATE(Catalogue_UO[[#This Row],[Type d''UO]]," ",Catalogue_UO[[#This Row],[Complexité]]," ",Catalogue_UO[[#This Row],[Technologie]]," ",Catalogue_UO[[#This Row],[Variante]])</f>
        <v xml:space="preserve">Module portail Basique Liferay </v>
      </c>
      <c r="F58" s="5">
        <f>J5</f>
        <v>0.5</v>
      </c>
    </row>
    <row r="59" spans="1:6" s="26" customFormat="1" hidden="1" x14ac:dyDescent="0.45">
      <c r="A59" s="5" t="s">
        <v>147</v>
      </c>
      <c r="B59" s="5" t="s">
        <v>7</v>
      </c>
      <c r="C59" s="197" t="s">
        <v>138</v>
      </c>
      <c r="D59" s="5"/>
      <c r="E59" s="196" t="str">
        <f>CONCATENATE(Catalogue_UO[[#This Row],[Type d''UO]]," ",Catalogue_UO[[#This Row],[Complexité]]," ",Catalogue_UO[[#This Row],[Technologie]]," ",Catalogue_UO[[#This Row],[Variante]])</f>
        <v xml:space="preserve">Module portail Simple Liferay </v>
      </c>
      <c r="F59" s="5">
        <f t="shared" ref="F59:F61" si="10">J6</f>
        <v>1</v>
      </c>
    </row>
    <row r="60" spans="1:6" s="26" customFormat="1" hidden="1" x14ac:dyDescent="0.45">
      <c r="A60" s="5" t="s">
        <v>147</v>
      </c>
      <c r="B60" s="5" t="s">
        <v>8</v>
      </c>
      <c r="C60" s="197" t="s">
        <v>138</v>
      </c>
      <c r="D60" s="5"/>
      <c r="E60" s="196" t="str">
        <f>CONCATENATE(Catalogue_UO[[#This Row],[Type d''UO]]," ",Catalogue_UO[[#This Row],[Complexité]]," ",Catalogue_UO[[#This Row],[Technologie]]," ",Catalogue_UO[[#This Row],[Variante]])</f>
        <v xml:space="preserve">Module portail Moyen Liferay </v>
      </c>
      <c r="F60" s="5">
        <f t="shared" si="10"/>
        <v>2.5</v>
      </c>
    </row>
    <row r="61" spans="1:6" s="26" customFormat="1" hidden="1" x14ac:dyDescent="0.45">
      <c r="A61" s="5" t="s">
        <v>147</v>
      </c>
      <c r="B61" s="5" t="s">
        <v>9</v>
      </c>
      <c r="C61" s="197" t="s">
        <v>138</v>
      </c>
      <c r="D61" s="5"/>
      <c r="E61" s="196" t="str">
        <f>CONCATENATE(Catalogue_UO[[#This Row],[Type d''UO]]," ",Catalogue_UO[[#This Row],[Complexité]]," ",Catalogue_UO[[#This Row],[Technologie]]," ",Catalogue_UO[[#This Row],[Variante]])</f>
        <v xml:space="preserve">Module portail Complexe Liferay </v>
      </c>
      <c r="F61" s="5">
        <f t="shared" si="10"/>
        <v>4.5</v>
      </c>
    </row>
    <row r="62" spans="1:6" s="26" customFormat="1" hidden="1" x14ac:dyDescent="0.45">
      <c r="A62" s="5" t="s">
        <v>147</v>
      </c>
      <c r="B62" s="5" t="s">
        <v>133</v>
      </c>
      <c r="C62" s="197" t="s">
        <v>138</v>
      </c>
      <c r="D62" s="5"/>
      <c r="E62" s="196" t="str">
        <f>CONCATENATE(Catalogue_UO[[#This Row],[Type d''UO]]," ",Catalogue_UO[[#This Row],[Complexité]]," ",Catalogue_UO[[#This Row],[Technologie]]," ",Catalogue_UO[[#This Row],[Variante]])</f>
        <v xml:space="preserve">Module portail Très complexe Liferay </v>
      </c>
      <c r="F62" s="5">
        <f>J9+2</f>
        <v>10</v>
      </c>
    </row>
    <row r="63" spans="1:6" s="26" customFormat="1" hidden="1" x14ac:dyDescent="0.45">
      <c r="A63" s="201" t="s">
        <v>13</v>
      </c>
      <c r="B63" s="201" t="s">
        <v>132</v>
      </c>
      <c r="C63" s="202" t="s">
        <v>149</v>
      </c>
      <c r="D63" s="201"/>
      <c r="E63" s="203" t="str">
        <f>CONCATENATE(Catalogue_UO[[#This Row],[Type d''UO]]," ",Catalogue_UO[[#This Row],[Complexité]]," ",Catalogue_UO[[#This Row],[Technologie]]," ",Catalogue_UO[[#This Row],[Variante]])</f>
        <v xml:space="preserve">Traitement Basique Mobile </v>
      </c>
      <c r="F63" s="5">
        <f>J5</f>
        <v>0.5</v>
      </c>
    </row>
    <row r="64" spans="1:6" s="26" customFormat="1" hidden="1" x14ac:dyDescent="0.45">
      <c r="A64" s="201" t="s">
        <v>13</v>
      </c>
      <c r="B64" s="201" t="s">
        <v>7</v>
      </c>
      <c r="C64" s="202" t="s">
        <v>149</v>
      </c>
      <c r="D64" s="201"/>
      <c r="E64" s="203" t="str">
        <f>CONCATENATE(Catalogue_UO[[#This Row],[Type d''UO]]," ",Catalogue_UO[[#This Row],[Complexité]]," ",Catalogue_UO[[#This Row],[Technologie]]," ",Catalogue_UO[[#This Row],[Variante]])</f>
        <v xml:space="preserve">Traitement Simple Mobile </v>
      </c>
      <c r="F64" s="5">
        <f t="shared" ref="F64:F67" si="11">J6</f>
        <v>1</v>
      </c>
    </row>
    <row r="65" spans="1:6" s="26" customFormat="1" hidden="1" x14ac:dyDescent="0.45">
      <c r="A65" s="201" t="s">
        <v>13</v>
      </c>
      <c r="B65" s="201" t="s">
        <v>8</v>
      </c>
      <c r="C65" s="202" t="s">
        <v>149</v>
      </c>
      <c r="D65" s="201"/>
      <c r="E65" s="203" t="str">
        <f>CONCATENATE(Catalogue_UO[[#This Row],[Type d''UO]]," ",Catalogue_UO[[#This Row],[Complexité]]," ",Catalogue_UO[[#This Row],[Technologie]]," ",Catalogue_UO[[#This Row],[Variante]])</f>
        <v xml:space="preserve">Traitement Moyen Mobile </v>
      </c>
      <c r="F65" s="5">
        <f t="shared" si="11"/>
        <v>2.5</v>
      </c>
    </row>
    <row r="66" spans="1:6" s="26" customFormat="1" hidden="1" x14ac:dyDescent="0.45">
      <c r="A66" s="201" t="s">
        <v>13</v>
      </c>
      <c r="B66" s="201" t="s">
        <v>9</v>
      </c>
      <c r="C66" s="202" t="s">
        <v>149</v>
      </c>
      <c r="D66" s="201"/>
      <c r="E66" s="203" t="str">
        <f>CONCATENATE(Catalogue_UO[[#This Row],[Type d''UO]]," ",Catalogue_UO[[#This Row],[Complexité]]," ",Catalogue_UO[[#This Row],[Technologie]]," ",Catalogue_UO[[#This Row],[Variante]])</f>
        <v xml:space="preserve">Traitement Complexe Mobile </v>
      </c>
      <c r="F66" s="5">
        <f t="shared" si="11"/>
        <v>4.5</v>
      </c>
    </row>
    <row r="67" spans="1:6" s="26" customFormat="1" hidden="1" x14ac:dyDescent="0.45">
      <c r="A67" s="201" t="s">
        <v>13</v>
      </c>
      <c r="B67" s="201" t="s">
        <v>133</v>
      </c>
      <c r="C67" s="202" t="s">
        <v>149</v>
      </c>
      <c r="D67" s="201"/>
      <c r="E67" s="203" t="str">
        <f>CONCATENATE(Catalogue_UO[[#This Row],[Type d''UO]]," ",Catalogue_UO[[#This Row],[Complexité]]," ",Catalogue_UO[[#This Row],[Technologie]]," ",Catalogue_UO[[#This Row],[Variante]])</f>
        <v xml:space="preserve">Traitement Très complexe Mobile </v>
      </c>
      <c r="F67" s="5">
        <f t="shared" si="11"/>
        <v>8</v>
      </c>
    </row>
    <row r="68" spans="1:6" hidden="1" x14ac:dyDescent="0.45">
      <c r="A68" s="201" t="s">
        <v>11</v>
      </c>
      <c r="B68" s="201" t="s">
        <v>132</v>
      </c>
      <c r="C68" s="202" t="s">
        <v>149</v>
      </c>
      <c r="D68" s="201"/>
      <c r="E68" s="203" t="str">
        <f>CONCATENATE(Catalogue_UO[[#This Row],[Type d''UO]]," ",Catalogue_UO[[#This Row],[Complexité]]," ",Catalogue_UO[[#This Row],[Technologie]]," ",Catalogue_UO[[#This Row],[Variante]])</f>
        <v xml:space="preserve">Ecran Basique Mobile </v>
      </c>
      <c r="F68" s="5">
        <f>J5</f>
        <v>0.5</v>
      </c>
    </row>
    <row r="69" spans="1:6" hidden="1" x14ac:dyDescent="0.45">
      <c r="A69" s="201" t="s">
        <v>11</v>
      </c>
      <c r="B69" s="201" t="s">
        <v>7</v>
      </c>
      <c r="C69" s="202" t="s">
        <v>149</v>
      </c>
      <c r="D69" s="201"/>
      <c r="E69" s="203" t="str">
        <f>CONCATENATE(Catalogue_UO[[#This Row],[Type d''UO]]," ",Catalogue_UO[[#This Row],[Complexité]]," ",Catalogue_UO[[#This Row],[Technologie]]," ",Catalogue_UO[[#This Row],[Variante]])</f>
        <v xml:space="preserve">Ecran Simple Mobile </v>
      </c>
      <c r="F69" s="5">
        <f t="shared" ref="F69:F72" si="12">J6</f>
        <v>1</v>
      </c>
    </row>
    <row r="70" spans="1:6" hidden="1" x14ac:dyDescent="0.45">
      <c r="A70" s="201" t="s">
        <v>11</v>
      </c>
      <c r="B70" s="201" t="s">
        <v>8</v>
      </c>
      <c r="C70" s="202" t="s">
        <v>149</v>
      </c>
      <c r="D70" s="201"/>
      <c r="E70" s="203" t="str">
        <f>CONCATENATE(Catalogue_UO[[#This Row],[Type d''UO]]," ",Catalogue_UO[[#This Row],[Complexité]]," ",Catalogue_UO[[#This Row],[Technologie]]," ",Catalogue_UO[[#This Row],[Variante]])</f>
        <v xml:space="preserve">Ecran Moyen Mobile </v>
      </c>
      <c r="F70" s="5">
        <f t="shared" si="12"/>
        <v>2.5</v>
      </c>
    </row>
    <row r="71" spans="1:6" hidden="1" x14ac:dyDescent="0.45">
      <c r="A71" s="201" t="s">
        <v>11</v>
      </c>
      <c r="B71" s="201" t="s">
        <v>9</v>
      </c>
      <c r="C71" s="202" t="s">
        <v>149</v>
      </c>
      <c r="D71" s="201"/>
      <c r="E71" s="203" t="str">
        <f>CONCATENATE(Catalogue_UO[[#This Row],[Type d''UO]]," ",Catalogue_UO[[#This Row],[Complexité]]," ",Catalogue_UO[[#This Row],[Technologie]]," ",Catalogue_UO[[#This Row],[Variante]])</f>
        <v xml:space="preserve">Ecran Complexe Mobile </v>
      </c>
      <c r="F71" s="5">
        <f t="shared" si="12"/>
        <v>4.5</v>
      </c>
    </row>
    <row r="72" spans="1:6" hidden="1" x14ac:dyDescent="0.45">
      <c r="A72" s="201" t="s">
        <v>11</v>
      </c>
      <c r="B72" s="201" t="s">
        <v>133</v>
      </c>
      <c r="C72" s="202" t="s">
        <v>149</v>
      </c>
      <c r="D72" s="201"/>
      <c r="E72" s="203" t="str">
        <f>CONCATENATE(Catalogue_UO[[#This Row],[Type d''UO]]," ",Catalogue_UO[[#This Row],[Complexité]]," ",Catalogue_UO[[#This Row],[Technologie]]," ",Catalogue_UO[[#This Row],[Variante]])</f>
        <v xml:space="preserve">Ecran Très complexe Mobile </v>
      </c>
      <c r="F72" s="5">
        <f t="shared" si="12"/>
        <v>8</v>
      </c>
    </row>
    <row r="73" spans="1:6" hidden="1" x14ac:dyDescent="0.45">
      <c r="A73" s="202" t="s">
        <v>150</v>
      </c>
      <c r="B73" s="201" t="s">
        <v>132</v>
      </c>
      <c r="C73" s="202" t="s">
        <v>151</v>
      </c>
      <c r="D73" s="201"/>
      <c r="E73" s="203" t="str">
        <f>CONCATENATE(Catalogue_UO[[#This Row],[Type d''UO]]," ",Catalogue_UO[[#This Row],[Complexité]]," ",Catalogue_UO[[#This Row],[Technologie]]," ",Catalogue_UO[[#This Row],[Variante]])</f>
        <v xml:space="preserve">Tests de charge Basique Tests </v>
      </c>
      <c r="F73" s="201">
        <v>2</v>
      </c>
    </row>
    <row r="74" spans="1:6" hidden="1" x14ac:dyDescent="0.45">
      <c r="A74" s="202" t="s">
        <v>150</v>
      </c>
      <c r="B74" s="201" t="s">
        <v>7</v>
      </c>
      <c r="C74" s="202" t="s">
        <v>151</v>
      </c>
      <c r="D74" s="201"/>
      <c r="E74" s="203" t="str">
        <f>CONCATENATE(Catalogue_UO[[#This Row],[Type d''UO]]," ",Catalogue_UO[[#This Row],[Complexité]]," ",Catalogue_UO[[#This Row],[Technologie]]," ",Catalogue_UO[[#This Row],[Variante]])</f>
        <v xml:space="preserve">Tests de charge Simple Tests </v>
      </c>
      <c r="F74" s="201">
        <v>3</v>
      </c>
    </row>
    <row r="75" spans="1:6" hidden="1" x14ac:dyDescent="0.45">
      <c r="A75" s="202" t="s">
        <v>150</v>
      </c>
      <c r="B75" s="201" t="s">
        <v>8</v>
      </c>
      <c r="C75" s="202" t="s">
        <v>151</v>
      </c>
      <c r="D75" s="201"/>
      <c r="E75" s="203" t="str">
        <f>CONCATENATE(Catalogue_UO[[#This Row],[Type d''UO]]," ",Catalogue_UO[[#This Row],[Complexité]]," ",Catalogue_UO[[#This Row],[Technologie]]," ",Catalogue_UO[[#This Row],[Variante]])</f>
        <v xml:space="preserve">Tests de charge Moyen Tests </v>
      </c>
      <c r="F75" s="201">
        <v>7</v>
      </c>
    </row>
    <row r="76" spans="1:6" hidden="1" x14ac:dyDescent="0.45">
      <c r="A76" s="202" t="s">
        <v>150</v>
      </c>
      <c r="B76" s="201" t="s">
        <v>9</v>
      </c>
      <c r="C76" s="202" t="s">
        <v>151</v>
      </c>
      <c r="D76" s="201"/>
      <c r="E76" s="203" t="str">
        <f>CONCATENATE(Catalogue_UO[[#This Row],[Type d''UO]]," ",Catalogue_UO[[#This Row],[Complexité]]," ",Catalogue_UO[[#This Row],[Technologie]]," ",Catalogue_UO[[#This Row],[Variante]])</f>
        <v xml:space="preserve">Tests de charge Complexe Tests </v>
      </c>
      <c r="F76" s="201">
        <v>10</v>
      </c>
    </row>
    <row r="77" spans="1:6" hidden="1" x14ac:dyDescent="0.45">
      <c r="A77" s="202" t="s">
        <v>150</v>
      </c>
      <c r="B77" s="201" t="s">
        <v>133</v>
      </c>
      <c r="C77" s="202" t="s">
        <v>151</v>
      </c>
      <c r="D77" s="202"/>
      <c r="E77" s="203" t="str">
        <f>CONCATENATE(Catalogue_UO[[#This Row],[Type d''UO]]," ",Catalogue_UO[[#This Row],[Complexité]]," ",Catalogue_UO[[#This Row],[Technologie]]," ",Catalogue_UO[[#This Row],[Variante]])</f>
        <v xml:space="preserve">Tests de charge Très complexe Tests </v>
      </c>
      <c r="F77" s="202">
        <v>20</v>
      </c>
    </row>
    <row r="78" spans="1:6" x14ac:dyDescent="0.45">
      <c r="A78" s="202" t="s">
        <v>152</v>
      </c>
      <c r="B78" s="201" t="s">
        <v>132</v>
      </c>
      <c r="C78" s="202" t="s">
        <v>10</v>
      </c>
      <c r="D78" s="201"/>
      <c r="E78" s="203" t="str">
        <f>CONCATENATE(Catalogue_UO[[#This Row],[Type d''UO]]," ",Catalogue_UO[[#This Row],[Complexité]]," ",Catalogue_UO[[#This Row],[Technologie]]," ",Catalogue_UO[[#This Row],[Variante]])</f>
        <v xml:space="preserve">Migration EJB Basique Java </v>
      </c>
      <c r="F78" s="201">
        <v>0.5</v>
      </c>
    </row>
    <row r="79" spans="1:6" x14ac:dyDescent="0.45">
      <c r="A79" s="202" t="s">
        <v>152</v>
      </c>
      <c r="B79" s="201" t="s">
        <v>7</v>
      </c>
      <c r="C79" s="202" t="s">
        <v>10</v>
      </c>
      <c r="D79" s="201"/>
      <c r="E79" s="203" t="str">
        <f>CONCATENATE(Catalogue_UO[[#This Row],[Type d''UO]]," ",Catalogue_UO[[#This Row],[Complexité]]," ",Catalogue_UO[[#This Row],[Technologie]]," ",Catalogue_UO[[#This Row],[Variante]])</f>
        <v xml:space="preserve">Migration EJB Simple Java </v>
      </c>
      <c r="F79" s="201">
        <v>1</v>
      </c>
    </row>
    <row r="80" spans="1:6" x14ac:dyDescent="0.45">
      <c r="A80" s="202" t="s">
        <v>152</v>
      </c>
      <c r="B80" s="201" t="s">
        <v>8</v>
      </c>
      <c r="C80" s="202" t="s">
        <v>10</v>
      </c>
      <c r="D80" s="201"/>
      <c r="E80" s="203" t="str">
        <f>CONCATENATE(Catalogue_UO[[#This Row],[Type d''UO]]," ",Catalogue_UO[[#This Row],[Complexité]]," ",Catalogue_UO[[#This Row],[Technologie]]," ",Catalogue_UO[[#This Row],[Variante]])</f>
        <v xml:space="preserve">Migration EJB Moyen Java </v>
      </c>
      <c r="F80" s="201">
        <v>2</v>
      </c>
    </row>
    <row r="81" spans="1:6" x14ac:dyDescent="0.45">
      <c r="A81" s="202" t="s">
        <v>152</v>
      </c>
      <c r="B81" s="201" t="s">
        <v>9</v>
      </c>
      <c r="C81" s="202" t="s">
        <v>10</v>
      </c>
      <c r="D81" s="201"/>
      <c r="E81" s="203" t="str">
        <f>CONCATENATE(Catalogue_UO[[#This Row],[Type d''UO]]," ",Catalogue_UO[[#This Row],[Complexité]]," ",Catalogue_UO[[#This Row],[Technologie]]," ",Catalogue_UO[[#This Row],[Variante]])</f>
        <v xml:space="preserve">Migration EJB Complexe Java </v>
      </c>
      <c r="F81" s="201">
        <v>5</v>
      </c>
    </row>
    <row r="82" spans="1:6" x14ac:dyDescent="0.45">
      <c r="A82" s="202" t="s">
        <v>152</v>
      </c>
      <c r="B82" s="201" t="s">
        <v>133</v>
      </c>
      <c r="C82" s="202" t="s">
        <v>10</v>
      </c>
      <c r="D82" s="201"/>
      <c r="E82" s="203" t="str">
        <f>CONCATENATE(Catalogue_UO[[#This Row],[Type d''UO]]," ",Catalogue_UO[[#This Row],[Complexité]]," ",Catalogue_UO[[#This Row],[Technologie]]," ",Catalogue_UO[[#This Row],[Variante]])</f>
        <v xml:space="preserve">Migration EJB Très complexe Java </v>
      </c>
      <c r="F82" s="201">
        <v>8</v>
      </c>
    </row>
    <row r="83" spans="1:6" x14ac:dyDescent="0.45">
      <c r="A83" s="202" t="s">
        <v>314</v>
      </c>
      <c r="B83" s="201" t="s">
        <v>132</v>
      </c>
      <c r="C83" s="202" t="s">
        <v>10</v>
      </c>
      <c r="D83" s="201"/>
      <c r="E83" s="203" t="str">
        <f>CONCATENATE(Catalogue_UO[[#This Row],[Type d''UO]]," ",Catalogue_UO[[#This Row],[Complexité]]," ",Catalogue_UO[[#This Row],[Technologie]]," ",Catalogue_UO[[#This Row],[Variante]])</f>
        <v xml:space="preserve">Migration WS Basique Java </v>
      </c>
      <c r="F83" s="201">
        <f>UO!D15</f>
        <v>0.5</v>
      </c>
    </row>
    <row r="84" spans="1:6" x14ac:dyDescent="0.45">
      <c r="A84" s="202" t="s">
        <v>314</v>
      </c>
      <c r="B84" s="201" t="s">
        <v>7</v>
      </c>
      <c r="C84" s="202" t="s">
        <v>10</v>
      </c>
      <c r="D84" s="201"/>
      <c r="E84" s="203" t="str">
        <f>CONCATENATE(Catalogue_UO[[#This Row],[Type d''UO]]," ",Catalogue_UO[[#This Row],[Complexité]]," ",Catalogue_UO[[#This Row],[Technologie]]," ",Catalogue_UO[[#This Row],[Variante]])</f>
        <v xml:space="preserve">Migration WS Simple Java </v>
      </c>
      <c r="F84" s="201">
        <f>UO!D16</f>
        <v>0.75</v>
      </c>
    </row>
    <row r="85" spans="1:6" x14ac:dyDescent="0.45">
      <c r="A85" s="202" t="s">
        <v>314</v>
      </c>
      <c r="B85" s="201" t="s">
        <v>8</v>
      </c>
      <c r="C85" s="202" t="s">
        <v>10</v>
      </c>
      <c r="D85" s="201"/>
      <c r="E85" s="203" t="str">
        <f>CONCATENATE(Catalogue_UO[[#This Row],[Type d''UO]]," ",Catalogue_UO[[#This Row],[Complexité]]," ",Catalogue_UO[[#This Row],[Technologie]]," ",Catalogue_UO[[#This Row],[Variante]])</f>
        <v xml:space="preserve">Migration WS Moyen Java </v>
      </c>
      <c r="F85" s="201">
        <f>UO!D17</f>
        <v>1.5</v>
      </c>
    </row>
    <row r="86" spans="1:6" x14ac:dyDescent="0.45">
      <c r="A86" s="202" t="s">
        <v>314</v>
      </c>
      <c r="B86" s="201" t="s">
        <v>9</v>
      </c>
      <c r="C86" s="202" t="s">
        <v>10</v>
      </c>
      <c r="D86" s="201"/>
      <c r="E86" s="203" t="str">
        <f>CONCATENATE(Catalogue_UO[[#This Row],[Type d''UO]]," ",Catalogue_UO[[#This Row],[Complexité]]," ",Catalogue_UO[[#This Row],[Technologie]]," ",Catalogue_UO[[#This Row],[Variante]])</f>
        <v xml:space="preserve">Migration WS Complexe Java </v>
      </c>
      <c r="F86" s="201">
        <f>UO!D18</f>
        <v>3</v>
      </c>
    </row>
    <row r="87" spans="1:6" x14ac:dyDescent="0.45">
      <c r="A87" s="202" t="s">
        <v>314</v>
      </c>
      <c r="B87" s="201" t="s">
        <v>133</v>
      </c>
      <c r="C87" s="202" t="s">
        <v>10</v>
      </c>
      <c r="D87" s="201"/>
      <c r="E87" s="203" t="str">
        <f>CONCATENATE(Catalogue_UO[[#This Row],[Type d''UO]]," ",Catalogue_UO[[#This Row],[Complexité]]," ",Catalogue_UO[[#This Row],[Technologie]]," ",Catalogue_UO[[#This Row],[Variante]])</f>
        <v xml:space="preserve">Migration WS Très complexe Java </v>
      </c>
      <c r="F87" s="201">
        <f>UO!D19</f>
        <v>5</v>
      </c>
    </row>
    <row r="88" spans="1:6" x14ac:dyDescent="0.45">
      <c r="A88" s="202" t="s">
        <v>154</v>
      </c>
      <c r="B88" s="201" t="s">
        <v>132</v>
      </c>
      <c r="C88" s="202" t="s">
        <v>10</v>
      </c>
      <c r="D88" s="201"/>
      <c r="E88" s="203" t="str">
        <f>CONCATENATE(Catalogue_UO[[#This Row],[Type d''UO]]," ",Catalogue_UO[[#This Row],[Complexité]]," ",Catalogue_UO[[#This Row],[Technologie]]," ",Catalogue_UO[[#This Row],[Variante]])</f>
        <v xml:space="preserve">Migration EJB tâches transverses Basique Java </v>
      </c>
      <c r="F88" s="201">
        <v>0.5</v>
      </c>
    </row>
    <row r="89" spans="1:6" x14ac:dyDescent="0.45">
      <c r="A89" s="202" t="s">
        <v>154</v>
      </c>
      <c r="B89" s="201" t="s">
        <v>7</v>
      </c>
      <c r="C89" s="202" t="s">
        <v>10</v>
      </c>
      <c r="D89" s="201"/>
      <c r="E89" s="203" t="str">
        <f>CONCATENATE(Catalogue_UO[[#This Row],[Type d''UO]]," ",Catalogue_UO[[#This Row],[Complexité]]," ",Catalogue_UO[[#This Row],[Technologie]]," ",Catalogue_UO[[#This Row],[Variante]])</f>
        <v xml:space="preserve">Migration EJB tâches transverses Simple Java </v>
      </c>
      <c r="F89" s="201">
        <v>1</v>
      </c>
    </row>
    <row r="90" spans="1:6" x14ac:dyDescent="0.45">
      <c r="A90" s="202" t="s">
        <v>154</v>
      </c>
      <c r="B90" s="201" t="s">
        <v>8</v>
      </c>
      <c r="C90" s="202" t="s">
        <v>10</v>
      </c>
      <c r="D90" s="201"/>
      <c r="E90" s="203" t="str">
        <f>CONCATENATE(Catalogue_UO[[#This Row],[Type d''UO]]," ",Catalogue_UO[[#This Row],[Complexité]]," ",Catalogue_UO[[#This Row],[Technologie]]," ",Catalogue_UO[[#This Row],[Variante]])</f>
        <v xml:space="preserve">Migration EJB tâches transverses Moyen Java </v>
      </c>
      <c r="F90" s="201">
        <v>2</v>
      </c>
    </row>
    <row r="91" spans="1:6" x14ac:dyDescent="0.45">
      <c r="A91" s="202" t="s">
        <v>154</v>
      </c>
      <c r="B91" s="201" t="s">
        <v>9</v>
      </c>
      <c r="C91" s="202" t="s">
        <v>10</v>
      </c>
      <c r="D91" s="201"/>
      <c r="E91" s="203" t="str">
        <f>CONCATENATE(Catalogue_UO[[#This Row],[Type d''UO]]," ",Catalogue_UO[[#This Row],[Complexité]]," ",Catalogue_UO[[#This Row],[Technologie]]," ",Catalogue_UO[[#This Row],[Variante]])</f>
        <v xml:space="preserve">Migration EJB tâches transverses Complexe Java </v>
      </c>
      <c r="F91" s="201">
        <v>3</v>
      </c>
    </row>
    <row r="92" spans="1:6" x14ac:dyDescent="0.45">
      <c r="A92" s="202" t="s">
        <v>154</v>
      </c>
      <c r="B92" s="201" t="s">
        <v>133</v>
      </c>
      <c r="C92" s="202" t="s">
        <v>10</v>
      </c>
      <c r="D92" s="201"/>
      <c r="E92" s="203" t="str">
        <f>CONCATENATE(Catalogue_UO[[#This Row],[Type d''UO]]," ",Catalogue_UO[[#This Row],[Complexité]]," ",Catalogue_UO[[#This Row],[Technologie]]," ",Catalogue_UO[[#This Row],[Variante]])</f>
        <v xml:space="preserve">Migration EJB tâches transverses Très complexe Java </v>
      </c>
      <c r="F92" s="201">
        <v>5</v>
      </c>
    </row>
    <row r="93" spans="1:6" x14ac:dyDescent="0.45">
      <c r="A93" s="202" t="s">
        <v>153</v>
      </c>
      <c r="B93" s="201" t="s">
        <v>132</v>
      </c>
      <c r="C93" s="202" t="s">
        <v>10</v>
      </c>
      <c r="D93" s="201"/>
      <c r="E93" s="203" t="str">
        <f>CONCATENATE(Catalogue_UO[[#This Row],[Type d''UO]]," ",Catalogue_UO[[#This Row],[Complexité]]," ",Catalogue_UO[[#This Row],[Technologie]]," ",Catalogue_UO[[#This Row],[Variante]])</f>
        <v xml:space="preserve">Migration Ecran Portlet Basique Java </v>
      </c>
      <c r="F93" s="201">
        <v>0.5</v>
      </c>
    </row>
    <row r="94" spans="1:6" x14ac:dyDescent="0.45">
      <c r="A94" s="202" t="s">
        <v>153</v>
      </c>
      <c r="B94" s="201" t="s">
        <v>7</v>
      </c>
      <c r="C94" s="202" t="s">
        <v>10</v>
      </c>
      <c r="D94" s="201"/>
      <c r="E94" s="203" t="str">
        <f>CONCATENATE(Catalogue_UO[[#This Row],[Type d''UO]]," ",Catalogue_UO[[#This Row],[Complexité]]," ",Catalogue_UO[[#This Row],[Technologie]]," ",Catalogue_UO[[#This Row],[Variante]])</f>
        <v xml:space="preserve">Migration Ecran Portlet Simple Java </v>
      </c>
      <c r="F94" s="201">
        <v>1</v>
      </c>
    </row>
    <row r="95" spans="1:6" x14ac:dyDescent="0.45">
      <c r="A95" s="202" t="s">
        <v>153</v>
      </c>
      <c r="B95" s="201" t="s">
        <v>8</v>
      </c>
      <c r="C95" s="202" t="s">
        <v>10</v>
      </c>
      <c r="D95" s="201"/>
      <c r="E95" s="203" t="str">
        <f>CONCATENATE(Catalogue_UO[[#This Row],[Type d''UO]]," ",Catalogue_UO[[#This Row],[Complexité]]," ",Catalogue_UO[[#This Row],[Technologie]]," ",Catalogue_UO[[#This Row],[Variante]])</f>
        <v xml:space="preserve">Migration Ecran Portlet Moyen Java </v>
      </c>
      <c r="F95" s="201">
        <v>2</v>
      </c>
    </row>
    <row r="96" spans="1:6" x14ac:dyDescent="0.45">
      <c r="A96" s="202" t="s">
        <v>153</v>
      </c>
      <c r="B96" s="201" t="s">
        <v>9</v>
      </c>
      <c r="C96" s="202" t="s">
        <v>10</v>
      </c>
      <c r="D96" s="201"/>
      <c r="E96" s="203" t="str">
        <f>CONCATENATE(Catalogue_UO[[#This Row],[Type d''UO]]," ",Catalogue_UO[[#This Row],[Complexité]]," ",Catalogue_UO[[#This Row],[Technologie]]," ",Catalogue_UO[[#This Row],[Variante]])</f>
        <v xml:space="preserve">Migration Ecran Portlet Complexe Java </v>
      </c>
      <c r="F96" s="201">
        <v>4</v>
      </c>
    </row>
    <row r="97" spans="1:6" x14ac:dyDescent="0.45">
      <c r="A97" s="202" t="s">
        <v>153</v>
      </c>
      <c r="B97" s="201" t="s">
        <v>133</v>
      </c>
      <c r="C97" s="202" t="s">
        <v>10</v>
      </c>
      <c r="D97" s="201"/>
      <c r="E97" s="203" t="str">
        <f>CONCATENATE(Catalogue_UO[[#This Row],[Type d''UO]]," ",Catalogue_UO[[#This Row],[Complexité]]," ",Catalogue_UO[[#This Row],[Technologie]]," ",Catalogue_UO[[#This Row],[Variante]])</f>
        <v xml:space="preserve">Migration Ecran Portlet Très complexe Java </v>
      </c>
      <c r="F97" s="201">
        <v>6</v>
      </c>
    </row>
    <row r="98" spans="1:6" hidden="1" x14ac:dyDescent="0.45">
      <c r="A98" s="201"/>
      <c r="B98" s="201"/>
      <c r="C98" s="201"/>
      <c r="D98" s="201"/>
      <c r="E98" s="203" t="str">
        <f>CONCATENATE(Catalogue_UO[[#This Row],[Type d''UO]]," ",Catalogue_UO[[#This Row],[Complexité]]," ",Catalogue_UO[[#This Row],[Technologie]]," ",Catalogue_UO[[#This Row],[Variante]])</f>
        <v xml:space="preserve">   </v>
      </c>
      <c r="F98" s="201"/>
    </row>
    <row r="99" spans="1:6" hidden="1" x14ac:dyDescent="0.45">
      <c r="A99" s="202"/>
      <c r="B99" s="201"/>
      <c r="C99" s="202"/>
      <c r="D99" s="201"/>
      <c r="E99" s="203" t="str">
        <f>CONCATENATE(Catalogue_UO[[#This Row],[Type d''UO]]," ",Catalogue_UO[[#This Row],[Complexité]]," ",Catalogue_UO[[#This Row],[Technologie]]," ",Catalogue_UO[[#This Row],[Variante]])</f>
        <v xml:space="preserve">   </v>
      </c>
      <c r="F99" s="20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10"/>
  <sheetViews>
    <sheetView zoomScaleNormal="100" workbookViewId="0">
      <pane ySplit="2" topLeftCell="A3" activePane="bottomLeft" state="frozen"/>
      <selection pane="bottomLeft" activeCell="C13" sqref="C13"/>
    </sheetView>
  </sheetViews>
  <sheetFormatPr baseColWidth="10" defaultColWidth="20.26953125" defaultRowHeight="16" x14ac:dyDescent="0.45"/>
  <cols>
    <col min="1" max="1" width="36.08984375" style="224" bestFit="1" customWidth="1"/>
    <col min="2" max="2" width="54.81640625" style="1" customWidth="1"/>
    <col min="3" max="3" width="20.26953125" style="1"/>
    <col min="4" max="4" width="0" style="1" hidden="1" customWidth="1"/>
    <col min="5" max="5" width="53.1796875" style="224" customWidth="1"/>
    <col min="6" max="7" width="0" style="1" hidden="1" customWidth="1"/>
    <col min="8" max="8" width="11.81640625" style="1" customWidth="1"/>
    <col min="9" max="9" width="37.26953125" style="1" bestFit="1" customWidth="1"/>
    <col min="10" max="16384" width="20.26953125" style="1"/>
  </cols>
  <sheetData>
    <row r="2" spans="1:14" x14ac:dyDescent="0.45">
      <c r="A2" s="225" t="s">
        <v>155</v>
      </c>
      <c r="B2" s="8" t="s">
        <v>310</v>
      </c>
      <c r="C2" s="8" t="s">
        <v>0</v>
      </c>
      <c r="D2" s="8" t="s">
        <v>3</v>
      </c>
      <c r="E2" s="225" t="s">
        <v>148</v>
      </c>
      <c r="F2" s="8" t="s">
        <v>126</v>
      </c>
      <c r="G2" s="8" t="s">
        <v>144</v>
      </c>
      <c r="H2" s="226" t="s">
        <v>2</v>
      </c>
      <c r="I2" s="8" t="s">
        <v>21</v>
      </c>
      <c r="J2" s="8" t="s">
        <v>20</v>
      </c>
      <c r="K2" s="8" t="s">
        <v>4</v>
      </c>
      <c r="L2" s="114" t="s">
        <v>64</v>
      </c>
      <c r="M2" s="8" t="s">
        <v>146</v>
      </c>
    </row>
    <row r="3" spans="1:14" ht="58" x14ac:dyDescent="0.45">
      <c r="A3" s="222" t="s">
        <v>329</v>
      </c>
      <c r="B3" s="215" t="str">
        <f>Tableau2[[#This Row],[EJB / Ecran]]</f>
        <v>Génération des clients WS LDT04 et LDT05, création des delegates, bean / mapping / populate : Traitement Java Moyen</v>
      </c>
      <c r="C3" s="216" t="s">
        <v>152</v>
      </c>
      <c r="D3" s="217" t="s">
        <v>10</v>
      </c>
      <c r="E3" s="218" t="s">
        <v>317</v>
      </c>
      <c r="F3" s="219"/>
      <c r="G3" s="218" t="s">
        <v>145</v>
      </c>
      <c r="H3" s="219" t="s">
        <v>8</v>
      </c>
      <c r="I3" s="219" t="str">
        <f t="shared" ref="I3:I5" si="0">CONCATENATE(C3," ",H3," ",D3," ")</f>
        <v xml:space="preserve">Migration EJB Moyen Java </v>
      </c>
      <c r="J3" s="5"/>
      <c r="K3" s="223">
        <v>3</v>
      </c>
      <c r="L3" s="223"/>
      <c r="M3" s="5"/>
    </row>
    <row r="4" spans="1:14" ht="43.5" x14ac:dyDescent="0.45">
      <c r="A4" s="222" t="s">
        <v>330</v>
      </c>
      <c r="B4" s="222" t="s">
        <v>330</v>
      </c>
      <c r="C4" s="220" t="s">
        <v>154</v>
      </c>
      <c r="D4" s="217" t="s">
        <v>10</v>
      </c>
      <c r="E4" s="218" t="s">
        <v>326</v>
      </c>
      <c r="F4" s="219"/>
      <c r="G4" s="218"/>
      <c r="H4" s="219" t="s">
        <v>127</v>
      </c>
      <c r="I4" s="219" t="str">
        <f>CONCATENATE(C4," ",H4," ",D4," ")</f>
        <v xml:space="preserve">Migration EJB tâches transverses moyen Java </v>
      </c>
      <c r="J4" s="5"/>
      <c r="K4" s="223">
        <v>2</v>
      </c>
      <c r="L4" s="223"/>
      <c r="M4" s="5"/>
    </row>
    <row r="5" spans="1:14" ht="29" x14ac:dyDescent="0.45">
      <c r="A5" s="222" t="s">
        <v>331</v>
      </c>
      <c r="B5" s="215" t="s">
        <v>322</v>
      </c>
      <c r="C5" s="220" t="s">
        <v>153</v>
      </c>
      <c r="D5" s="217" t="s">
        <v>10</v>
      </c>
      <c r="E5" s="222" t="s">
        <v>324</v>
      </c>
      <c r="F5" s="219"/>
      <c r="G5" s="218"/>
      <c r="H5" s="219" t="s">
        <v>321</v>
      </c>
      <c r="I5" s="219" t="str">
        <f t="shared" si="0"/>
        <v xml:space="preserve">Migration Ecran Portlet complexe Java </v>
      </c>
      <c r="J5" s="223"/>
      <c r="K5" s="223">
        <v>7</v>
      </c>
      <c r="L5" s="223"/>
      <c r="M5" s="5"/>
      <c r="N5" s="199"/>
    </row>
    <row r="6" spans="1:14" x14ac:dyDescent="0.45">
      <c r="A6" s="200"/>
      <c r="B6" s="9"/>
      <c r="C6" s="9"/>
      <c r="D6" s="9"/>
      <c r="E6" s="200"/>
      <c r="F6" s="9"/>
      <c r="G6" s="200"/>
      <c r="H6" s="9"/>
      <c r="I6" s="9" t="s">
        <v>18</v>
      </c>
      <c r="J6" s="9"/>
      <c r="K6" s="9">
        <f>SUM(K3:K5)</f>
        <v>12</v>
      </c>
    </row>
    <row r="8" spans="1:14" x14ac:dyDescent="0.45">
      <c r="A8" s="261" t="s">
        <v>332</v>
      </c>
    </row>
    <row r="9" spans="1:14" ht="44.5" x14ac:dyDescent="0.45">
      <c r="A9" s="211" t="s">
        <v>333</v>
      </c>
      <c r="K9" s="1">
        <v>4</v>
      </c>
    </row>
    <row r="10" spans="1:14" ht="48" x14ac:dyDescent="0.45">
      <c r="A10" s="224" t="s">
        <v>334</v>
      </c>
      <c r="K10" s="1">
        <v>1</v>
      </c>
    </row>
  </sheetData>
  <pageMargins left="0.7" right="0.7" top="0.75" bottom="0.75" header="0.3" footer="0.3"/>
  <pageSetup paperSize="9"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F12" sqref="F12"/>
    </sheetView>
  </sheetViews>
  <sheetFormatPr baseColWidth="10" defaultColWidth="11.453125" defaultRowHeight="16" x14ac:dyDescent="0.35"/>
  <cols>
    <col min="1" max="1" width="12.54296875" style="5" customWidth="1"/>
    <col min="2" max="2" width="58.453125" style="5" customWidth="1"/>
    <col min="3" max="3" width="17" style="5" customWidth="1"/>
    <col min="4" max="4" width="13.26953125" style="5" customWidth="1"/>
    <col min="5" max="16384" width="11.453125" style="5"/>
  </cols>
  <sheetData>
    <row r="1" spans="1:4" ht="22" x14ac:dyDescent="0.35">
      <c r="A1" s="6" t="s">
        <v>5</v>
      </c>
    </row>
    <row r="3" spans="1:4" ht="16.5" thickBot="1" x14ac:dyDescent="0.4"/>
    <row r="4" spans="1:4" ht="16.5" thickBot="1" x14ac:dyDescent="0.4">
      <c r="A4" s="184" t="s">
        <v>16</v>
      </c>
      <c r="B4" s="184" t="s">
        <v>17</v>
      </c>
      <c r="C4" s="185" t="s">
        <v>2</v>
      </c>
      <c r="D4" s="185" t="s">
        <v>4</v>
      </c>
    </row>
    <row r="5" spans="1:4" x14ac:dyDescent="0.35">
      <c r="A5" s="240" t="s">
        <v>153</v>
      </c>
      <c r="B5" s="243" t="s">
        <v>311</v>
      </c>
      <c r="C5" s="189" t="s">
        <v>132</v>
      </c>
      <c r="D5" s="186">
        <v>0.5</v>
      </c>
    </row>
    <row r="6" spans="1:4" x14ac:dyDescent="0.35">
      <c r="A6" s="241"/>
      <c r="B6" s="244"/>
      <c r="C6" s="190" t="s">
        <v>7</v>
      </c>
      <c r="D6" s="187">
        <v>1</v>
      </c>
    </row>
    <row r="7" spans="1:4" x14ac:dyDescent="0.35">
      <c r="A7" s="241"/>
      <c r="B7" s="244"/>
      <c r="C7" s="190" t="s">
        <v>8</v>
      </c>
      <c r="D7" s="187">
        <f>D5+D6+1</f>
        <v>2.5</v>
      </c>
    </row>
    <row r="8" spans="1:4" x14ac:dyDescent="0.35">
      <c r="A8" s="241"/>
      <c r="B8" s="244"/>
      <c r="C8" s="190" t="s">
        <v>9</v>
      </c>
      <c r="D8" s="187">
        <f>D6+D7+1</f>
        <v>4.5</v>
      </c>
    </row>
    <row r="9" spans="1:4" ht="16.5" thickBot="1" x14ac:dyDescent="0.4">
      <c r="A9" s="242"/>
      <c r="B9" s="245"/>
      <c r="C9" s="191" t="s">
        <v>133</v>
      </c>
      <c r="D9" s="188">
        <f>D7+D8</f>
        <v>7</v>
      </c>
    </row>
    <row r="10" spans="1:4" ht="14.15" customHeight="1" x14ac:dyDescent="0.35">
      <c r="A10" s="240" t="s">
        <v>152</v>
      </c>
      <c r="B10" s="243" t="s">
        <v>312</v>
      </c>
      <c r="C10" s="189" t="s">
        <v>132</v>
      </c>
      <c r="D10" s="186">
        <v>0.5</v>
      </c>
    </row>
    <row r="11" spans="1:4" x14ac:dyDescent="0.35">
      <c r="A11" s="241"/>
      <c r="B11" s="244"/>
      <c r="C11" s="190" t="s">
        <v>7</v>
      </c>
      <c r="D11" s="187">
        <v>1</v>
      </c>
    </row>
    <row r="12" spans="1:4" x14ac:dyDescent="0.35">
      <c r="A12" s="241"/>
      <c r="B12" s="244"/>
      <c r="C12" s="190" t="s">
        <v>8</v>
      </c>
      <c r="D12" s="187">
        <f>D10+D11+1</f>
        <v>2.5</v>
      </c>
    </row>
    <row r="13" spans="1:4" x14ac:dyDescent="0.35">
      <c r="A13" s="241"/>
      <c r="B13" s="244"/>
      <c r="C13" s="190" t="s">
        <v>9</v>
      </c>
      <c r="D13" s="187">
        <f>D11+D12+1</f>
        <v>4.5</v>
      </c>
    </row>
    <row r="14" spans="1:4" ht="16.5" thickBot="1" x14ac:dyDescent="0.4">
      <c r="A14" s="242"/>
      <c r="B14" s="245"/>
      <c r="C14" s="191" t="s">
        <v>133</v>
      </c>
      <c r="D14" s="188">
        <f>D12+D13+1</f>
        <v>8</v>
      </c>
    </row>
    <row r="15" spans="1:4" ht="16.5" thickBot="1" x14ac:dyDescent="0.4">
      <c r="A15" s="249" t="s">
        <v>314</v>
      </c>
      <c r="B15" s="252" t="s">
        <v>315</v>
      </c>
      <c r="C15" s="189" t="s">
        <v>132</v>
      </c>
      <c r="D15" s="186">
        <v>0.5</v>
      </c>
    </row>
    <row r="16" spans="1:4" ht="16.5" thickBot="1" x14ac:dyDescent="0.4">
      <c r="A16" s="250"/>
      <c r="B16" s="253"/>
      <c r="C16" s="190" t="s">
        <v>7</v>
      </c>
      <c r="D16" s="186">
        <v>0.75</v>
      </c>
    </row>
    <row r="17" spans="1:4" ht="16.5" thickBot="1" x14ac:dyDescent="0.4">
      <c r="A17" s="250"/>
      <c r="B17" s="253"/>
      <c r="C17" s="190" t="s">
        <v>8</v>
      </c>
      <c r="D17" s="186">
        <f t="shared" ref="D17" si="0">D12*3/5</f>
        <v>1.5</v>
      </c>
    </row>
    <row r="18" spans="1:4" ht="16.5" thickBot="1" x14ac:dyDescent="0.4">
      <c r="A18" s="250"/>
      <c r="B18" s="253"/>
      <c r="C18" s="190" t="s">
        <v>9</v>
      </c>
      <c r="D18" s="186">
        <v>3</v>
      </c>
    </row>
    <row r="19" spans="1:4" ht="16.5" thickBot="1" x14ac:dyDescent="0.4">
      <c r="A19" s="251"/>
      <c r="B19" s="254"/>
      <c r="C19" s="191" t="s">
        <v>133</v>
      </c>
      <c r="D19" s="186">
        <v>5</v>
      </c>
    </row>
    <row r="20" spans="1:4" ht="27.65" customHeight="1" x14ac:dyDescent="0.35">
      <c r="A20" s="240" t="s">
        <v>313</v>
      </c>
      <c r="B20" s="246" t="s">
        <v>316</v>
      </c>
      <c r="C20" s="189" t="s">
        <v>132</v>
      </c>
      <c r="D20" s="186">
        <f>D10*2</f>
        <v>1</v>
      </c>
    </row>
    <row r="21" spans="1:4" x14ac:dyDescent="0.35">
      <c r="A21" s="241"/>
      <c r="B21" s="247"/>
      <c r="C21" s="190" t="s">
        <v>7</v>
      </c>
      <c r="D21" s="187">
        <f t="shared" ref="D21:D24" si="1">D11*2</f>
        <v>2</v>
      </c>
    </row>
    <row r="22" spans="1:4" ht="22" customHeight="1" x14ac:dyDescent="0.35">
      <c r="A22" s="241"/>
      <c r="B22" s="247"/>
      <c r="C22" s="190" t="s">
        <v>8</v>
      </c>
      <c r="D22" s="187">
        <f t="shared" si="1"/>
        <v>5</v>
      </c>
    </row>
    <row r="23" spans="1:4" ht="31.5" customHeight="1" x14ac:dyDescent="0.35">
      <c r="A23" s="241"/>
      <c r="B23" s="247"/>
      <c r="C23" s="190" t="s">
        <v>9</v>
      </c>
      <c r="D23" s="187">
        <f t="shared" si="1"/>
        <v>9</v>
      </c>
    </row>
    <row r="24" spans="1:4" ht="102.65" customHeight="1" thickBot="1" x14ac:dyDescent="0.4">
      <c r="A24" s="242"/>
      <c r="B24" s="248"/>
      <c r="C24" s="191" t="s">
        <v>133</v>
      </c>
      <c r="D24" s="188">
        <f t="shared" si="1"/>
        <v>16</v>
      </c>
    </row>
  </sheetData>
  <mergeCells count="8">
    <mergeCell ref="A5:A9"/>
    <mergeCell ref="B5:B9"/>
    <mergeCell ref="A20:A24"/>
    <mergeCell ref="B20:B24"/>
    <mergeCell ref="A10:A14"/>
    <mergeCell ref="B10:B14"/>
    <mergeCell ref="A15:A19"/>
    <mergeCell ref="B15:B19"/>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zoomScale="85" zoomScaleNormal="85" workbookViewId="0">
      <selection activeCell="H18" sqref="H18"/>
    </sheetView>
  </sheetViews>
  <sheetFormatPr baseColWidth="10" defaultColWidth="11.453125" defaultRowHeight="16" x14ac:dyDescent="0.45"/>
  <cols>
    <col min="1" max="1" width="12.1796875" style="1" customWidth="1"/>
    <col min="2" max="2" width="25.1796875" style="1" customWidth="1"/>
    <col min="3" max="5" width="11.453125" style="1"/>
    <col min="6" max="6" width="18.7265625" style="1" customWidth="1"/>
    <col min="7" max="8" width="11.453125" style="1"/>
    <col min="9" max="9" width="12.1796875" style="1" customWidth="1"/>
    <col min="10" max="10" width="80.54296875" style="1" customWidth="1"/>
    <col min="11" max="11" width="16.81640625" style="1" customWidth="1"/>
    <col min="12" max="12" width="14" style="1" customWidth="1"/>
    <col min="13" max="13" width="12.453125" style="1" customWidth="1"/>
    <col min="14" max="14" width="15" style="1" customWidth="1"/>
    <col min="15" max="15" width="10.7265625" style="1" customWidth="1"/>
    <col min="16" max="16" width="2.26953125" style="1" customWidth="1"/>
    <col min="17" max="17" width="13.7265625" style="1" customWidth="1"/>
    <col min="18" max="16384" width="11.453125" style="1"/>
  </cols>
  <sheetData>
    <row r="1" spans="1:17" ht="22" x14ac:dyDescent="0.55000000000000004">
      <c r="A1" s="2" t="s">
        <v>22</v>
      </c>
    </row>
    <row r="4" spans="1:17" ht="19.5" x14ac:dyDescent="0.5">
      <c r="A4" s="12" t="s">
        <v>26</v>
      </c>
      <c r="F4" s="12" t="s">
        <v>23</v>
      </c>
      <c r="I4" s="12" t="s">
        <v>48</v>
      </c>
      <c r="J4" s="12"/>
    </row>
    <row r="6" spans="1:17" ht="16.5" thickBot="1" x14ac:dyDescent="0.5">
      <c r="A6" s="1" t="s">
        <v>46</v>
      </c>
      <c r="B6" s="1" t="s">
        <v>47</v>
      </c>
      <c r="C6" s="1" t="s">
        <v>34</v>
      </c>
      <c r="D6" s="1" t="s">
        <v>35</v>
      </c>
      <c r="E6" s="9"/>
      <c r="F6" s="9" t="s">
        <v>24</v>
      </c>
      <c r="G6" s="9" t="s">
        <v>25</v>
      </c>
      <c r="H6" s="9"/>
      <c r="I6" s="14" t="s">
        <v>46</v>
      </c>
      <c r="J6" s="14" t="s">
        <v>47</v>
      </c>
      <c r="K6" s="15" t="s">
        <v>30</v>
      </c>
      <c r="L6" s="15" t="s">
        <v>31</v>
      </c>
      <c r="M6" s="15" t="s">
        <v>32</v>
      </c>
      <c r="N6" s="15" t="s">
        <v>33</v>
      </c>
      <c r="O6" s="15" t="s">
        <v>118</v>
      </c>
      <c r="P6" s="10" t="s">
        <v>51</v>
      </c>
      <c r="Q6" s="1" t="s">
        <v>49</v>
      </c>
    </row>
    <row r="7" spans="1:17" ht="41" x14ac:dyDescent="0.45">
      <c r="A7" s="1" t="s">
        <v>40</v>
      </c>
      <c r="C7" s="32">
        <v>0.1</v>
      </c>
      <c r="D7" s="11" t="s">
        <v>41</v>
      </c>
      <c r="E7" s="9"/>
      <c r="F7" s="9" t="s">
        <v>30</v>
      </c>
      <c r="G7" s="9">
        <v>750</v>
      </c>
      <c r="H7" s="9"/>
      <c r="I7" s="15" t="s">
        <v>40</v>
      </c>
      <c r="J7" s="15"/>
      <c r="K7" s="36">
        <v>1</v>
      </c>
      <c r="L7" s="37"/>
      <c r="M7" s="37"/>
      <c r="N7" s="37"/>
      <c r="O7" s="37"/>
      <c r="Q7" s="13">
        <f>SUM(K7:O7)</f>
        <v>1</v>
      </c>
    </row>
    <row r="8" spans="1:17" x14ac:dyDescent="0.45">
      <c r="A8" s="1" t="s">
        <v>123</v>
      </c>
      <c r="C8" s="33"/>
      <c r="D8" s="3" t="s">
        <v>36</v>
      </c>
      <c r="E8" s="9"/>
      <c r="F8" s="9" t="s">
        <v>31</v>
      </c>
      <c r="G8" s="9">
        <v>650</v>
      </c>
      <c r="H8" s="9"/>
      <c r="I8" s="15" t="s">
        <v>123</v>
      </c>
      <c r="J8" s="15"/>
      <c r="K8" s="38"/>
      <c r="L8" s="22"/>
      <c r="M8" s="22"/>
      <c r="N8" s="22"/>
      <c r="O8" s="22"/>
      <c r="Q8" s="13">
        <f t="shared" ref="Q8:Q94" si="0">SUM(K8:O8)</f>
        <v>0</v>
      </c>
    </row>
    <row r="9" spans="1:17" x14ac:dyDescent="0.45">
      <c r="A9" s="1">
        <v>15</v>
      </c>
      <c r="B9" s="1" t="s">
        <v>27</v>
      </c>
      <c r="C9" s="33">
        <v>0</v>
      </c>
      <c r="D9" s="3" t="s">
        <v>36</v>
      </c>
      <c r="E9" s="9"/>
      <c r="F9" s="9" t="s">
        <v>32</v>
      </c>
      <c r="G9" s="9">
        <v>650</v>
      </c>
      <c r="H9" s="9"/>
      <c r="I9" s="15"/>
      <c r="J9" s="15" t="s">
        <v>27</v>
      </c>
      <c r="K9" s="38"/>
      <c r="L9" s="39">
        <v>1</v>
      </c>
      <c r="M9" s="22"/>
      <c r="N9" s="22"/>
      <c r="O9" s="22"/>
      <c r="Q9" s="13">
        <f t="shared" si="0"/>
        <v>1</v>
      </c>
    </row>
    <row r="10" spans="1:17" x14ac:dyDescent="0.45">
      <c r="B10" s="1" t="s">
        <v>28</v>
      </c>
      <c r="C10" s="33">
        <v>0.05</v>
      </c>
      <c r="D10" s="3" t="s">
        <v>36</v>
      </c>
      <c r="E10" s="9"/>
      <c r="F10" s="9" t="s">
        <v>33</v>
      </c>
      <c r="G10" s="9">
        <v>500</v>
      </c>
      <c r="H10" s="9"/>
      <c r="I10" s="15"/>
      <c r="J10" s="15" t="s">
        <v>28</v>
      </c>
      <c r="K10" s="38"/>
      <c r="L10" s="22"/>
      <c r="M10" s="39">
        <v>1</v>
      </c>
      <c r="N10" s="39"/>
      <c r="O10" s="39"/>
      <c r="Q10" s="13">
        <f t="shared" si="0"/>
        <v>1</v>
      </c>
    </row>
    <row r="11" spans="1:17" x14ac:dyDescent="0.45">
      <c r="A11" s="1">
        <v>10</v>
      </c>
      <c r="B11" s="1" t="s">
        <v>29</v>
      </c>
      <c r="C11" s="33">
        <v>0.05</v>
      </c>
      <c r="D11" s="3" t="s">
        <v>36</v>
      </c>
      <c r="E11" s="9"/>
      <c r="F11" s="9" t="s">
        <v>118</v>
      </c>
      <c r="G11" s="9">
        <v>490</v>
      </c>
      <c r="H11" s="9"/>
      <c r="I11" s="15"/>
      <c r="J11" s="15" t="s">
        <v>29</v>
      </c>
      <c r="K11" s="38"/>
      <c r="L11" s="39"/>
      <c r="M11" s="39"/>
      <c r="N11" s="39"/>
      <c r="O11" s="39">
        <v>1</v>
      </c>
      <c r="Q11" s="13">
        <f t="shared" si="0"/>
        <v>1</v>
      </c>
    </row>
    <row r="12" spans="1:17" x14ac:dyDescent="0.45">
      <c r="A12" s="41"/>
      <c r="B12" s="137" t="s">
        <v>130</v>
      </c>
      <c r="C12" s="42">
        <v>0.04</v>
      </c>
      <c r="D12" s="3" t="s">
        <v>36</v>
      </c>
      <c r="E12" s="9"/>
      <c r="F12" s="9" t="s">
        <v>56</v>
      </c>
      <c r="G12" s="9">
        <v>1000</v>
      </c>
      <c r="H12" s="9"/>
      <c r="I12" s="137"/>
      <c r="J12" s="137" t="s">
        <v>124</v>
      </c>
      <c r="K12" s="45"/>
      <c r="L12" s="47"/>
      <c r="M12" s="39">
        <v>1</v>
      </c>
      <c r="N12" s="47"/>
      <c r="O12" s="47"/>
      <c r="P12" s="41"/>
      <c r="Q12" s="180">
        <f>SUM(K12:O12)</f>
        <v>1</v>
      </c>
    </row>
    <row r="13" spans="1:17" x14ac:dyDescent="0.45">
      <c r="A13" s="1" t="s">
        <v>50</v>
      </c>
      <c r="C13" s="33">
        <v>0</v>
      </c>
      <c r="D13" s="3" t="s">
        <v>36</v>
      </c>
      <c r="E13" s="9"/>
      <c r="F13" s="9"/>
      <c r="G13" s="9"/>
      <c r="H13" s="9"/>
      <c r="I13" s="15" t="s">
        <v>50</v>
      </c>
      <c r="J13" s="15"/>
      <c r="K13" s="38"/>
      <c r="L13" s="22"/>
      <c r="M13" s="39"/>
      <c r="N13" s="39"/>
      <c r="O13" s="39"/>
      <c r="Q13" s="13">
        <f t="shared" si="0"/>
        <v>0</v>
      </c>
    </row>
    <row r="14" spans="1:17" ht="32" x14ac:dyDescent="0.45">
      <c r="A14" s="1" t="s">
        <v>319</v>
      </c>
      <c r="C14" s="33">
        <v>0.2</v>
      </c>
      <c r="D14" s="3" t="s">
        <v>36</v>
      </c>
      <c r="E14" s="9"/>
      <c r="F14" s="9"/>
      <c r="G14" s="9"/>
      <c r="H14" s="9"/>
      <c r="I14" s="15"/>
      <c r="J14" s="181" t="str">
        <f>'Recap UO'!A5</f>
        <v>Génération des clients WS LDT04 et LDT05, création des delegates, bean / mapping / populate : Traitement Java Moyen</v>
      </c>
      <c r="K14" s="38"/>
      <c r="L14" s="39"/>
      <c r="M14" s="39"/>
      <c r="N14" s="39">
        <v>1</v>
      </c>
      <c r="O14" s="39"/>
      <c r="Q14" s="13">
        <f t="shared" si="0"/>
        <v>1</v>
      </c>
    </row>
    <row r="15" spans="1:17" ht="32" x14ac:dyDescent="0.45">
      <c r="A15" s="1" t="s">
        <v>318</v>
      </c>
      <c r="C15" s="33">
        <v>0.2</v>
      </c>
      <c r="D15" s="3" t="s">
        <v>36</v>
      </c>
      <c r="E15" s="9"/>
      <c r="F15" s="9"/>
      <c r="G15" s="9"/>
      <c r="H15" s="9"/>
      <c r="I15" s="15"/>
      <c r="J15" s="181" t="str">
        <f>'Recap UO'!A6</f>
        <v xml:space="preserve">Consultation Document (Front + Action Consommation et mapping LDT04.lireDocument()) </v>
      </c>
      <c r="K15" s="38"/>
      <c r="L15" s="39"/>
      <c r="M15" s="39"/>
      <c r="N15" s="39">
        <v>1</v>
      </c>
      <c r="O15" s="39"/>
      <c r="Q15" s="13">
        <f t="shared" ref="Q15:Q17" si="1">SUM(K15:O15)</f>
        <v>1</v>
      </c>
    </row>
    <row r="16" spans="1:17" x14ac:dyDescent="0.45">
      <c r="A16" s="1" t="s">
        <v>39</v>
      </c>
      <c r="C16" s="33">
        <v>0.05</v>
      </c>
      <c r="D16" s="3" t="s">
        <v>36</v>
      </c>
      <c r="I16" s="15"/>
      <c r="J16" s="181" t="str">
        <f>'Recap UO'!A7</f>
        <v xml:space="preserve">Ecran DCLI083 Recherche de Document Clef </v>
      </c>
      <c r="K16" s="38"/>
      <c r="L16" s="39"/>
      <c r="M16" s="39"/>
      <c r="N16" s="39">
        <v>1</v>
      </c>
      <c r="O16" s="39"/>
      <c r="Q16" s="13">
        <f t="shared" si="1"/>
        <v>1</v>
      </c>
    </row>
    <row r="17" spans="1:17" x14ac:dyDescent="0.45">
      <c r="A17" s="1" t="s">
        <v>129</v>
      </c>
      <c r="C17" s="34"/>
      <c r="D17" s="3"/>
      <c r="I17" s="15"/>
      <c r="J17" s="181">
        <f>'Recap UO'!A9</f>
        <v>0</v>
      </c>
      <c r="K17" s="38"/>
      <c r="L17" s="39"/>
      <c r="M17" s="39"/>
      <c r="N17" s="39">
        <v>1</v>
      </c>
      <c r="O17" s="39"/>
      <c r="Q17" s="13">
        <f t="shared" si="1"/>
        <v>1</v>
      </c>
    </row>
    <row r="18" spans="1:17" x14ac:dyDescent="0.45">
      <c r="B18" s="1" t="s">
        <v>125</v>
      </c>
      <c r="C18" s="33">
        <v>0.05</v>
      </c>
      <c r="D18" s="3" t="s">
        <v>36</v>
      </c>
      <c r="I18" s="15"/>
      <c r="J18" s="181">
        <f>'Recap UO'!A10</f>
        <v>0</v>
      </c>
      <c r="K18" s="38"/>
      <c r="L18" s="39"/>
      <c r="M18" s="39"/>
      <c r="N18" s="39">
        <v>1</v>
      </c>
      <c r="O18" s="39"/>
      <c r="Q18" s="13">
        <f t="shared" ref="Q18:Q22" si="2">SUM(K18:O18)</f>
        <v>1</v>
      </c>
    </row>
    <row r="19" spans="1:17" x14ac:dyDescent="0.45">
      <c r="B19" s="1" t="s">
        <v>44</v>
      </c>
      <c r="C19" s="33">
        <v>0.05</v>
      </c>
      <c r="D19" s="3" t="s">
        <v>36</v>
      </c>
      <c r="I19" s="15"/>
      <c r="J19" s="181">
        <f>'Recap UO'!A11</f>
        <v>0</v>
      </c>
      <c r="K19" s="38"/>
      <c r="L19" s="39"/>
      <c r="M19" s="39"/>
      <c r="N19" s="39">
        <v>1</v>
      </c>
      <c r="O19" s="39"/>
      <c r="Q19" s="13">
        <f t="shared" si="2"/>
        <v>1</v>
      </c>
    </row>
    <row r="20" spans="1:17" x14ac:dyDescent="0.45">
      <c r="B20" s="1" t="s">
        <v>45</v>
      </c>
      <c r="C20" s="33">
        <v>0.05</v>
      </c>
      <c r="D20" s="3" t="s">
        <v>36</v>
      </c>
      <c r="I20" s="15"/>
      <c r="J20" s="181">
        <f>'Recap UO'!A13</f>
        <v>0</v>
      </c>
      <c r="K20" s="38"/>
      <c r="L20" s="39"/>
      <c r="M20" s="39"/>
      <c r="N20" s="39">
        <v>1</v>
      </c>
      <c r="O20" s="39"/>
      <c r="Q20" s="13">
        <f t="shared" si="2"/>
        <v>1</v>
      </c>
    </row>
    <row r="21" spans="1:17" x14ac:dyDescent="0.45">
      <c r="A21" s="41" t="s">
        <v>60</v>
      </c>
      <c r="B21" s="41"/>
      <c r="C21" s="42"/>
      <c r="D21" s="43"/>
      <c r="I21" s="15"/>
      <c r="J21" s="181">
        <f>'Recap UO'!A14</f>
        <v>0</v>
      </c>
      <c r="K21" s="38"/>
      <c r="L21" s="39"/>
      <c r="M21" s="39"/>
      <c r="N21" s="39">
        <v>1</v>
      </c>
      <c r="O21" s="39"/>
      <c r="Q21" s="13">
        <f t="shared" si="2"/>
        <v>1</v>
      </c>
    </row>
    <row r="22" spans="1:17" ht="16.5" thickBot="1" x14ac:dyDescent="0.5">
      <c r="A22" s="41"/>
      <c r="B22" s="41" t="s">
        <v>59</v>
      </c>
      <c r="C22" s="44">
        <v>0.15</v>
      </c>
      <c r="D22" s="43" t="s">
        <v>61</v>
      </c>
      <c r="I22" s="15"/>
      <c r="J22" s="181">
        <f>'Recap UO'!A15</f>
        <v>0</v>
      </c>
      <c r="K22" s="38"/>
      <c r="L22" s="39"/>
      <c r="M22" s="39"/>
      <c r="N22" s="39">
        <v>1</v>
      </c>
      <c r="O22" s="39"/>
      <c r="Q22" s="13">
        <f t="shared" si="2"/>
        <v>1</v>
      </c>
    </row>
    <row r="23" spans="1:17" x14ac:dyDescent="0.45">
      <c r="I23" s="15"/>
      <c r="J23" s="181">
        <f>'Recap UO'!A16</f>
        <v>0</v>
      </c>
      <c r="K23" s="38"/>
      <c r="L23" s="39"/>
      <c r="M23" s="39"/>
      <c r="N23" s="39">
        <v>1</v>
      </c>
      <c r="O23" s="39"/>
      <c r="Q23" s="13">
        <f t="shared" ref="Q23:Q30" si="3">SUM(K23:O23)</f>
        <v>1</v>
      </c>
    </row>
    <row r="24" spans="1:17" ht="19.5" x14ac:dyDescent="0.5">
      <c r="A24" s="12" t="s">
        <v>62</v>
      </c>
      <c r="I24" s="15"/>
      <c r="J24" s="181">
        <f>'Recap UO'!A17</f>
        <v>0</v>
      </c>
      <c r="K24" s="38"/>
      <c r="L24" s="39"/>
      <c r="M24" s="39"/>
      <c r="N24" s="39">
        <v>1</v>
      </c>
      <c r="O24" s="39"/>
      <c r="Q24" s="13">
        <f t="shared" si="3"/>
        <v>1</v>
      </c>
    </row>
    <row r="25" spans="1:17" x14ac:dyDescent="0.45">
      <c r="I25" s="15"/>
      <c r="J25" s="181">
        <f>'Recap UO'!A18</f>
        <v>0</v>
      </c>
      <c r="K25" s="38"/>
      <c r="L25" s="39"/>
      <c r="M25" s="39"/>
      <c r="N25" s="39">
        <v>1</v>
      </c>
      <c r="O25" s="39"/>
      <c r="Q25" s="13">
        <f t="shared" si="3"/>
        <v>1</v>
      </c>
    </row>
    <row r="26" spans="1:17" x14ac:dyDescent="0.45">
      <c r="A26" s="1" t="s">
        <v>87</v>
      </c>
      <c r="B26" s="59">
        <v>0.35</v>
      </c>
      <c r="I26" s="15"/>
      <c r="J26" s="181">
        <f>'Recap UO'!A19</f>
        <v>0</v>
      </c>
      <c r="K26" s="38"/>
      <c r="L26" s="39"/>
      <c r="M26" s="39"/>
      <c r="N26" s="39">
        <v>1</v>
      </c>
      <c r="O26" s="39"/>
      <c r="Q26" s="13">
        <f t="shared" si="3"/>
        <v>1</v>
      </c>
    </row>
    <row r="27" spans="1:17" x14ac:dyDescent="0.45">
      <c r="I27" s="15"/>
      <c r="J27" s="181">
        <f>'Recap UO'!A20</f>
        <v>0</v>
      </c>
      <c r="K27" s="38"/>
      <c r="L27" s="39"/>
      <c r="M27" s="39"/>
      <c r="N27" s="39">
        <v>1</v>
      </c>
      <c r="O27" s="39"/>
      <c r="Q27" s="13">
        <f t="shared" si="3"/>
        <v>1</v>
      </c>
    </row>
    <row r="28" spans="1:17" x14ac:dyDescent="0.45">
      <c r="I28" s="15"/>
      <c r="J28" s="181">
        <f>'Recap UO'!A21</f>
        <v>0</v>
      </c>
      <c r="K28" s="38"/>
      <c r="L28" s="39"/>
      <c r="M28" s="39"/>
      <c r="N28" s="39">
        <v>1</v>
      </c>
      <c r="O28" s="39"/>
      <c r="Q28" s="13">
        <f t="shared" si="3"/>
        <v>1</v>
      </c>
    </row>
    <row r="29" spans="1:17" x14ac:dyDescent="0.45">
      <c r="I29" s="15"/>
      <c r="J29" s="181">
        <f>'Recap UO'!A22</f>
        <v>0</v>
      </c>
      <c r="K29" s="38"/>
      <c r="L29" s="39"/>
      <c r="M29" s="39"/>
      <c r="N29" s="39">
        <v>1</v>
      </c>
      <c r="O29" s="39"/>
      <c r="Q29" s="13">
        <f t="shared" si="3"/>
        <v>1</v>
      </c>
    </row>
    <row r="30" spans="1:17" x14ac:dyDescent="0.45">
      <c r="I30" s="15"/>
      <c r="J30" s="181">
        <f>'Recap UO'!A23</f>
        <v>0</v>
      </c>
      <c r="K30" s="38"/>
      <c r="L30" s="39"/>
      <c r="M30" s="39"/>
      <c r="N30" s="39">
        <v>1</v>
      </c>
      <c r="O30" s="39"/>
      <c r="Q30" s="13">
        <f t="shared" si="3"/>
        <v>1</v>
      </c>
    </row>
    <row r="31" spans="1:17" x14ac:dyDescent="0.45">
      <c r="I31" s="15"/>
      <c r="J31" s="181">
        <f>'Recap UO'!A24</f>
        <v>0</v>
      </c>
      <c r="K31" s="38"/>
      <c r="L31" s="39"/>
      <c r="M31" s="39"/>
      <c r="N31" s="39">
        <v>1</v>
      </c>
      <c r="O31" s="39"/>
      <c r="Q31" s="13">
        <f t="shared" ref="Q31:Q62" si="4">SUM(K31:O31)</f>
        <v>1</v>
      </c>
    </row>
    <row r="32" spans="1:17" x14ac:dyDescent="0.45">
      <c r="I32" s="15"/>
      <c r="J32" s="181">
        <f>'Recap UO'!A25</f>
        <v>0</v>
      </c>
      <c r="K32" s="38"/>
      <c r="L32" s="39"/>
      <c r="M32" s="39"/>
      <c r="N32" s="39">
        <v>1</v>
      </c>
      <c r="O32" s="39"/>
      <c r="Q32" s="13">
        <f t="shared" si="4"/>
        <v>1</v>
      </c>
    </row>
    <row r="33" spans="9:17" x14ac:dyDescent="0.45">
      <c r="I33" s="15"/>
      <c r="J33" s="181">
        <f>'Recap UO'!A26</f>
        <v>0</v>
      </c>
      <c r="K33" s="38"/>
      <c r="L33" s="39"/>
      <c r="M33" s="39"/>
      <c r="N33" s="39">
        <v>1</v>
      </c>
      <c r="O33" s="39"/>
      <c r="Q33" s="13">
        <f t="shared" si="4"/>
        <v>1</v>
      </c>
    </row>
    <row r="34" spans="9:17" x14ac:dyDescent="0.45">
      <c r="I34" s="15"/>
      <c r="J34" s="181">
        <f>'Recap UO'!A27</f>
        <v>0</v>
      </c>
      <c r="K34" s="38"/>
      <c r="L34" s="39"/>
      <c r="M34" s="39"/>
      <c r="N34" s="39">
        <v>1</v>
      </c>
      <c r="O34" s="39"/>
      <c r="Q34" s="13">
        <f t="shared" si="4"/>
        <v>1</v>
      </c>
    </row>
    <row r="35" spans="9:17" x14ac:dyDescent="0.45">
      <c r="I35" s="15"/>
      <c r="J35" s="181">
        <f>'Recap UO'!A28</f>
        <v>0</v>
      </c>
      <c r="K35" s="38"/>
      <c r="L35" s="39"/>
      <c r="M35" s="39"/>
      <c r="N35" s="39">
        <v>1</v>
      </c>
      <c r="O35" s="39"/>
      <c r="Q35" s="13">
        <f t="shared" si="4"/>
        <v>1</v>
      </c>
    </row>
    <row r="36" spans="9:17" x14ac:dyDescent="0.45">
      <c r="I36" s="15"/>
      <c r="J36" s="181">
        <f>'Recap UO'!A29</f>
        <v>0</v>
      </c>
      <c r="K36" s="38"/>
      <c r="L36" s="39"/>
      <c r="M36" s="39"/>
      <c r="N36" s="39">
        <v>1</v>
      </c>
      <c r="O36" s="39"/>
      <c r="Q36" s="13">
        <f t="shared" si="4"/>
        <v>1</v>
      </c>
    </row>
    <row r="37" spans="9:17" x14ac:dyDescent="0.45">
      <c r="I37" s="15"/>
      <c r="J37" s="181">
        <f>'Recap UO'!A30</f>
        <v>0</v>
      </c>
      <c r="K37" s="38"/>
      <c r="L37" s="39"/>
      <c r="M37" s="39"/>
      <c r="N37" s="39">
        <v>1</v>
      </c>
      <c r="O37" s="39"/>
      <c r="Q37" s="13">
        <f t="shared" si="4"/>
        <v>1</v>
      </c>
    </row>
    <row r="38" spans="9:17" x14ac:dyDescent="0.45">
      <c r="I38" s="15"/>
      <c r="J38" s="181">
        <f>'Recap UO'!A31</f>
        <v>0</v>
      </c>
      <c r="K38" s="38"/>
      <c r="L38" s="39"/>
      <c r="M38" s="39"/>
      <c r="N38" s="39">
        <v>1</v>
      </c>
      <c r="O38" s="39"/>
      <c r="Q38" s="13">
        <f t="shared" si="4"/>
        <v>1</v>
      </c>
    </row>
    <row r="39" spans="9:17" x14ac:dyDescent="0.45">
      <c r="I39" s="15"/>
      <c r="J39" s="181">
        <f>'Recap UO'!A32</f>
        <v>0</v>
      </c>
      <c r="K39" s="38"/>
      <c r="L39" s="39"/>
      <c r="M39" s="39"/>
      <c r="N39" s="39">
        <v>1</v>
      </c>
      <c r="O39" s="39"/>
      <c r="Q39" s="13">
        <f t="shared" si="4"/>
        <v>1</v>
      </c>
    </row>
    <row r="40" spans="9:17" x14ac:dyDescent="0.45">
      <c r="I40" s="15"/>
      <c r="J40" s="181">
        <f>'Recap UO'!A33</f>
        <v>0</v>
      </c>
      <c r="K40" s="38"/>
      <c r="L40" s="39"/>
      <c r="M40" s="39"/>
      <c r="N40" s="39">
        <v>1</v>
      </c>
      <c r="O40" s="39"/>
      <c r="Q40" s="13">
        <f t="shared" si="4"/>
        <v>1</v>
      </c>
    </row>
    <row r="41" spans="9:17" x14ac:dyDescent="0.45">
      <c r="I41" s="15"/>
      <c r="J41" s="181">
        <f>'Recap UO'!A34</f>
        <v>0</v>
      </c>
      <c r="K41" s="38"/>
      <c r="L41" s="39"/>
      <c r="M41" s="39"/>
      <c r="N41" s="39">
        <v>1</v>
      </c>
      <c r="O41" s="39"/>
      <c r="Q41" s="13">
        <f t="shared" si="4"/>
        <v>1</v>
      </c>
    </row>
    <row r="42" spans="9:17" x14ac:dyDescent="0.45">
      <c r="I42" s="15"/>
      <c r="J42" s="181">
        <f>'Recap UO'!A35</f>
        <v>0</v>
      </c>
      <c r="K42" s="38"/>
      <c r="L42" s="39"/>
      <c r="M42" s="39"/>
      <c r="N42" s="39">
        <v>1</v>
      </c>
      <c r="O42" s="39"/>
      <c r="Q42" s="13">
        <f t="shared" si="4"/>
        <v>1</v>
      </c>
    </row>
    <row r="43" spans="9:17" x14ac:dyDescent="0.45">
      <c r="I43" s="15"/>
      <c r="J43" s="181">
        <f>'Recap UO'!A36</f>
        <v>0</v>
      </c>
      <c r="K43" s="38"/>
      <c r="L43" s="39"/>
      <c r="M43" s="39"/>
      <c r="N43" s="39">
        <v>1</v>
      </c>
      <c r="O43" s="39"/>
      <c r="Q43" s="13">
        <f t="shared" si="4"/>
        <v>1</v>
      </c>
    </row>
    <row r="44" spans="9:17" x14ac:dyDescent="0.45">
      <c r="I44" s="15"/>
      <c r="J44" s="181">
        <f>'Recap UO'!A37</f>
        <v>0</v>
      </c>
      <c r="K44" s="38"/>
      <c r="L44" s="39"/>
      <c r="M44" s="39"/>
      <c r="N44" s="39">
        <v>1</v>
      </c>
      <c r="O44" s="39"/>
      <c r="Q44" s="13">
        <f t="shared" si="4"/>
        <v>1</v>
      </c>
    </row>
    <row r="45" spans="9:17" x14ac:dyDescent="0.45">
      <c r="I45" s="15"/>
      <c r="J45" s="181">
        <f>'Recap UO'!A38</f>
        <v>0</v>
      </c>
      <c r="K45" s="38"/>
      <c r="L45" s="39"/>
      <c r="M45" s="39"/>
      <c r="N45" s="39">
        <v>1</v>
      </c>
      <c r="O45" s="39"/>
      <c r="Q45" s="13">
        <f t="shared" si="4"/>
        <v>1</v>
      </c>
    </row>
    <row r="46" spans="9:17" x14ac:dyDescent="0.45">
      <c r="I46" s="15"/>
      <c r="J46" s="181">
        <f>'Recap UO'!A39</f>
        <v>0</v>
      </c>
      <c r="K46" s="38"/>
      <c r="L46" s="39"/>
      <c r="M46" s="39"/>
      <c r="N46" s="39">
        <v>1</v>
      </c>
      <c r="O46" s="39"/>
      <c r="Q46" s="13">
        <f t="shared" si="4"/>
        <v>1</v>
      </c>
    </row>
    <row r="47" spans="9:17" x14ac:dyDescent="0.45">
      <c r="I47" s="15"/>
      <c r="J47" s="181">
        <f>'Recap UO'!A40</f>
        <v>0</v>
      </c>
      <c r="K47" s="38"/>
      <c r="L47" s="39"/>
      <c r="M47" s="39"/>
      <c r="N47" s="39">
        <v>1</v>
      </c>
      <c r="O47" s="39"/>
      <c r="Q47" s="13">
        <f t="shared" si="4"/>
        <v>1</v>
      </c>
    </row>
    <row r="48" spans="9:17" x14ac:dyDescent="0.45">
      <c r="I48" s="15"/>
      <c r="J48" s="181">
        <f>'Recap UO'!A41</f>
        <v>0</v>
      </c>
      <c r="K48" s="38"/>
      <c r="L48" s="39"/>
      <c r="M48" s="39"/>
      <c r="N48" s="39">
        <v>1</v>
      </c>
      <c r="O48" s="39"/>
      <c r="Q48" s="13">
        <f t="shared" si="4"/>
        <v>1</v>
      </c>
    </row>
    <row r="49" spans="9:17" x14ac:dyDescent="0.45">
      <c r="I49" s="15"/>
      <c r="J49" s="181">
        <f>'Recap UO'!A42</f>
        <v>0</v>
      </c>
      <c r="K49" s="38"/>
      <c r="L49" s="39"/>
      <c r="M49" s="39"/>
      <c r="N49" s="39">
        <v>1</v>
      </c>
      <c r="O49" s="39"/>
      <c r="Q49" s="13">
        <f t="shared" si="4"/>
        <v>1</v>
      </c>
    </row>
    <row r="50" spans="9:17" x14ac:dyDescent="0.45">
      <c r="I50" s="15"/>
      <c r="J50" s="181">
        <f>'Recap UO'!A43</f>
        <v>0</v>
      </c>
      <c r="K50" s="38"/>
      <c r="L50" s="39"/>
      <c r="M50" s="39"/>
      <c r="N50" s="39">
        <v>1</v>
      </c>
      <c r="O50" s="39"/>
      <c r="Q50" s="13">
        <f t="shared" si="4"/>
        <v>1</v>
      </c>
    </row>
    <row r="51" spans="9:17" x14ac:dyDescent="0.45">
      <c r="I51" s="15"/>
      <c r="J51" s="181">
        <f>'Recap UO'!A44</f>
        <v>0</v>
      </c>
      <c r="K51" s="38"/>
      <c r="L51" s="39"/>
      <c r="M51" s="39"/>
      <c r="N51" s="39">
        <v>1</v>
      </c>
      <c r="O51" s="39"/>
      <c r="Q51" s="13">
        <f t="shared" si="4"/>
        <v>1</v>
      </c>
    </row>
    <row r="52" spans="9:17" x14ac:dyDescent="0.45">
      <c r="I52" s="15"/>
      <c r="J52" s="181">
        <f>'Recap UO'!A45</f>
        <v>0</v>
      </c>
      <c r="K52" s="38"/>
      <c r="L52" s="39"/>
      <c r="M52" s="39"/>
      <c r="N52" s="39">
        <v>1</v>
      </c>
      <c r="O52" s="39"/>
      <c r="Q52" s="13">
        <f t="shared" si="4"/>
        <v>1</v>
      </c>
    </row>
    <row r="53" spans="9:17" x14ac:dyDescent="0.45">
      <c r="I53" s="15"/>
      <c r="J53" s="181">
        <f>'Recap UO'!A46</f>
        <v>0</v>
      </c>
      <c r="K53" s="38"/>
      <c r="L53" s="39"/>
      <c r="M53" s="39"/>
      <c r="N53" s="39">
        <v>1</v>
      </c>
      <c r="O53" s="39"/>
      <c r="Q53" s="13">
        <f t="shared" si="4"/>
        <v>1</v>
      </c>
    </row>
    <row r="54" spans="9:17" x14ac:dyDescent="0.45">
      <c r="I54" s="15"/>
      <c r="J54" s="181">
        <f>'Recap UO'!A47</f>
        <v>0</v>
      </c>
      <c r="K54" s="38"/>
      <c r="L54" s="39"/>
      <c r="M54" s="39"/>
      <c r="N54" s="39">
        <v>1</v>
      </c>
      <c r="O54" s="39"/>
      <c r="Q54" s="13">
        <f t="shared" si="4"/>
        <v>1</v>
      </c>
    </row>
    <row r="55" spans="9:17" x14ac:dyDescent="0.45">
      <c r="I55" s="15"/>
      <c r="J55" s="181">
        <f>'Recap UO'!A48</f>
        <v>0</v>
      </c>
      <c r="K55" s="38"/>
      <c r="L55" s="39"/>
      <c r="M55" s="39"/>
      <c r="N55" s="39">
        <v>1</v>
      </c>
      <c r="O55" s="39"/>
      <c r="Q55" s="13">
        <f t="shared" si="4"/>
        <v>1</v>
      </c>
    </row>
    <row r="56" spans="9:17" x14ac:dyDescent="0.45">
      <c r="I56" s="15"/>
      <c r="J56" s="181">
        <f>'Recap UO'!A49</f>
        <v>0</v>
      </c>
      <c r="K56" s="38"/>
      <c r="L56" s="39"/>
      <c r="M56" s="39"/>
      <c r="N56" s="39">
        <v>1</v>
      </c>
      <c r="O56" s="39"/>
      <c r="Q56" s="13">
        <f t="shared" si="4"/>
        <v>1</v>
      </c>
    </row>
    <row r="57" spans="9:17" x14ac:dyDescent="0.45">
      <c r="I57" s="15"/>
      <c r="J57" s="181">
        <f>'Recap UO'!A50</f>
        <v>0</v>
      </c>
      <c r="K57" s="38"/>
      <c r="L57" s="39"/>
      <c r="M57" s="39"/>
      <c r="N57" s="39">
        <v>1</v>
      </c>
      <c r="O57" s="39"/>
      <c r="Q57" s="13">
        <f t="shared" si="4"/>
        <v>1</v>
      </c>
    </row>
    <row r="58" spans="9:17" x14ac:dyDescent="0.45">
      <c r="I58" s="15"/>
      <c r="J58" s="181">
        <f>'Recap UO'!A51</f>
        <v>0</v>
      </c>
      <c r="K58" s="38"/>
      <c r="L58" s="39"/>
      <c r="M58" s="39"/>
      <c r="N58" s="39">
        <v>1</v>
      </c>
      <c r="O58" s="39"/>
      <c r="Q58" s="13">
        <f t="shared" si="4"/>
        <v>1</v>
      </c>
    </row>
    <row r="59" spans="9:17" x14ac:dyDescent="0.45">
      <c r="I59" s="15"/>
      <c r="J59" s="181">
        <f>'Recap UO'!A52</f>
        <v>0</v>
      </c>
      <c r="K59" s="38"/>
      <c r="L59" s="39"/>
      <c r="M59" s="39"/>
      <c r="N59" s="39">
        <v>1</v>
      </c>
      <c r="O59" s="39"/>
      <c r="Q59" s="13">
        <f t="shared" si="4"/>
        <v>1</v>
      </c>
    </row>
    <row r="60" spans="9:17" x14ac:dyDescent="0.45">
      <c r="I60" s="15"/>
      <c r="J60" s="181">
        <f>'Recap UO'!A53</f>
        <v>0</v>
      </c>
      <c r="K60" s="38"/>
      <c r="L60" s="39"/>
      <c r="M60" s="39"/>
      <c r="N60" s="39">
        <v>1</v>
      </c>
      <c r="O60" s="39"/>
      <c r="Q60" s="13">
        <f t="shared" si="4"/>
        <v>1</v>
      </c>
    </row>
    <row r="61" spans="9:17" x14ac:dyDescent="0.45">
      <c r="I61" s="15"/>
      <c r="J61" s="181">
        <f>'Recap UO'!A54</f>
        <v>0</v>
      </c>
      <c r="K61" s="38"/>
      <c r="L61" s="39"/>
      <c r="M61" s="39"/>
      <c r="N61" s="39">
        <v>1</v>
      </c>
      <c r="O61" s="39"/>
      <c r="Q61" s="13">
        <f t="shared" si="4"/>
        <v>1</v>
      </c>
    </row>
    <row r="62" spans="9:17" x14ac:dyDescent="0.45">
      <c r="I62" s="15"/>
      <c r="J62" s="181">
        <f>'Recap UO'!A55</f>
        <v>0</v>
      </c>
      <c r="K62" s="38"/>
      <c r="L62" s="39"/>
      <c r="M62" s="39"/>
      <c r="N62" s="39">
        <v>1</v>
      </c>
      <c r="O62" s="39"/>
      <c r="Q62" s="13">
        <f t="shared" si="4"/>
        <v>1</v>
      </c>
    </row>
    <row r="63" spans="9:17" x14ac:dyDescent="0.45">
      <c r="I63" s="15"/>
      <c r="J63" s="181">
        <f>'Recap UO'!A56</f>
        <v>0</v>
      </c>
      <c r="K63" s="38"/>
      <c r="L63" s="39"/>
      <c r="M63" s="39"/>
      <c r="N63" s="39">
        <v>1</v>
      </c>
      <c r="O63" s="39"/>
      <c r="Q63" s="13">
        <f t="shared" ref="Q63:Q88" si="5">SUM(K63:O63)</f>
        <v>1</v>
      </c>
    </row>
    <row r="64" spans="9:17" x14ac:dyDescent="0.45">
      <c r="I64" s="15"/>
      <c r="J64" s="181">
        <f>'Recap UO'!A57</f>
        <v>0</v>
      </c>
      <c r="K64" s="38"/>
      <c r="L64" s="39"/>
      <c r="M64" s="39"/>
      <c r="N64" s="39">
        <v>1</v>
      </c>
      <c r="O64" s="39"/>
      <c r="Q64" s="13">
        <f t="shared" si="5"/>
        <v>1</v>
      </c>
    </row>
    <row r="65" spans="9:17" x14ac:dyDescent="0.45">
      <c r="I65" s="15"/>
      <c r="J65" s="181">
        <f>'Recap UO'!A58</f>
        <v>0</v>
      </c>
      <c r="K65" s="38"/>
      <c r="L65" s="39"/>
      <c r="M65" s="39"/>
      <c r="N65" s="39">
        <v>1</v>
      </c>
      <c r="O65" s="39"/>
      <c r="Q65" s="13">
        <f t="shared" si="5"/>
        <v>1</v>
      </c>
    </row>
    <row r="66" spans="9:17" x14ac:dyDescent="0.45">
      <c r="I66" s="15"/>
      <c r="J66" s="181">
        <f>'Recap UO'!A59</f>
        <v>0</v>
      </c>
      <c r="K66" s="38"/>
      <c r="L66" s="39"/>
      <c r="M66" s="39"/>
      <c r="N66" s="39">
        <v>1</v>
      </c>
      <c r="O66" s="39"/>
      <c r="Q66" s="13">
        <f t="shared" si="5"/>
        <v>1</v>
      </c>
    </row>
    <row r="67" spans="9:17" x14ac:dyDescent="0.45">
      <c r="I67" s="15"/>
      <c r="J67" s="181">
        <f>'Recap UO'!A60</f>
        <v>0</v>
      </c>
      <c r="K67" s="38"/>
      <c r="L67" s="39"/>
      <c r="M67" s="39"/>
      <c r="N67" s="39">
        <v>1</v>
      </c>
      <c r="O67" s="39"/>
      <c r="Q67" s="13">
        <f t="shared" si="5"/>
        <v>1</v>
      </c>
    </row>
    <row r="68" spans="9:17" x14ac:dyDescent="0.45">
      <c r="I68" s="15"/>
      <c r="J68" s="181">
        <f>'Recap UO'!A61</f>
        <v>0</v>
      </c>
      <c r="K68" s="38"/>
      <c r="L68" s="39"/>
      <c r="M68" s="39"/>
      <c r="N68" s="39">
        <v>1</v>
      </c>
      <c r="O68" s="39"/>
      <c r="Q68" s="13">
        <f t="shared" si="5"/>
        <v>1</v>
      </c>
    </row>
    <row r="69" spans="9:17" x14ac:dyDescent="0.45">
      <c r="I69" s="15"/>
      <c r="J69" s="181">
        <f>'Recap UO'!A62</f>
        <v>0</v>
      </c>
      <c r="K69" s="38"/>
      <c r="L69" s="39"/>
      <c r="M69" s="39"/>
      <c r="N69" s="39">
        <v>1</v>
      </c>
      <c r="O69" s="39"/>
      <c r="Q69" s="13">
        <f t="shared" si="5"/>
        <v>1</v>
      </c>
    </row>
    <row r="70" spans="9:17" x14ac:dyDescent="0.45">
      <c r="I70" s="15"/>
      <c r="J70" s="181">
        <f>'Recap UO'!A63</f>
        <v>0</v>
      </c>
      <c r="K70" s="38"/>
      <c r="L70" s="39"/>
      <c r="M70" s="39"/>
      <c r="N70" s="39">
        <v>1</v>
      </c>
      <c r="O70" s="39"/>
      <c r="Q70" s="13">
        <f t="shared" si="5"/>
        <v>1</v>
      </c>
    </row>
    <row r="71" spans="9:17" x14ac:dyDescent="0.45">
      <c r="I71" s="15"/>
      <c r="J71" s="181">
        <f>'Recap UO'!A64</f>
        <v>0</v>
      </c>
      <c r="K71" s="38"/>
      <c r="L71" s="39"/>
      <c r="M71" s="39"/>
      <c r="N71" s="39">
        <v>1</v>
      </c>
      <c r="O71" s="39"/>
      <c r="Q71" s="13">
        <f t="shared" si="5"/>
        <v>1</v>
      </c>
    </row>
    <row r="72" spans="9:17" x14ac:dyDescent="0.45">
      <c r="I72" s="15"/>
      <c r="J72" s="181">
        <f>'Recap UO'!A65</f>
        <v>0</v>
      </c>
      <c r="K72" s="38"/>
      <c r="L72" s="39"/>
      <c r="M72" s="39"/>
      <c r="N72" s="39">
        <v>1</v>
      </c>
      <c r="O72" s="39"/>
      <c r="Q72" s="13">
        <f t="shared" si="5"/>
        <v>1</v>
      </c>
    </row>
    <row r="73" spans="9:17" x14ac:dyDescent="0.45">
      <c r="I73" s="15"/>
      <c r="J73" s="181">
        <f>'Recap UO'!A66</f>
        <v>0</v>
      </c>
      <c r="K73" s="38"/>
      <c r="L73" s="39"/>
      <c r="M73" s="39"/>
      <c r="N73" s="39">
        <v>1</v>
      </c>
      <c r="O73" s="39"/>
      <c r="Q73" s="13">
        <f t="shared" si="5"/>
        <v>1</v>
      </c>
    </row>
    <row r="74" spans="9:17" x14ac:dyDescent="0.45">
      <c r="I74" s="15"/>
      <c r="J74" s="181">
        <f>'Recap UO'!A67</f>
        <v>0</v>
      </c>
      <c r="K74" s="38"/>
      <c r="L74" s="39"/>
      <c r="M74" s="39"/>
      <c r="N74" s="39">
        <v>1</v>
      </c>
      <c r="O74" s="39"/>
      <c r="Q74" s="13">
        <f t="shared" si="5"/>
        <v>1</v>
      </c>
    </row>
    <row r="75" spans="9:17" x14ac:dyDescent="0.45">
      <c r="I75" s="15"/>
      <c r="J75" s="181">
        <f>'Recap UO'!A68</f>
        <v>0</v>
      </c>
      <c r="K75" s="38"/>
      <c r="L75" s="39"/>
      <c r="M75" s="39"/>
      <c r="N75" s="39">
        <v>1</v>
      </c>
      <c r="O75" s="39"/>
      <c r="Q75" s="13">
        <f t="shared" si="5"/>
        <v>1</v>
      </c>
    </row>
    <row r="76" spans="9:17" x14ac:dyDescent="0.45">
      <c r="I76" s="15"/>
      <c r="J76" s="181">
        <f>'Recap UO'!A69</f>
        <v>0</v>
      </c>
      <c r="K76" s="38"/>
      <c r="L76" s="39"/>
      <c r="M76" s="39"/>
      <c r="N76" s="39">
        <v>1</v>
      </c>
      <c r="O76" s="39"/>
      <c r="Q76" s="13">
        <f t="shared" si="5"/>
        <v>1</v>
      </c>
    </row>
    <row r="77" spans="9:17" x14ac:dyDescent="0.45">
      <c r="I77" s="15"/>
      <c r="J77" s="181">
        <f>'Recap UO'!A70</f>
        <v>0</v>
      </c>
      <c r="K77" s="38"/>
      <c r="L77" s="39"/>
      <c r="M77" s="39"/>
      <c r="N77" s="39">
        <v>1</v>
      </c>
      <c r="O77" s="39"/>
      <c r="Q77" s="13">
        <f t="shared" si="5"/>
        <v>1</v>
      </c>
    </row>
    <row r="78" spans="9:17" x14ac:dyDescent="0.45">
      <c r="I78" s="15"/>
      <c r="J78" s="181">
        <f>'Recap UO'!A71</f>
        <v>0</v>
      </c>
      <c r="K78" s="38"/>
      <c r="L78" s="39"/>
      <c r="M78" s="39"/>
      <c r="N78" s="39">
        <v>1</v>
      </c>
      <c r="O78" s="39"/>
      <c r="Q78" s="13">
        <f t="shared" si="5"/>
        <v>1</v>
      </c>
    </row>
    <row r="79" spans="9:17" x14ac:dyDescent="0.45">
      <c r="I79" s="15"/>
      <c r="J79" s="181">
        <f>'Recap UO'!A72</f>
        <v>0</v>
      </c>
      <c r="K79" s="38"/>
      <c r="L79" s="39"/>
      <c r="M79" s="39"/>
      <c r="N79" s="39">
        <v>1</v>
      </c>
      <c r="O79" s="39"/>
      <c r="Q79" s="13">
        <f t="shared" si="5"/>
        <v>1</v>
      </c>
    </row>
    <row r="80" spans="9:17" x14ac:dyDescent="0.45">
      <c r="I80" s="15"/>
      <c r="J80" s="181">
        <f>'Recap UO'!A73</f>
        <v>0</v>
      </c>
      <c r="K80" s="38"/>
      <c r="L80" s="39"/>
      <c r="M80" s="39"/>
      <c r="N80" s="39">
        <v>1</v>
      </c>
      <c r="O80" s="39"/>
      <c r="Q80" s="13">
        <f t="shared" si="5"/>
        <v>1</v>
      </c>
    </row>
    <row r="81" spans="9:17" x14ac:dyDescent="0.45">
      <c r="I81" s="15"/>
      <c r="J81" s="181">
        <f>'Recap UO'!A74</f>
        <v>0</v>
      </c>
      <c r="K81" s="38"/>
      <c r="L81" s="39"/>
      <c r="M81" s="39"/>
      <c r="N81" s="39">
        <v>1</v>
      </c>
      <c r="O81" s="39"/>
      <c r="Q81" s="13">
        <f t="shared" si="5"/>
        <v>1</v>
      </c>
    </row>
    <row r="82" spans="9:17" x14ac:dyDescent="0.45">
      <c r="I82" s="15"/>
      <c r="J82" s="181">
        <f>'Recap UO'!A75</f>
        <v>0</v>
      </c>
      <c r="K82" s="38"/>
      <c r="L82" s="39"/>
      <c r="M82" s="39"/>
      <c r="N82" s="39">
        <v>1</v>
      </c>
      <c r="O82" s="39"/>
      <c r="Q82" s="13">
        <f t="shared" si="5"/>
        <v>1</v>
      </c>
    </row>
    <row r="83" spans="9:17" x14ac:dyDescent="0.45">
      <c r="I83" s="15"/>
      <c r="J83" s="181">
        <f>'Recap UO'!A76</f>
        <v>0</v>
      </c>
      <c r="K83" s="38"/>
      <c r="L83" s="39"/>
      <c r="M83" s="39"/>
      <c r="N83" s="39">
        <v>1</v>
      </c>
      <c r="O83" s="39"/>
      <c r="Q83" s="13">
        <f t="shared" si="5"/>
        <v>1</v>
      </c>
    </row>
    <row r="84" spans="9:17" x14ac:dyDescent="0.45">
      <c r="I84" s="15"/>
      <c r="J84" s="181">
        <f>'Recap UO'!A77</f>
        <v>0</v>
      </c>
      <c r="K84" s="38"/>
      <c r="L84" s="39"/>
      <c r="M84" s="39"/>
      <c r="N84" s="39">
        <v>1</v>
      </c>
      <c r="O84" s="39"/>
      <c r="Q84" s="13">
        <f t="shared" si="5"/>
        <v>1</v>
      </c>
    </row>
    <row r="85" spans="9:17" x14ac:dyDescent="0.45">
      <c r="I85" s="15"/>
      <c r="J85" s="181">
        <f>'Recap UO'!A78</f>
        <v>0</v>
      </c>
      <c r="K85" s="38"/>
      <c r="L85" s="39"/>
      <c r="M85" s="39"/>
      <c r="N85" s="39">
        <v>1</v>
      </c>
      <c r="O85" s="39"/>
      <c r="Q85" s="13">
        <f t="shared" si="5"/>
        <v>1</v>
      </c>
    </row>
    <row r="86" spans="9:17" x14ac:dyDescent="0.45">
      <c r="I86" s="15"/>
      <c r="J86" s="181">
        <f>'Recap UO'!A79</f>
        <v>0</v>
      </c>
      <c r="K86" s="38"/>
      <c r="L86" s="39"/>
      <c r="M86" s="39"/>
      <c r="N86" s="39">
        <v>1</v>
      </c>
      <c r="O86" s="39"/>
      <c r="Q86" s="13">
        <f t="shared" si="5"/>
        <v>1</v>
      </c>
    </row>
    <row r="87" spans="9:17" x14ac:dyDescent="0.45">
      <c r="I87" s="15"/>
      <c r="J87" s="181">
        <f>'Recap UO'!A80</f>
        <v>0</v>
      </c>
      <c r="K87" s="38"/>
      <c r="L87" s="39"/>
      <c r="M87" s="39"/>
      <c r="N87" s="39">
        <v>1</v>
      </c>
      <c r="O87" s="39"/>
      <c r="Q87" s="13">
        <f t="shared" si="5"/>
        <v>1</v>
      </c>
    </row>
    <row r="88" spans="9:17" x14ac:dyDescent="0.45">
      <c r="I88" s="15"/>
      <c r="J88" s="181">
        <f>'Recap UO'!A81</f>
        <v>0</v>
      </c>
      <c r="K88" s="38"/>
      <c r="L88" s="39"/>
      <c r="M88" s="39"/>
      <c r="N88" s="39">
        <v>1</v>
      </c>
      <c r="O88" s="39"/>
      <c r="Q88" s="13">
        <f t="shared" si="5"/>
        <v>1</v>
      </c>
    </row>
    <row r="89" spans="9:17" x14ac:dyDescent="0.45">
      <c r="I89" s="15" t="s">
        <v>37</v>
      </c>
      <c r="J89" s="15"/>
      <c r="K89" s="48"/>
      <c r="L89" s="39"/>
      <c r="M89" s="22"/>
      <c r="N89" s="39">
        <v>1</v>
      </c>
      <c r="O89" s="39"/>
      <c r="Q89" s="13">
        <f t="shared" si="0"/>
        <v>1</v>
      </c>
    </row>
    <row r="90" spans="9:17" x14ac:dyDescent="0.45">
      <c r="I90" s="15" t="s">
        <v>38</v>
      </c>
      <c r="J90" s="15"/>
      <c r="K90" s="48"/>
      <c r="L90" s="39"/>
      <c r="M90" s="22"/>
      <c r="N90" s="39">
        <v>1</v>
      </c>
      <c r="O90" s="39"/>
      <c r="Q90" s="13">
        <f t="shared" si="0"/>
        <v>1</v>
      </c>
    </row>
    <row r="91" spans="9:17" ht="16.5" thickBot="1" x14ac:dyDescent="0.5">
      <c r="I91" s="15" t="s">
        <v>39</v>
      </c>
      <c r="J91" s="15"/>
      <c r="K91" s="38"/>
      <c r="L91" s="39"/>
      <c r="M91" s="39"/>
      <c r="N91" s="39">
        <v>1</v>
      </c>
      <c r="O91" s="39"/>
      <c r="Q91" s="13">
        <f t="shared" si="0"/>
        <v>1</v>
      </c>
    </row>
    <row r="92" spans="9:17" ht="16.5" thickBot="1" x14ac:dyDescent="0.5">
      <c r="I92" s="15" t="s">
        <v>42</v>
      </c>
      <c r="J92" s="35" t="s">
        <v>43</v>
      </c>
      <c r="K92" s="48"/>
      <c r="L92" s="22"/>
      <c r="M92" s="22"/>
      <c r="N92" s="39">
        <v>1</v>
      </c>
      <c r="O92" s="39"/>
      <c r="Q92" s="13">
        <f t="shared" si="0"/>
        <v>1</v>
      </c>
    </row>
    <row r="93" spans="9:17" x14ac:dyDescent="0.45">
      <c r="I93" s="41" t="s">
        <v>60</v>
      </c>
      <c r="J93" s="41"/>
      <c r="K93" s="45"/>
      <c r="L93" s="47"/>
      <c r="M93" s="46"/>
      <c r="N93" s="47"/>
      <c r="O93" s="47"/>
      <c r="P93" s="41"/>
      <c r="Q93" s="13">
        <f t="shared" si="0"/>
        <v>0</v>
      </c>
    </row>
    <row r="94" spans="9:17" ht="16.5" thickBot="1" x14ac:dyDescent="0.5">
      <c r="I94" s="41"/>
      <c r="J94" s="41" t="s">
        <v>59</v>
      </c>
      <c r="K94" s="51">
        <v>0.15</v>
      </c>
      <c r="L94" s="49"/>
      <c r="M94" s="50"/>
      <c r="N94" s="49">
        <v>0.85</v>
      </c>
      <c r="O94" s="49"/>
      <c r="P94" s="41"/>
      <c r="Q94" s="13">
        <f t="shared" si="0"/>
        <v>1</v>
      </c>
    </row>
  </sheetData>
  <conditionalFormatting sqref="Q7:Q94">
    <cfRule type="cellIs" dxfId="0" priority="1" operator="equal">
      <formula>1</formula>
    </cfRule>
  </conditionalFormatting>
  <pageMargins left="0.7" right="0.7" top="0.75" bottom="0.75" header="0.3" footer="0.3"/>
  <pageSetup paperSize="9" orientation="portrait" horizontalDpi="4294967293" verticalDpi="0"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tabSelected="1" zoomScale="85" zoomScaleNormal="85" workbookViewId="0">
      <pane xSplit="3" topLeftCell="D1" activePane="topRight" state="frozen"/>
      <selection pane="topRight" activeCell="F26" sqref="F26"/>
    </sheetView>
  </sheetViews>
  <sheetFormatPr baseColWidth="10" defaultColWidth="11.453125" defaultRowHeight="16" x14ac:dyDescent="0.45"/>
  <cols>
    <col min="1" max="1" width="8.81640625" style="1" customWidth="1"/>
    <col min="2" max="2" width="91.1796875" style="1" bestFit="1" customWidth="1"/>
    <col min="3" max="3" width="26.1796875" style="1" customWidth="1"/>
    <col min="4" max="4" width="12.81640625" style="1" customWidth="1"/>
    <col min="5" max="5" width="10.1796875" style="1" customWidth="1"/>
    <col min="6" max="6" width="8.81640625" style="1" customWidth="1"/>
    <col min="7" max="7" width="22.1796875" style="1" customWidth="1"/>
    <col min="8" max="9" width="19.1796875" style="1" customWidth="1"/>
    <col min="10" max="10" width="18.54296875" style="1" customWidth="1"/>
    <col min="11" max="11" width="11.453125" style="1"/>
    <col min="12" max="12" width="18.453125" style="1" customWidth="1"/>
    <col min="13" max="13" width="19.36328125" style="1" customWidth="1"/>
    <col min="14" max="14" width="13.7265625" style="233" customWidth="1"/>
    <col min="15" max="15" width="25.26953125" style="1" bestFit="1" customWidth="1"/>
    <col min="16" max="16" width="13.26953125" style="1" bestFit="1" customWidth="1"/>
    <col min="17" max="16384" width="11.453125" style="1"/>
  </cols>
  <sheetData>
    <row r="1" spans="1:17" ht="22" x14ac:dyDescent="0.55000000000000004">
      <c r="A1" s="2"/>
    </row>
    <row r="4" spans="1:17" x14ac:dyDescent="0.45">
      <c r="A4" s="155"/>
      <c r="B4" s="156"/>
      <c r="C4" s="157" t="s">
        <v>52</v>
      </c>
      <c r="D4" s="237" t="s">
        <v>53</v>
      </c>
      <c r="E4" s="238"/>
      <c r="F4" s="238"/>
      <c r="G4" s="238"/>
      <c r="H4" s="239"/>
      <c r="I4" s="235" t="s">
        <v>328</v>
      </c>
      <c r="J4" s="179" t="s">
        <v>54</v>
      </c>
    </row>
    <row r="5" spans="1:17" x14ac:dyDescent="0.45">
      <c r="A5" s="158"/>
      <c r="B5" s="159"/>
      <c r="C5" s="160" t="s">
        <v>55</v>
      </c>
      <c r="D5" s="161" t="str">
        <f>INDEX(TJM[Profil],COLUMN()-COLUMN($D$5)+1)</f>
        <v>Chef de projet</v>
      </c>
      <c r="E5" s="161" t="str">
        <f>INDEX(TJM[Profil],COLUMN()-COLUMN($D$5)+1)</f>
        <v>Concepteur</v>
      </c>
      <c r="F5" s="161" t="str">
        <f>INDEX(TJM[Profil],COLUMN()-COLUMN($D$5)+1)</f>
        <v>Architecte</v>
      </c>
      <c r="G5" s="161" t="str">
        <f>INDEX(TJM[Profil],COLUMN()-COLUMN($D$5)+1)</f>
        <v>Développeur</v>
      </c>
      <c r="H5" s="162" t="str">
        <f>INDEX(TJM[Profil],COLUMN()-COLUMN($D$5)+1)</f>
        <v>Graphiste</v>
      </c>
      <c r="I5" s="162"/>
      <c r="J5" s="177"/>
    </row>
    <row r="6" spans="1:17" ht="16.5" thickBot="1" x14ac:dyDescent="0.5">
      <c r="A6" s="158"/>
      <c r="B6" s="159"/>
      <c r="C6" s="163"/>
      <c r="D6" s="174">
        <f>INDEX(TJM[TJM],COLUMN()-COLUMN($D$5)+1)</f>
        <v>750</v>
      </c>
      <c r="E6" s="175">
        <f>INDEX(TJM[TJM],COLUMN()-COLUMN($D$5)+1)</f>
        <v>650</v>
      </c>
      <c r="F6" s="175">
        <f>INDEX(TJM[TJM],COLUMN()-COLUMN($D$5)+1)</f>
        <v>650</v>
      </c>
      <c r="G6" s="175">
        <f>INDEX(TJM[TJM],COLUMN()-COLUMN($D$5)+1)</f>
        <v>500</v>
      </c>
      <c r="H6" s="176">
        <f>INDEX(TJM[TJM],COLUMN()-COLUMN($D$5)+1)</f>
        <v>490</v>
      </c>
      <c r="I6" s="176"/>
      <c r="J6" s="178"/>
      <c r="O6" s="232">
        <f>M6*N6</f>
        <v>0</v>
      </c>
    </row>
    <row r="7" spans="1:17" ht="16.5" thickBot="1" x14ac:dyDescent="0.5">
      <c r="A7" s="148" t="str">
        <f>IF(NOT(ISBLANK(Répartition[[#This Row],[Phase]])),Répartition[[#This Row],[Phase]],"")</f>
        <v>Pilotage</v>
      </c>
      <c r="B7" s="149" t="str">
        <f>IF(NOT(ISBLANK(Répartition[[#This Row],[Sous-phase]])),Répartition[[#This Row],[Sous-phase]],"")</f>
        <v/>
      </c>
      <c r="C7" s="153">
        <f>ROUNDUP(ExtrapolationPTU[[#This Row],[%]]*(PTU+C8+C15+C16),0)</f>
        <v>2</v>
      </c>
      <c r="D7" s="150">
        <f>Répartition[[#This Row],[Chef de projet]]*$C7</f>
        <v>2</v>
      </c>
      <c r="E7" s="151">
        <f>Répartition[[#This Row],[Concepteur]]*$C7</f>
        <v>0</v>
      </c>
      <c r="F7" s="151">
        <f>Répartition[[#This Row],[Architecte]]*$C7</f>
        <v>0</v>
      </c>
      <c r="G7" s="151">
        <f>Répartition[[#This Row],[Développeur]]*$C7</f>
        <v>0</v>
      </c>
      <c r="H7" s="152"/>
      <c r="I7" s="151"/>
      <c r="J7" s="139">
        <f>SUMPRODUCT(D7:G7,D$6:G$6)</f>
        <v>1500</v>
      </c>
      <c r="L7" s="59"/>
      <c r="O7" s="232">
        <f>M7*N7</f>
        <v>0</v>
      </c>
    </row>
    <row r="8" spans="1:17" ht="15.75" customHeight="1" thickBot="1" x14ac:dyDescent="0.5">
      <c r="A8" s="255" t="str">
        <f>IF(NOT(ISBLANK(Répartition[[#This Row],[Phase]])),Répartition[[#This Row],[Phase]],"")</f>
        <v>Analyse/Conception</v>
      </c>
      <c r="B8" s="256"/>
      <c r="C8" s="153">
        <f t="shared" ref="C8:H8" si="0">SUM(C9:C10)</f>
        <v>1</v>
      </c>
      <c r="D8" s="154">
        <f t="shared" si="0"/>
        <v>0</v>
      </c>
      <c r="E8" s="154">
        <f t="shared" si="0"/>
        <v>0</v>
      </c>
      <c r="F8" s="154">
        <f t="shared" si="0"/>
        <v>1</v>
      </c>
      <c r="G8" s="154">
        <f t="shared" si="0"/>
        <v>0</v>
      </c>
      <c r="H8" s="154">
        <f t="shared" si="0"/>
        <v>0</v>
      </c>
      <c r="I8" s="154"/>
      <c r="J8" s="140">
        <f>SUMPRODUCT(D8:H8,D$6:H$6)</f>
        <v>650</v>
      </c>
      <c r="O8" s="232"/>
    </row>
    <row r="9" spans="1:17" x14ac:dyDescent="0.45">
      <c r="A9" s="144" t="str">
        <f>IF(NOT(ISBLANK(Répartition[[#This Row],[Phase]])),Répartition[[#This Row],[Phase]],"")</f>
        <v/>
      </c>
      <c r="B9" s="115" t="str">
        <f>IF(NOT(ISBLANK(Répartition[[#This Row],[Sous-phase]])),Répartition[[#This Row],[Sous-phase]],"")</f>
        <v>Conception fonctionnelle</v>
      </c>
      <c r="C9" s="124">
        <f>ROUNDUP(ExtrapolationPTU[[#This Row],[%]]*PTU,0)</f>
        <v>0</v>
      </c>
      <c r="D9" s="116">
        <f>Répartition[[#This Row],[Chef de projet]]*$C9</f>
        <v>0</v>
      </c>
      <c r="E9" s="138">
        <f>Répartition[[#This Row],[Concepteur]]*$C9</f>
        <v>0</v>
      </c>
      <c r="F9" s="138">
        <f>MROUND(Répartition[[#This Row],[Architecte]]*$C9,0.5)</f>
        <v>0</v>
      </c>
      <c r="G9" s="138">
        <f>MROUND(Répartition[[#This Row],[Développeur]]*$C9,0.5)</f>
        <v>0</v>
      </c>
      <c r="H9" s="138">
        <f>Répartition[[#This Row],[Graphiste]]*$C9</f>
        <v>0</v>
      </c>
      <c r="I9" s="138"/>
      <c r="J9" s="141">
        <f>SUMPRODUCT(D9:H9,D$6:H$6)</f>
        <v>0</v>
      </c>
      <c r="L9" s="59"/>
      <c r="O9" s="232"/>
    </row>
    <row r="10" spans="1:17" ht="16.5" thickBot="1" x14ac:dyDescent="0.5">
      <c r="A10" s="144" t="str">
        <f>IF(NOT(ISBLANK(Répartition[[#This Row],[Phase]])),Répartition[[#This Row],[Phase]],"")</f>
        <v/>
      </c>
      <c r="B10" s="115" t="str">
        <f>IF(NOT(ISBLANK(Répartition[[#This Row],[Sous-phase]])),Répartition[[#This Row],[Sous-phase]],"")</f>
        <v>Conception technique</v>
      </c>
      <c r="C10" s="124">
        <v>1</v>
      </c>
      <c r="D10" s="116">
        <f>Répartition[[#This Row],[Chef de projet]]*$C10</f>
        <v>0</v>
      </c>
      <c r="E10" s="138">
        <f>Répartition[[#This Row],[Concepteur]]*$C10</f>
        <v>0</v>
      </c>
      <c r="F10" s="138">
        <f>MROUND(Répartition[[#This Row],[Architecte]]*$C10,0.5)</f>
        <v>1</v>
      </c>
      <c r="G10" s="138">
        <f>MROUND(Répartition[[#This Row],[Développeur]]*$C10,0.5)</f>
        <v>0</v>
      </c>
      <c r="H10" s="138">
        <f>Répartition[[#This Row],[Graphiste]]*$C10</f>
        <v>0</v>
      </c>
      <c r="I10" s="138"/>
      <c r="J10" s="141">
        <f t="shared" ref="J10" si="1">SUMPRODUCT(D10:H10,D$6:H$6)</f>
        <v>650</v>
      </c>
      <c r="L10" s="59"/>
      <c r="O10" s="232"/>
    </row>
    <row r="11" spans="1:17" ht="16.5" thickBot="1" x14ac:dyDescent="0.5">
      <c r="A11" s="255" t="s">
        <v>50</v>
      </c>
      <c r="B11" s="256"/>
      <c r="C11" s="153">
        <f>SUM(C12:C14)</f>
        <v>12</v>
      </c>
      <c r="D11" s="154">
        <f>SUM(D12:D14)</f>
        <v>0</v>
      </c>
      <c r="E11" s="154">
        <f>SUM(E12:E14)</f>
        <v>0</v>
      </c>
      <c r="F11" s="154">
        <f>SUM(F12:F14)</f>
        <v>0</v>
      </c>
      <c r="G11" s="154">
        <f>SUM(G12:G14)</f>
        <v>12</v>
      </c>
      <c r="H11" s="154">
        <f>SUM(H12:H14)</f>
        <v>0</v>
      </c>
      <c r="I11" s="154"/>
      <c r="J11" s="140">
        <f>SUMPRODUCT(D11:H11,D$6:H$6)</f>
        <v>6000</v>
      </c>
      <c r="L11" s="227"/>
      <c r="N11" s="192"/>
      <c r="O11" s="232">
        <f>C11*N11</f>
        <v>0</v>
      </c>
      <c r="P11" s="192"/>
      <c r="Q11" s="192"/>
    </row>
    <row r="12" spans="1:17" ht="13.5" customHeight="1" x14ac:dyDescent="0.45">
      <c r="A12" s="144"/>
      <c r="B12" s="172" t="str">
        <f>'Recap UO'!A5</f>
        <v>Génération des clients WS LDT04 et LDT05, création des delegates, bean / mapping / populate : Traitement Java Moyen</v>
      </c>
      <c r="C12" s="125">
        <f>'Recap UO'!D5</f>
        <v>3</v>
      </c>
      <c r="D12" s="116">
        <f>Répartition[[#This Row],[Chef de projet]]*$C12</f>
        <v>0</v>
      </c>
      <c r="E12" s="138">
        <f>MROUND(Paramétrage!L14*$C12,0.5)</f>
        <v>0</v>
      </c>
      <c r="F12" s="138">
        <f>MROUND(Paramétrage!M14*$C12,0.5)</f>
        <v>0</v>
      </c>
      <c r="G12" s="138">
        <f>MROUND(Paramétrage!N14*$C12,0.5)</f>
        <v>3</v>
      </c>
      <c r="H12" s="145">
        <f>MROUND(Paramétrage!O14*$C12,0.5)</f>
        <v>0</v>
      </c>
      <c r="I12" s="138"/>
      <c r="J12" s="141">
        <f>SUMPRODUCT(D12:H12,D$6:H$6)</f>
        <v>1500</v>
      </c>
      <c r="N12" s="193"/>
      <c r="O12" s="232"/>
      <c r="P12" s="194"/>
      <c r="Q12" s="194"/>
    </row>
    <row r="13" spans="1:17" ht="14.15" customHeight="1" x14ac:dyDescent="0.45">
      <c r="A13" s="144"/>
      <c r="B13" s="172" t="str">
        <f>'Recap UO'!A6</f>
        <v xml:space="preserve">Consultation Document (Front + Action Consommation et mapping LDT04.lireDocument()) </v>
      </c>
      <c r="C13" s="125">
        <f>'Recap UO'!D6</f>
        <v>2</v>
      </c>
      <c r="D13" s="116">
        <f>Répartition[[#This Row],[Chef de projet]]*$C13</f>
        <v>0</v>
      </c>
      <c r="E13" s="138">
        <f>MROUND(Paramétrage!L15*$C13,0.5)</f>
        <v>0</v>
      </c>
      <c r="F13" s="138">
        <f>MROUND(Paramétrage!M15*$C13,0.5)</f>
        <v>0</v>
      </c>
      <c r="G13" s="138">
        <f>MROUND(Paramétrage!N15*$C13,0.5)</f>
        <v>2</v>
      </c>
      <c r="H13" s="145">
        <f>MROUND(Paramétrage!O15*$C13,0.5)</f>
        <v>0</v>
      </c>
      <c r="I13" s="138"/>
      <c r="J13" s="141">
        <f t="shared" ref="J13:J14" si="2">SUMPRODUCT(D13:H13,D$6:H$6)</f>
        <v>1000</v>
      </c>
      <c r="N13" s="193"/>
      <c r="O13" s="232"/>
      <c r="P13" s="194"/>
      <c r="Q13" s="194"/>
    </row>
    <row r="14" spans="1:17" ht="14.15" customHeight="1" x14ac:dyDescent="0.45">
      <c r="A14" s="144"/>
      <c r="B14" s="172" t="str">
        <f>'Recap UO'!A7</f>
        <v xml:space="preserve">Ecran DCLI083 Recherche de Document Clef </v>
      </c>
      <c r="C14" s="125">
        <f>'Recap UO'!D7</f>
        <v>7</v>
      </c>
      <c r="D14" s="116">
        <f>Répartition[[#This Row],[Chef de projet]]*$C14</f>
        <v>0</v>
      </c>
      <c r="E14" s="138">
        <f>MROUND(Paramétrage!L16*$C14,0.5)</f>
        <v>0</v>
      </c>
      <c r="F14" s="138">
        <f>MROUND(Paramétrage!M16*$C14,0.5)</f>
        <v>0</v>
      </c>
      <c r="G14" s="138">
        <f>MROUND(Paramétrage!N16*$C14,0.5)</f>
        <v>7</v>
      </c>
      <c r="H14" s="145">
        <f>MROUND(Paramétrage!O16*$C14,0.5)</f>
        <v>0</v>
      </c>
      <c r="I14" s="138"/>
      <c r="J14" s="141">
        <f t="shared" si="2"/>
        <v>3500</v>
      </c>
      <c r="N14" s="193"/>
      <c r="O14" s="232"/>
      <c r="P14" s="194"/>
      <c r="Q14" s="194"/>
    </row>
    <row r="15" spans="1:17" ht="16.5" thickBot="1" x14ac:dyDescent="0.5">
      <c r="A15" s="164" t="str">
        <f>Paramétrage!A14</f>
        <v>Qualification, packagings et livraisons</v>
      </c>
      <c r="B15" s="165"/>
      <c r="C15" s="166">
        <f>$C$11*Paramétrage!C14</f>
        <v>2.4000000000000004</v>
      </c>
      <c r="D15" s="167">
        <f>$C$15*Paramétrage!K89</f>
        <v>0</v>
      </c>
      <c r="E15" s="168">
        <f>MROUND($C$15*Paramétrage!L89,0.5)</f>
        <v>0</v>
      </c>
      <c r="F15" s="167">
        <f>$C$15*Paramétrage!M89</f>
        <v>0</v>
      </c>
      <c r="G15" s="168">
        <f>MROUND($C$15*Paramétrage!N89,0.5)</f>
        <v>2.5</v>
      </c>
      <c r="H15" s="169"/>
      <c r="I15" s="168"/>
      <c r="J15" s="142">
        <f>SUMPRODUCT(D15:G15,D$6:G$6)</f>
        <v>1250</v>
      </c>
      <c r="K15" s="134"/>
      <c r="L15" s="59"/>
      <c r="N15" s="234"/>
      <c r="O15" s="232"/>
      <c r="P15" s="52"/>
      <c r="Q15" s="52"/>
    </row>
    <row r="16" spans="1:17" ht="16.5" thickBot="1" x14ac:dyDescent="0.5">
      <c r="A16" s="164" t="str">
        <f>Paramétrage!A15</f>
        <v>Retours Recette</v>
      </c>
      <c r="B16" s="165"/>
      <c r="C16" s="166">
        <f>ROUNDUP($C$11*Paramétrage!C15,0)</f>
        <v>3</v>
      </c>
      <c r="D16" s="167">
        <f>$C$16*Paramétrage!K90</f>
        <v>0</v>
      </c>
      <c r="E16" s="168">
        <f>MROUND($C$16*Paramétrage!L90,0.5)</f>
        <v>0</v>
      </c>
      <c r="F16" s="167">
        <f>$C$16*Paramétrage!M90</f>
        <v>0</v>
      </c>
      <c r="G16" s="168">
        <f>MROUND($C$16*Paramétrage!N90,0.5)</f>
        <v>3</v>
      </c>
      <c r="H16" s="169"/>
      <c r="I16" s="168"/>
      <c r="J16" s="142">
        <f t="shared" ref="J16" si="3">SUMPRODUCT(D16:G16,D$6:G$6)</f>
        <v>1500</v>
      </c>
      <c r="L16" s="59"/>
      <c r="O16" s="232">
        <f>C15*N16</f>
        <v>0</v>
      </c>
    </row>
    <row r="17" spans="1:16" ht="17.5" x14ac:dyDescent="0.5">
      <c r="A17" s="146"/>
      <c r="B17" s="9"/>
      <c r="C17" s="126"/>
      <c r="D17" s="120"/>
      <c r="E17" s="120"/>
      <c r="F17" s="120"/>
      <c r="G17" s="120"/>
      <c r="H17" s="147"/>
      <c r="I17" s="120"/>
      <c r="J17" s="9"/>
      <c r="L17" s="173" t="s">
        <v>131</v>
      </c>
      <c r="M17" s="183">
        <f>G18/C18</f>
        <v>0.85784313725490202</v>
      </c>
      <c r="O17" s="232">
        <f>C16*N17</f>
        <v>0</v>
      </c>
    </row>
    <row r="18" spans="1:16" ht="18" thickBot="1" x14ac:dyDescent="0.55000000000000004">
      <c r="A18" s="257" t="s">
        <v>122</v>
      </c>
      <c r="B18" s="258"/>
      <c r="C18" s="170">
        <f>SUM(C7,C8,C11,C15,C16)</f>
        <v>20.399999999999999</v>
      </c>
      <c r="D18" s="171">
        <f>SUM(D7,D8,D11,D15,D16)</f>
        <v>2</v>
      </c>
      <c r="E18" s="171">
        <f>SUM(E7,E8,E11,E15,E16)</f>
        <v>0</v>
      </c>
      <c r="F18" s="171">
        <f>SUM(F7,F8,F11,F15,F16)</f>
        <v>1</v>
      </c>
      <c r="G18" s="171">
        <f>SUM(G7,G8,G11,G15,G16)</f>
        <v>17.5</v>
      </c>
      <c r="H18" s="171">
        <f>SUM(H7,H8,H11,H15,H16)</f>
        <v>0</v>
      </c>
      <c r="I18" s="236"/>
      <c r="J18" s="143">
        <f>J7+J8+J11+J15+J16</f>
        <v>10900</v>
      </c>
      <c r="L18" s="173" t="s">
        <v>135</v>
      </c>
      <c r="M18" s="195">
        <f>(C18)/C11</f>
        <v>1.7</v>
      </c>
      <c r="O18" s="232"/>
    </row>
    <row r="19" spans="1:16" ht="18" thickTop="1" x14ac:dyDescent="0.5">
      <c r="A19" s="100"/>
      <c r="B19" s="115"/>
      <c r="C19" s="131"/>
      <c r="D19" s="116"/>
      <c r="E19" s="116"/>
      <c r="F19" s="116"/>
      <c r="G19" s="116"/>
      <c r="H19" s="116"/>
      <c r="I19" s="116"/>
      <c r="J19" s="18"/>
      <c r="K19" s="134"/>
      <c r="L19" s="173" t="s">
        <v>128</v>
      </c>
      <c r="M19" s="182">
        <f>J18/C18</f>
        <v>534.31372549019613</v>
      </c>
      <c r="O19" s="232"/>
    </row>
    <row r="20" spans="1:16" ht="18" thickBot="1" x14ac:dyDescent="0.55000000000000004">
      <c r="A20" s="263" t="str">
        <f>'Analyse fonctionnelle'!A9</f>
        <v>Option 1 : Modification des écrans DCLI005,DCLI105,DCLI006,DCLI106,DCLI007 et DCLI107</v>
      </c>
      <c r="B20" s="264"/>
      <c r="C20" s="127">
        <f>'Analyse fonctionnelle'!K9*M18</f>
        <v>6.8</v>
      </c>
      <c r="D20" s="119"/>
      <c r="E20" s="16"/>
      <c r="F20" s="16"/>
      <c r="G20" s="16"/>
      <c r="H20" s="16"/>
      <c r="I20" s="16"/>
      <c r="J20" s="143">
        <f>C20*M19</f>
        <v>3633.3333333333335</v>
      </c>
      <c r="O20" s="232"/>
    </row>
    <row r="21" spans="1:16" ht="18.5" thickTop="1" thickBot="1" x14ac:dyDescent="0.55000000000000004">
      <c r="A21" s="263" t="str">
        <f>'Analyse fonctionnelle'!A10</f>
        <v xml:space="preserve">Option 2:  Gestion du cache / optimisation de performances –  via une mise en cache de session </v>
      </c>
      <c r="B21" s="264"/>
      <c r="C21" s="127">
        <f>'Analyse fonctionnelle'!K10*M18</f>
        <v>1.7</v>
      </c>
      <c r="D21" s="119"/>
      <c r="E21" s="16"/>
      <c r="F21" s="16"/>
      <c r="G21" s="16"/>
      <c r="H21" s="16"/>
      <c r="I21" s="16"/>
      <c r="J21" s="143">
        <f>C21*M19</f>
        <v>908.33333333333337</v>
      </c>
      <c r="L21" s="134"/>
      <c r="P21" s="204"/>
    </row>
    <row r="22" spans="1:16" ht="18" thickTop="1" x14ac:dyDescent="0.5">
      <c r="A22" s="23"/>
      <c r="B22" s="4"/>
      <c r="C22" s="128"/>
      <c r="D22" s="21"/>
      <c r="E22" s="21"/>
      <c r="F22" s="21"/>
      <c r="G22" s="21"/>
      <c r="H22" s="21"/>
      <c r="I22" s="21"/>
      <c r="J22" s="18"/>
      <c r="P22" s="204"/>
    </row>
    <row r="23" spans="1:16" ht="17.5" thickBot="1" x14ac:dyDescent="0.5">
      <c r="A23" s="20"/>
      <c r="B23" s="262" t="s">
        <v>335</v>
      </c>
      <c r="C23" s="228">
        <f>C18+C20+C21</f>
        <v>28.9</v>
      </c>
      <c r="D23" s="229"/>
      <c r="E23" s="229"/>
      <c r="F23" s="229"/>
      <c r="G23" s="229"/>
      <c r="H23" s="229"/>
      <c r="I23" s="229"/>
      <c r="J23" s="230">
        <f>J18+Remise+J21</f>
        <v>15441.666666666668</v>
      </c>
      <c r="O23" s="231"/>
      <c r="P23" s="204"/>
    </row>
    <row r="24" spans="1:16" ht="16.5" thickTop="1" x14ac:dyDescent="0.45">
      <c r="C24" s="129"/>
      <c r="D24" s="9"/>
      <c r="J24" s="19"/>
      <c r="P24" s="204"/>
    </row>
    <row r="25" spans="1:16" x14ac:dyDescent="0.45">
      <c r="A25" s="24" t="s">
        <v>58</v>
      </c>
      <c r="B25" s="24"/>
      <c r="C25" s="130"/>
      <c r="D25" s="121"/>
      <c r="E25" s="24"/>
      <c r="F25" s="24"/>
      <c r="G25" s="24"/>
      <c r="H25" s="24"/>
      <c r="I25" s="24"/>
      <c r="J25" s="25"/>
      <c r="P25" s="204"/>
    </row>
    <row r="26" spans="1:16" x14ac:dyDescent="0.45">
      <c r="A26" s="40"/>
      <c r="B26" s="4"/>
      <c r="C26" s="131"/>
      <c r="D26" s="122"/>
      <c r="E26" s="17"/>
      <c r="F26" s="17"/>
      <c r="G26" s="17"/>
      <c r="H26" s="17"/>
      <c r="I26" s="17"/>
      <c r="J26" s="18"/>
      <c r="L26" s="134"/>
      <c r="O26" s="232">
        <f>SUM(O6:O17)</f>
        <v>0</v>
      </c>
      <c r="P26" s="204"/>
    </row>
    <row r="27" spans="1:16" x14ac:dyDescent="0.45">
      <c r="A27" s="26"/>
      <c r="B27" s="4"/>
      <c r="C27" s="132"/>
      <c r="D27" s="123"/>
      <c r="E27" s="27"/>
      <c r="F27" s="27"/>
      <c r="G27" s="27"/>
      <c r="H27" s="27"/>
      <c r="I27" s="27"/>
      <c r="J27" s="18"/>
      <c r="P27" s="204"/>
    </row>
    <row r="28" spans="1:16" ht="18" thickBot="1" x14ac:dyDescent="0.55000000000000004">
      <c r="A28" s="28"/>
      <c r="B28" s="29"/>
      <c r="C28" s="133"/>
      <c r="D28" s="30"/>
      <c r="E28" s="30"/>
      <c r="F28" s="30"/>
      <c r="G28" s="30"/>
      <c r="H28" s="30"/>
      <c r="I28" s="30"/>
      <c r="J28" s="31"/>
      <c r="O28" s="232">
        <f>L26-O26</f>
        <v>0</v>
      </c>
    </row>
    <row r="31" spans="1:16" x14ac:dyDescent="0.45">
      <c r="O31" s="232">
        <f>O28/5</f>
        <v>0</v>
      </c>
    </row>
  </sheetData>
  <mergeCells count="5">
    <mergeCell ref="A21:B21"/>
    <mergeCell ref="A8:B8"/>
    <mergeCell ref="A11:B11"/>
    <mergeCell ref="A18:B18"/>
    <mergeCell ref="A20:B20"/>
  </mergeCell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1"/>
  <sheetViews>
    <sheetView workbookViewId="0">
      <selection activeCell="H20" sqref="H20"/>
    </sheetView>
  </sheetViews>
  <sheetFormatPr baseColWidth="10" defaultColWidth="11.453125" defaultRowHeight="16" x14ac:dyDescent="0.45"/>
  <cols>
    <col min="1" max="1" width="15.7265625" style="1" customWidth="1"/>
    <col min="2" max="2" width="14" style="1" customWidth="1"/>
    <col min="3" max="3" width="14.81640625" style="1" customWidth="1"/>
    <col min="4" max="4" width="18.7265625" style="1" bestFit="1" customWidth="1"/>
    <col min="5" max="5" width="12.26953125" style="1" customWidth="1"/>
    <col min="6" max="8" width="11.453125" style="1"/>
    <col min="9" max="9" width="13.81640625" style="1" customWidth="1"/>
    <col min="10" max="10" width="11.453125" style="1"/>
    <col min="11" max="11" width="12.81640625" style="1" customWidth="1"/>
    <col min="12" max="12" width="14.54296875" style="1" bestFit="1" customWidth="1"/>
    <col min="13" max="16384" width="11.453125" style="1"/>
  </cols>
  <sheetData>
    <row r="1" spans="1:13" ht="22" x14ac:dyDescent="0.55000000000000004">
      <c r="A1" s="2" t="s">
        <v>19</v>
      </c>
    </row>
    <row r="4" spans="1:13" ht="19.5" x14ac:dyDescent="0.5">
      <c r="A4" s="12" t="s">
        <v>63</v>
      </c>
    </row>
    <row r="6" spans="1:13" ht="28" thickBot="1" x14ac:dyDescent="0.5">
      <c r="A6" s="3" t="s">
        <v>24</v>
      </c>
      <c r="B6" s="3" t="s">
        <v>1</v>
      </c>
      <c r="C6" s="11" t="s">
        <v>73</v>
      </c>
      <c r="D6" s="11" t="s">
        <v>74</v>
      </c>
      <c r="E6" s="11" t="s">
        <v>76</v>
      </c>
      <c r="F6" s="11" t="s">
        <v>65</v>
      </c>
      <c r="G6" s="11" t="s">
        <v>66</v>
      </c>
      <c r="H6" s="11" t="s">
        <v>75</v>
      </c>
      <c r="I6" s="11" t="s">
        <v>67</v>
      </c>
      <c r="J6" s="11" t="s">
        <v>80</v>
      </c>
      <c r="K6" s="11" t="s">
        <v>68</v>
      </c>
      <c r="L6" s="11" t="s">
        <v>69</v>
      </c>
      <c r="M6" s="11" t="s">
        <v>77</v>
      </c>
    </row>
    <row r="7" spans="1:13" x14ac:dyDescent="0.45">
      <c r="A7" s="67" t="s">
        <v>30</v>
      </c>
      <c r="B7" s="68" t="s">
        <v>81</v>
      </c>
      <c r="C7" s="68">
        <v>60000</v>
      </c>
      <c r="D7" s="74">
        <f>CEP_Axones[[#This Row],[Salaire annuel Brut]]*1.7/215</f>
        <v>474.41860465116281</v>
      </c>
      <c r="E7" s="70">
        <v>1</v>
      </c>
      <c r="F7" s="135">
        <f>'Charges &amp; coûts'!$D$18</f>
        <v>2</v>
      </c>
      <c r="G7" s="60">
        <f>CEP_Axones[[#This Row],[Prix de revient jour]]*(1+Marge_Cible)/CEP_Axones[[#This Row],[Coefficient efficacité]]</f>
        <v>640.46511627906989</v>
      </c>
      <c r="H7" s="83">
        <f>TJM[[#This Row],[TJM]]</f>
        <v>750</v>
      </c>
      <c r="I7" s="54">
        <f>CEP_Axones[[#This Row],[Nb jours vendus]]*CEP_Axones[[#This Row],[Prix vente effectif]]</f>
        <v>1500</v>
      </c>
      <c r="J7" s="53">
        <f>CEP_Axones[[#This Row],[Nb jours vendus]]/CEP_Axones[[#This Row],[Coefficient efficacité]]</f>
        <v>2</v>
      </c>
      <c r="K7" s="54">
        <f>CEP_Axones[[#This Row],[Prix de revient jour]]*CEP_Axones[[#This Row],[Nb jours à produire]]</f>
        <v>948.83720930232562</v>
      </c>
      <c r="L7" s="54">
        <f>CEP_Axones[[#This Row],[CA]]-CEP_Axones[[#This Row],[Prix revient]]</f>
        <v>551.16279069767438</v>
      </c>
      <c r="M7" s="55">
        <f>IF(CEP_Axones[[#This Row],[CA]]&gt;0,CEP_Axones[[#This Row],[Marge brute]]/CEP_Axones[[#This Row],[CA]],"")</f>
        <v>0.36744186046511623</v>
      </c>
    </row>
    <row r="8" spans="1:13" x14ac:dyDescent="0.45">
      <c r="A8" s="72" t="s">
        <v>32</v>
      </c>
      <c r="B8" s="73" t="s">
        <v>81</v>
      </c>
      <c r="C8" s="73">
        <v>60000</v>
      </c>
      <c r="D8" s="74">
        <f>CEP_Axones[[#This Row],[Salaire annuel Brut]]*1.7/215</f>
        <v>474.41860465116281</v>
      </c>
      <c r="E8" s="75">
        <v>1</v>
      </c>
      <c r="F8" s="76">
        <f>'Charges &amp; coûts'!$F$18</f>
        <v>1</v>
      </c>
      <c r="G8" s="60">
        <f>CEP_Axones[[#This Row],[Prix de revient jour]]*(1+Marge_Cible)/CEP_Axones[[#This Row],[Coefficient efficacité]]</f>
        <v>640.46511627906989</v>
      </c>
      <c r="H8" s="84">
        <f>Paramétrage!G9</f>
        <v>650</v>
      </c>
      <c r="I8" s="54">
        <f>CEP_Axones[[#This Row],[Nb jours vendus]]*CEP_Axones[[#This Row],[Prix vente effectif]]</f>
        <v>650</v>
      </c>
      <c r="J8" s="53">
        <f>CEP_Axones[[#This Row],[Nb jours vendus]]/CEP_Axones[[#This Row],[Coefficient efficacité]]</f>
        <v>1</v>
      </c>
      <c r="K8" s="54">
        <f>CEP_Axones[[#This Row],[Prix de revient jour]]*CEP_Axones[[#This Row],[Nb jours à produire]]</f>
        <v>474.41860465116281</v>
      </c>
      <c r="L8" s="54">
        <f>CEP_Axones[[#This Row],[CA]]-CEP_Axones[[#This Row],[Prix revient]]</f>
        <v>175.58139534883719</v>
      </c>
      <c r="M8" s="55">
        <f>IF(CEP_Axones[[#This Row],[CA]]&gt;0,CEP_Axones[[#This Row],[Marge brute]]/CEP_Axones[[#This Row],[CA]],"")</f>
        <v>0.2701252236135957</v>
      </c>
    </row>
    <row r="9" spans="1:13" x14ac:dyDescent="0.45">
      <c r="A9" s="72" t="s">
        <v>78</v>
      </c>
      <c r="B9" s="73" t="s">
        <v>82</v>
      </c>
      <c r="C9" s="73">
        <v>60000</v>
      </c>
      <c r="D9" s="74">
        <f>CEP_Axones[[#This Row],[Salaire annuel Brut]]*1.7/215</f>
        <v>474.41860465116281</v>
      </c>
      <c r="E9" s="75">
        <v>1</v>
      </c>
      <c r="F9" s="136">
        <f>'Charges &amp; coûts'!$E$18</f>
        <v>0</v>
      </c>
      <c r="G9" s="60">
        <f>CEP_Axones[[#This Row],[Prix de revient jour]]*(1+Marge_Cible)/CEP_Axones[[#This Row],[Coefficient efficacité]]</f>
        <v>640.46511627906989</v>
      </c>
      <c r="H9" s="84">
        <f>Paramétrage!$G$8</f>
        <v>650</v>
      </c>
      <c r="I9" s="54">
        <f>CEP_Axones[[#This Row],[Nb jours vendus]]*CEP_Axones[[#This Row],[Prix vente effectif]]</f>
        <v>0</v>
      </c>
      <c r="J9" s="53">
        <f>CEP_Axones[[#This Row],[Nb jours vendus]]/CEP_Axones[[#This Row],[Coefficient efficacité]]</f>
        <v>0</v>
      </c>
      <c r="K9" s="54">
        <f>CEP_Axones[[#This Row],[Prix de revient jour]]*CEP_Axones[[#This Row],[Nb jours à produire]]</f>
        <v>0</v>
      </c>
      <c r="L9" s="54">
        <f>CEP_Axones[[#This Row],[CA]]-CEP_Axones[[#This Row],[Prix revient]]</f>
        <v>0</v>
      </c>
      <c r="M9" s="55" t="str">
        <f>IF(CEP_Axones[[#This Row],[CA]]&gt;0,CEP_Axones[[#This Row],[Marge brute]]/CEP_Axones[[#This Row],[CA]],"")</f>
        <v/>
      </c>
    </row>
    <row r="10" spans="1:13" x14ac:dyDescent="0.45">
      <c r="A10" s="72" t="s">
        <v>79</v>
      </c>
      <c r="B10" s="73" t="s">
        <v>83</v>
      </c>
      <c r="C10" s="73">
        <v>35000</v>
      </c>
      <c r="D10" s="74">
        <f>CEP_Axones[[#This Row],[Salaire annuel Brut]]*1.7/215</f>
        <v>276.74418604651163</v>
      </c>
      <c r="E10" s="75">
        <v>1</v>
      </c>
      <c r="F10" s="136">
        <v>0</v>
      </c>
      <c r="G10" s="60">
        <f>CEP_Axones[[#This Row],[Prix de revient jour]]*(1+Marge_Cible)/CEP_Axones[[#This Row],[Coefficient efficacité]]</f>
        <v>373.60465116279073</v>
      </c>
      <c r="H10" s="84">
        <f>Paramétrage!$G$8</f>
        <v>650</v>
      </c>
      <c r="I10" s="54">
        <f>CEP_Axones[[#This Row],[Nb jours vendus]]*CEP_Axones[[#This Row],[Prix vente effectif]]</f>
        <v>0</v>
      </c>
      <c r="J10" s="53">
        <f>CEP_Axones[[#This Row],[Nb jours vendus]]/CEP_Axones[[#This Row],[Coefficient efficacité]]</f>
        <v>0</v>
      </c>
      <c r="K10" s="54">
        <f>CEP_Axones[[#This Row],[Prix de revient jour]]*CEP_Axones[[#This Row],[Nb jours à produire]]</f>
        <v>0</v>
      </c>
      <c r="L10" s="54">
        <f>CEP_Axones[[#This Row],[CA]]-CEP_Axones[[#This Row],[Prix revient]]</f>
        <v>0</v>
      </c>
      <c r="M10" s="55" t="str">
        <f>IF(CEP_Axones[[#This Row],[CA]]&gt;0,CEP_Axones[[#This Row],[Marge brute]]/CEP_Axones[[#This Row],[CA]],"")</f>
        <v/>
      </c>
    </row>
    <row r="11" spans="1:13" x14ac:dyDescent="0.45">
      <c r="A11" s="72" t="s">
        <v>70</v>
      </c>
      <c r="B11" s="73" t="s">
        <v>84</v>
      </c>
      <c r="C11" s="73">
        <v>50000</v>
      </c>
      <c r="D11" s="74">
        <f>CEP_Axones[[#This Row],[Salaire annuel Brut]]*1.7/215</f>
        <v>395.3488372093023</v>
      </c>
      <c r="E11" s="75">
        <v>1</v>
      </c>
      <c r="F11" s="136">
        <f>'Charges &amp; coûts'!$G$18/3</f>
        <v>5.833333333333333</v>
      </c>
      <c r="G11" s="60">
        <f>CEP_Axones[[#This Row],[Prix de revient jour]]*(1+Marge_Cible)/CEP_Axones[[#This Row],[Coefficient efficacité]]</f>
        <v>533.72093023255809</v>
      </c>
      <c r="H11" s="84">
        <f>Paramétrage!$G$10</f>
        <v>500</v>
      </c>
      <c r="I11" s="54">
        <f>CEP_Axones[[#This Row],[Nb jours vendus]]*CEP_Axones[[#This Row],[Prix vente effectif]]</f>
        <v>2916.6666666666665</v>
      </c>
      <c r="J11" s="53">
        <f>CEP_Axones[[#This Row],[Nb jours vendus]]/CEP_Axones[[#This Row],[Coefficient efficacité]]</f>
        <v>5.833333333333333</v>
      </c>
      <c r="K11" s="54">
        <f>CEP_Axones[[#This Row],[Prix de revient jour]]*CEP_Axones[[#This Row],[Nb jours à produire]]</f>
        <v>2306.2015503875969</v>
      </c>
      <c r="L11" s="54">
        <f>CEP_Axones[[#This Row],[CA]]-CEP_Axones[[#This Row],[Prix revient]]</f>
        <v>610.46511627906966</v>
      </c>
      <c r="M11" s="55">
        <f>IF(CEP_Axones[[#This Row],[CA]]&gt;0,CEP_Axones[[#This Row],[Marge brute]]/CEP_Axones[[#This Row],[CA]],"")</f>
        <v>0.20930232558139533</v>
      </c>
    </row>
    <row r="12" spans="1:13" x14ac:dyDescent="0.45">
      <c r="A12" s="72" t="s">
        <v>71</v>
      </c>
      <c r="B12" s="73" t="s">
        <v>85</v>
      </c>
      <c r="C12" s="73">
        <v>45000</v>
      </c>
      <c r="D12" s="74">
        <f>CEP_Axones[[#This Row],[Salaire annuel Brut]]*1.7/215</f>
        <v>355.81395348837208</v>
      </c>
      <c r="E12" s="75">
        <v>1</v>
      </c>
      <c r="F12" s="136">
        <f>'Charges &amp; coûts'!$G$18/3</f>
        <v>5.833333333333333</v>
      </c>
      <c r="G12" s="60">
        <f>CEP_Axones[[#This Row],[Prix de revient jour]]*(1+Marge_Cible)/CEP_Axones[[#This Row],[Coefficient efficacité]]</f>
        <v>480.34883720930236</v>
      </c>
      <c r="H12" s="84">
        <f>Paramétrage!$G$10</f>
        <v>500</v>
      </c>
      <c r="I12" s="54">
        <f>CEP_Axones[[#This Row],[Nb jours vendus]]*CEP_Axones[[#This Row],[Prix vente effectif]]</f>
        <v>2916.6666666666665</v>
      </c>
      <c r="J12" s="53">
        <f>CEP_Axones[[#This Row],[Nb jours vendus]]/CEP_Axones[[#This Row],[Coefficient efficacité]]</f>
        <v>5.833333333333333</v>
      </c>
      <c r="K12" s="54">
        <f>CEP_Axones[[#This Row],[Prix de revient jour]]*CEP_Axones[[#This Row],[Nb jours à produire]]</f>
        <v>2075.5813953488368</v>
      </c>
      <c r="L12" s="54">
        <f>CEP_Axones[[#This Row],[CA]]-CEP_Axones[[#This Row],[Prix revient]]</f>
        <v>841.08527131782967</v>
      </c>
      <c r="M12" s="55">
        <f>IF(CEP_Axones[[#This Row],[CA]]&gt;0,CEP_Axones[[#This Row],[Marge brute]]/CEP_Axones[[#This Row],[CA]],"")</f>
        <v>0.28837209302325589</v>
      </c>
    </row>
    <row r="13" spans="1:13" x14ac:dyDescent="0.45">
      <c r="A13" s="72" t="s">
        <v>72</v>
      </c>
      <c r="B13" s="73" t="s">
        <v>86</v>
      </c>
      <c r="C13" s="73">
        <v>40000</v>
      </c>
      <c r="D13" s="74">
        <f>CEP_Axones[[#This Row],[Salaire annuel Brut]]*1.7/215</f>
        <v>316.27906976744185</v>
      </c>
      <c r="E13" s="75">
        <v>1</v>
      </c>
      <c r="F13" s="136">
        <f>'Charges &amp; coûts'!$G$18/3</f>
        <v>5.833333333333333</v>
      </c>
      <c r="G13" s="60">
        <f>CEP_Axones[[#This Row],[Prix de revient jour]]*(1+Marge_Cible)/CEP_Axones[[#This Row],[Coefficient efficacité]]</f>
        <v>426.97674418604652</v>
      </c>
      <c r="H13" s="84">
        <f>Paramétrage!$G$10</f>
        <v>500</v>
      </c>
      <c r="I13" s="54">
        <f>CEP_Axones[[#This Row],[Nb jours vendus]]*CEP_Axones[[#This Row],[Prix vente effectif]]</f>
        <v>2916.6666666666665</v>
      </c>
      <c r="J13" s="53">
        <f>CEP_Axones[[#This Row],[Nb jours vendus]]/CEP_Axones[[#This Row],[Coefficient efficacité]]</f>
        <v>5.833333333333333</v>
      </c>
      <c r="K13" s="54">
        <f>CEP_Axones[[#This Row],[Prix de revient jour]]*CEP_Axones[[#This Row],[Nb jours à produire]]</f>
        <v>1844.9612403100773</v>
      </c>
      <c r="L13" s="54">
        <f>CEP_Axones[[#This Row],[CA]]-CEP_Axones[[#This Row],[Prix revient]]</f>
        <v>1071.7054263565892</v>
      </c>
      <c r="M13" s="55">
        <f>IF(CEP_Axones[[#This Row],[CA]]&gt;0,CEP_Axones[[#This Row],[Marge brute]]/CEP_Axones[[#This Row],[CA]],"")</f>
        <v>0.36744186046511634</v>
      </c>
    </row>
    <row r="14" spans="1:13" x14ac:dyDescent="0.45">
      <c r="A14" s="72" t="s">
        <v>118</v>
      </c>
      <c r="B14" s="73" t="s">
        <v>121</v>
      </c>
      <c r="C14" s="73">
        <v>40000</v>
      </c>
      <c r="D14" s="74">
        <f>CEP_Axones[[#This Row],[Salaire annuel Brut]]*1.7/215</f>
        <v>316.27906976744185</v>
      </c>
      <c r="E14" s="75">
        <v>1</v>
      </c>
      <c r="F14" s="136">
        <f>'Charges &amp; coûts'!H18</f>
        <v>0</v>
      </c>
      <c r="G14" s="60">
        <f>CEP_Axones[[#This Row],[Prix de revient jour]]*(1+Marge_Cible)/CEP_Axones[[#This Row],[Coefficient efficacité]]</f>
        <v>426.97674418604652</v>
      </c>
      <c r="H14" s="84">
        <f>Paramétrage!$G$11</f>
        <v>490</v>
      </c>
      <c r="I14" s="56">
        <f>CEP_Axones[[#This Row],[Nb jours vendus]]*CEP_Axones[[#This Row],[Prix vente effectif]]</f>
        <v>0</v>
      </c>
      <c r="J14" s="53">
        <f>CEP_Axones[[#This Row],[Nb jours vendus]]/CEP_Axones[[#This Row],[Coefficient efficacité]]</f>
        <v>0</v>
      </c>
      <c r="K14" s="56">
        <f>CEP_Axones[[#This Row],[Prix de revient jour]]*CEP_Axones[[#This Row],[Nb jours à produire]]</f>
        <v>0</v>
      </c>
      <c r="L14" s="56">
        <f>CEP_Axones[[#This Row],[CA]]-CEP_Axones[[#This Row],[Prix revient]]</f>
        <v>0</v>
      </c>
      <c r="M14" s="57" t="str">
        <f>IF(CEP_Axones[[#This Row],[CA]]&gt;0,CEP_Axones[[#This Row],[Marge brute]]/CEP_Axones[[#This Row],[CA]],"")</f>
        <v/>
      </c>
    </row>
    <row r="15" spans="1:13" x14ac:dyDescent="0.45">
      <c r="A15" s="72"/>
      <c r="B15" s="73"/>
      <c r="C15" s="73"/>
      <c r="D15" s="77">
        <f>CEP_Axones[[#This Row],[Salaire annuel Brut]]*1.7/215</f>
        <v>0</v>
      </c>
      <c r="E15" s="75"/>
      <c r="F15" s="76"/>
      <c r="G15" s="60"/>
      <c r="H15" s="84">
        <f>Paramétrage!$G$10</f>
        <v>500</v>
      </c>
      <c r="I15" s="56"/>
      <c r="J15" s="53"/>
      <c r="K15" s="56"/>
      <c r="L15" s="56"/>
      <c r="M15" s="57" t="str">
        <f>IF(CEP_Axones[[#This Row],[CA]]&gt;0,CEP_Axones[[#This Row],[Marge brute]]/CEP_Axones[[#This Row],[CA]],"")</f>
        <v/>
      </c>
    </row>
    <row r="16" spans="1:13" ht="16.5" thickBot="1" x14ac:dyDescent="0.5">
      <c r="A16" s="78"/>
      <c r="B16" s="79"/>
      <c r="C16" s="80"/>
      <c r="D16" s="79"/>
      <c r="E16" s="81"/>
      <c r="F16" s="82"/>
      <c r="G16" s="60"/>
      <c r="H16" s="85">
        <f>Paramétrage!$G$10</f>
        <v>500</v>
      </c>
      <c r="I16" s="56"/>
      <c r="J16" s="53"/>
      <c r="K16" s="56"/>
      <c r="L16" s="56"/>
      <c r="M16" s="57" t="str">
        <f>IF(CEP_Axones[[#This Row],[CA]]&gt;0,CEP_Axones[[#This Row],[Marge brute]]/CEP_Axones[[#This Row],[CA]],"")</f>
        <v/>
      </c>
    </row>
    <row r="17" spans="1:13" ht="7.5" customHeight="1" thickBot="1" x14ac:dyDescent="0.5">
      <c r="H17" s="64"/>
      <c r="I17" s="64"/>
      <c r="J17" s="64"/>
      <c r="K17" s="64"/>
      <c r="L17" s="64"/>
      <c r="M17" s="64"/>
    </row>
    <row r="18" spans="1:13" ht="16.5" thickTop="1" x14ac:dyDescent="0.45">
      <c r="H18" s="61">
        <f>AVERAGE(CEP_Axones[Prix vente effectif])</f>
        <v>569</v>
      </c>
      <c r="I18" s="61">
        <f>SUM(CEP_Axones[CA])</f>
        <v>10899.999999999998</v>
      </c>
      <c r="J18" s="62">
        <f>SUM(CEP_Axones[Nb jours à produire])</f>
        <v>20.499999999999996</v>
      </c>
      <c r="K18" s="61">
        <f>SUM(CEP_Axones[Prix revient])</f>
        <v>7649.9999999999991</v>
      </c>
      <c r="L18" s="61">
        <f>SUM(CEP_Axones[Marge brute])</f>
        <v>3250</v>
      </c>
      <c r="M18" s="63">
        <f>Marge_Prod_Axones/I18</f>
        <v>0.29816513761467894</v>
      </c>
    </row>
    <row r="19" spans="1:13" x14ac:dyDescent="0.45">
      <c r="K19" s="61"/>
      <c r="L19" s="61"/>
      <c r="M19" s="58"/>
    </row>
    <row r="20" spans="1:13" ht="19.5" x14ac:dyDescent="0.5">
      <c r="A20" s="12" t="s">
        <v>88</v>
      </c>
      <c r="L20" s="61"/>
      <c r="M20" s="58"/>
    </row>
    <row r="22" spans="1:13" ht="28" thickBot="1" x14ac:dyDescent="0.5">
      <c r="A22" s="3" t="s">
        <v>24</v>
      </c>
      <c r="B22" s="3" t="s">
        <v>1</v>
      </c>
      <c r="C22" s="11" t="s">
        <v>64</v>
      </c>
      <c r="D22" s="11" t="s">
        <v>89</v>
      </c>
      <c r="E22" s="11" t="s">
        <v>76</v>
      </c>
      <c r="F22" s="11" t="s">
        <v>65</v>
      </c>
      <c r="G22" s="11" t="s">
        <v>66</v>
      </c>
      <c r="H22" s="11" t="s">
        <v>75</v>
      </c>
      <c r="I22" s="11" t="s">
        <v>67</v>
      </c>
      <c r="J22" s="11" t="s">
        <v>80</v>
      </c>
      <c r="K22" s="11" t="s">
        <v>68</v>
      </c>
      <c r="L22" s="11" t="s">
        <v>69</v>
      </c>
      <c r="M22" s="11" t="s">
        <v>77</v>
      </c>
    </row>
    <row r="23" spans="1:13" x14ac:dyDescent="0.45">
      <c r="A23" s="67" t="s">
        <v>30</v>
      </c>
      <c r="B23" s="68" t="s">
        <v>90</v>
      </c>
      <c r="C23" s="86"/>
      <c r="D23" s="69">
        <v>450</v>
      </c>
      <c r="E23" s="70">
        <v>1</v>
      </c>
      <c r="F23" s="71"/>
      <c r="G23" s="60">
        <f>CEP_Sstraitants[[#This Row],[Prix Achat]]*(1+Marge_Cible)/CEP_Sstraitants[[#This Row],[Coefficient efficacité]]</f>
        <v>607.5</v>
      </c>
      <c r="H23" s="83">
        <f>Paramétrage!$G$10</f>
        <v>500</v>
      </c>
      <c r="I23" s="54">
        <f>CEP_Sstraitants[[#This Row],[Nb jours vendus]]*CEP_Sstraitants[[#This Row],[Prix vente effectif]]</f>
        <v>0</v>
      </c>
      <c r="J23" s="53">
        <f>CEP_Sstraitants[[#This Row],[Nb jours vendus]]/CEP_Sstraitants[[#This Row],[Coefficient efficacité]]</f>
        <v>0</v>
      </c>
      <c r="K23" s="54">
        <f>CEP_Sstraitants[[#This Row],[Prix Achat]]*CEP_Sstraitants[[#This Row],[Nb jours à produire]]</f>
        <v>0</v>
      </c>
      <c r="L23" s="54">
        <f>CEP_Sstraitants[[#This Row],[CA]]-CEP_Sstraitants[[#This Row],[Prix revient]]</f>
        <v>0</v>
      </c>
      <c r="M23" s="55" t="str">
        <f>IF(CEP_Sstraitants[[#This Row],[CA]]&gt;0,CEP_Sstraitants[[#This Row],[Marge brute]]/CEP_Sstraitants[[#This Row],[CA]],"")</f>
        <v/>
      </c>
    </row>
    <row r="24" spans="1:13" x14ac:dyDescent="0.45">
      <c r="A24" s="72"/>
      <c r="B24" s="73"/>
      <c r="C24" s="87"/>
      <c r="D24" s="74">
        <f>CEP_Sstraitants[[#This Row],[Colonne1]]*1.7/215</f>
        <v>0</v>
      </c>
      <c r="E24" s="75">
        <v>1</v>
      </c>
      <c r="F24" s="76"/>
      <c r="G24" s="60">
        <f>CEP_Sstraitants[[#This Row],[Prix Achat]]*(1+Marge_Cible)/CEP_Sstraitants[[#This Row],[Coefficient efficacité]]</f>
        <v>0</v>
      </c>
      <c r="H24" s="84">
        <f>Paramétrage!$G$10</f>
        <v>500</v>
      </c>
      <c r="I24" s="54">
        <f>CEP_Sstraitants[[#This Row],[Nb jours vendus]]*CEP_Sstraitants[[#This Row],[Prix vente effectif]]</f>
        <v>0</v>
      </c>
      <c r="J24" s="53">
        <f>CEP_Sstraitants[[#This Row],[Nb jours vendus]]/CEP_Sstraitants[[#This Row],[Coefficient efficacité]]</f>
        <v>0</v>
      </c>
      <c r="K24" s="54">
        <f>CEP_Sstraitants[[#This Row],[Prix Achat]]*CEP_Sstraitants[[#This Row],[Nb jours à produire]]</f>
        <v>0</v>
      </c>
      <c r="L24" s="54">
        <f>CEP_Sstraitants[[#This Row],[CA]]-CEP_Sstraitants[[#This Row],[Prix revient]]</f>
        <v>0</v>
      </c>
      <c r="M24" s="55" t="str">
        <f>IF(CEP_Sstraitants[[#This Row],[CA]]&gt;0,CEP_Sstraitants[[#This Row],[Marge brute]]/CEP_Sstraitants[[#This Row],[CA]],"")</f>
        <v/>
      </c>
    </row>
    <row r="25" spans="1:13" x14ac:dyDescent="0.45">
      <c r="A25" s="72"/>
      <c r="B25" s="73"/>
      <c r="C25" s="87"/>
      <c r="D25" s="74">
        <f>CEP_Sstraitants[[#This Row],[Colonne1]]*1.7/215</f>
        <v>0</v>
      </c>
      <c r="E25" s="75">
        <v>1</v>
      </c>
      <c r="F25" s="76"/>
      <c r="G25" s="60">
        <f>CEP_Sstraitants[[#This Row],[Prix Achat]]*(1+Marge_Cible)/CEP_Sstraitants[[#This Row],[Coefficient efficacité]]</f>
        <v>0</v>
      </c>
      <c r="H25" s="84">
        <f>Paramétrage!$G$10</f>
        <v>500</v>
      </c>
      <c r="I25" s="54">
        <f>CEP_Sstraitants[[#This Row],[Nb jours vendus]]*CEP_Sstraitants[[#This Row],[Prix vente effectif]]</f>
        <v>0</v>
      </c>
      <c r="J25" s="53">
        <f>CEP_Sstraitants[[#This Row],[Nb jours vendus]]/CEP_Sstraitants[[#This Row],[Coefficient efficacité]]</f>
        <v>0</v>
      </c>
      <c r="K25" s="54">
        <f>CEP_Sstraitants[[#This Row],[Prix Achat]]*CEP_Sstraitants[[#This Row],[Nb jours à produire]]</f>
        <v>0</v>
      </c>
      <c r="L25" s="54">
        <f>CEP_Sstraitants[[#This Row],[CA]]-CEP_Sstraitants[[#This Row],[Prix revient]]</f>
        <v>0</v>
      </c>
      <c r="M25" s="55" t="str">
        <f>IF(CEP_Sstraitants[[#This Row],[CA]]&gt;0,CEP_Sstraitants[[#This Row],[Marge brute]]/CEP_Sstraitants[[#This Row],[CA]],"")</f>
        <v/>
      </c>
    </row>
    <row r="26" spans="1:13" x14ac:dyDescent="0.45">
      <c r="A26" s="72"/>
      <c r="B26" s="73"/>
      <c r="C26" s="87"/>
      <c r="D26" s="74">
        <f>CEP_Sstraitants[[#This Row],[Colonne1]]*1.7/215</f>
        <v>0</v>
      </c>
      <c r="E26" s="75">
        <v>1</v>
      </c>
      <c r="F26" s="76"/>
      <c r="G26" s="60">
        <f>CEP_Sstraitants[[#This Row],[Prix Achat]]*(1+Marge_Cible)/CEP_Sstraitants[[#This Row],[Coefficient efficacité]]</f>
        <v>0</v>
      </c>
      <c r="H26" s="84">
        <f>Paramétrage!$G$10</f>
        <v>500</v>
      </c>
      <c r="I26" s="54">
        <f>CEP_Sstraitants[[#This Row],[Nb jours vendus]]*CEP_Sstraitants[[#This Row],[Prix vente effectif]]</f>
        <v>0</v>
      </c>
      <c r="J26" s="53">
        <f>CEP_Sstraitants[[#This Row],[Nb jours vendus]]/CEP_Sstraitants[[#This Row],[Coefficient efficacité]]</f>
        <v>0</v>
      </c>
      <c r="K26" s="54">
        <f>CEP_Sstraitants[[#This Row],[Prix Achat]]*CEP_Sstraitants[[#This Row],[Nb jours à produire]]</f>
        <v>0</v>
      </c>
      <c r="L26" s="54">
        <f>CEP_Sstraitants[[#This Row],[CA]]-CEP_Sstraitants[[#This Row],[Prix revient]]</f>
        <v>0</v>
      </c>
      <c r="M26" s="55" t="str">
        <f>IF(CEP_Sstraitants[[#This Row],[CA]]&gt;0,CEP_Sstraitants[[#This Row],[Marge brute]]/CEP_Sstraitants[[#This Row],[CA]],"")</f>
        <v/>
      </c>
    </row>
    <row r="27" spans="1:13" x14ac:dyDescent="0.45">
      <c r="A27" s="72"/>
      <c r="B27" s="73"/>
      <c r="C27" s="87"/>
      <c r="D27" s="74">
        <f>CEP_Sstraitants[[#This Row],[Colonne1]]*1.7/215</f>
        <v>0</v>
      </c>
      <c r="E27" s="75">
        <v>1</v>
      </c>
      <c r="F27" s="76"/>
      <c r="G27" s="60">
        <f>CEP_Sstraitants[[#This Row],[Prix Achat]]*(1+Marge_Cible)/CEP_Sstraitants[[#This Row],[Coefficient efficacité]]</f>
        <v>0</v>
      </c>
      <c r="H27" s="84">
        <f>Paramétrage!$G$10</f>
        <v>500</v>
      </c>
      <c r="I27" s="54">
        <f>CEP_Sstraitants[[#This Row],[Nb jours vendus]]*CEP_Sstraitants[[#This Row],[Prix vente effectif]]</f>
        <v>0</v>
      </c>
      <c r="J27" s="53">
        <f>CEP_Sstraitants[[#This Row],[Nb jours vendus]]/CEP_Sstraitants[[#This Row],[Coefficient efficacité]]</f>
        <v>0</v>
      </c>
      <c r="K27" s="54">
        <f>CEP_Sstraitants[[#This Row],[Prix Achat]]*CEP_Sstraitants[[#This Row],[Nb jours à produire]]</f>
        <v>0</v>
      </c>
      <c r="L27" s="54">
        <f>CEP_Sstraitants[[#This Row],[CA]]-CEP_Sstraitants[[#This Row],[Prix revient]]</f>
        <v>0</v>
      </c>
      <c r="M27" s="55" t="str">
        <f>IF(CEP_Sstraitants[[#This Row],[CA]]&gt;0,CEP_Sstraitants[[#This Row],[Marge brute]]/CEP_Sstraitants[[#This Row],[CA]],"")</f>
        <v/>
      </c>
    </row>
    <row r="28" spans="1:13" x14ac:dyDescent="0.45">
      <c r="A28" s="72"/>
      <c r="B28" s="73"/>
      <c r="C28" s="87"/>
      <c r="D28" s="74">
        <f>CEP_Sstraitants[[#This Row],[Colonne1]]*1.7/215</f>
        <v>0</v>
      </c>
      <c r="E28" s="75">
        <v>1</v>
      </c>
      <c r="F28" s="76"/>
      <c r="G28" s="60">
        <f>CEP_Sstraitants[[#This Row],[Prix Achat]]*(1+Marge_Cible)/CEP_Sstraitants[[#This Row],[Coefficient efficacité]]</f>
        <v>0</v>
      </c>
      <c r="H28" s="84">
        <f>Paramétrage!$G$10</f>
        <v>500</v>
      </c>
      <c r="I28" s="54">
        <f>CEP_Sstraitants[[#This Row],[Nb jours vendus]]*CEP_Sstraitants[[#This Row],[Prix vente effectif]]</f>
        <v>0</v>
      </c>
      <c r="J28" s="53">
        <f>CEP_Sstraitants[[#This Row],[Nb jours vendus]]/CEP_Sstraitants[[#This Row],[Coefficient efficacité]]</f>
        <v>0</v>
      </c>
      <c r="K28" s="54">
        <f>CEP_Sstraitants[[#This Row],[Prix Achat]]*CEP_Sstraitants[[#This Row],[Nb jours à produire]]</f>
        <v>0</v>
      </c>
      <c r="L28" s="54">
        <f>CEP_Sstraitants[[#This Row],[CA]]-CEP_Sstraitants[[#This Row],[Prix revient]]</f>
        <v>0</v>
      </c>
      <c r="M28" s="55" t="str">
        <f>IF(CEP_Sstraitants[[#This Row],[CA]]&gt;0,CEP_Sstraitants[[#This Row],[Marge brute]]/CEP_Sstraitants[[#This Row],[CA]],"")</f>
        <v/>
      </c>
    </row>
    <row r="29" spans="1:13" x14ac:dyDescent="0.45">
      <c r="A29" s="72"/>
      <c r="B29" s="73"/>
      <c r="C29" s="87"/>
      <c r="D29" s="74">
        <f>CEP_Sstraitants[[#This Row],[Colonne1]]*1.7/215</f>
        <v>0</v>
      </c>
      <c r="E29" s="75">
        <v>1</v>
      </c>
      <c r="F29" s="76"/>
      <c r="G29" s="60">
        <f>CEP_Sstraitants[[#This Row],[Prix Achat]]*(1+Marge_Cible)/CEP_Sstraitants[[#This Row],[Coefficient efficacité]]</f>
        <v>0</v>
      </c>
      <c r="H29" s="84">
        <f>Paramétrage!$G$10</f>
        <v>500</v>
      </c>
      <c r="I29" s="54">
        <f>CEP_Sstraitants[[#This Row],[Nb jours vendus]]*CEP_Sstraitants[[#This Row],[Prix vente effectif]]</f>
        <v>0</v>
      </c>
      <c r="J29" s="53">
        <f>CEP_Sstraitants[[#This Row],[Nb jours vendus]]/CEP_Sstraitants[[#This Row],[Coefficient efficacité]]</f>
        <v>0</v>
      </c>
      <c r="K29" s="54">
        <f>CEP_Sstraitants[[#This Row],[Prix Achat]]*CEP_Sstraitants[[#This Row],[Nb jours à produire]]</f>
        <v>0</v>
      </c>
      <c r="L29" s="54">
        <f>CEP_Sstraitants[[#This Row],[CA]]-CEP_Sstraitants[[#This Row],[Prix revient]]</f>
        <v>0</v>
      </c>
      <c r="M29" s="55" t="str">
        <f>IF(CEP_Sstraitants[[#This Row],[CA]]&gt;0,CEP_Sstraitants[[#This Row],[Marge brute]]/CEP_Sstraitants[[#This Row],[CA]],"")</f>
        <v/>
      </c>
    </row>
    <row r="30" spans="1:13" x14ac:dyDescent="0.45">
      <c r="A30" s="72"/>
      <c r="B30" s="73"/>
      <c r="C30" s="87"/>
      <c r="D30" s="77">
        <f>CEP_Sstraitants[[#This Row],[Colonne1]]*1.7/215</f>
        <v>0</v>
      </c>
      <c r="E30" s="75">
        <v>1</v>
      </c>
      <c r="F30" s="76"/>
      <c r="G30" s="60">
        <f>CEP_Sstraitants[[#This Row],[Prix Achat]]*(1+Marge_Cible)/CEP_Sstraitants[[#This Row],[Coefficient efficacité]]</f>
        <v>0</v>
      </c>
      <c r="H30" s="84">
        <f>Paramétrage!$G$10</f>
        <v>500</v>
      </c>
      <c r="I30" s="56">
        <f>CEP_Sstraitants[[#This Row],[Nb jours vendus]]*CEP_Sstraitants[[#This Row],[Prix vente effectif]]</f>
        <v>0</v>
      </c>
      <c r="J30" s="53">
        <f>CEP_Sstraitants[[#This Row],[Nb jours vendus]]/CEP_Sstraitants[[#This Row],[Coefficient efficacité]]</f>
        <v>0</v>
      </c>
      <c r="K30" s="56">
        <f>CEP_Sstraitants[[#This Row],[Prix Achat]]*CEP_Sstraitants[[#This Row],[Nb jours à produire]]</f>
        <v>0</v>
      </c>
      <c r="L30" s="56">
        <f>CEP_Sstraitants[[#This Row],[CA]]-CEP_Sstraitants[[#This Row],[Prix revient]]</f>
        <v>0</v>
      </c>
      <c r="M30" s="57" t="str">
        <f>IF(CEP_Sstraitants[[#This Row],[CA]]&gt;0,CEP_Sstraitants[[#This Row],[Marge brute]]/CEP_Sstraitants[[#This Row],[CA]],"")</f>
        <v/>
      </c>
    </row>
    <row r="31" spans="1:13" x14ac:dyDescent="0.45">
      <c r="A31" s="72"/>
      <c r="B31" s="73"/>
      <c r="C31" s="87"/>
      <c r="D31" s="77">
        <f>CEP_Sstraitants[[#This Row],[Colonne1]]*1.7/215</f>
        <v>0</v>
      </c>
      <c r="E31" s="75">
        <v>1</v>
      </c>
      <c r="F31" s="76"/>
      <c r="G31" s="60">
        <f>CEP_Sstraitants[[#This Row],[Prix Achat]]*(1+Marge_Cible)/CEP_Sstraitants[[#This Row],[Coefficient efficacité]]</f>
        <v>0</v>
      </c>
      <c r="H31" s="84">
        <f>Paramétrage!$G$10</f>
        <v>500</v>
      </c>
      <c r="I31" s="56">
        <f>CEP_Sstraitants[[#This Row],[Nb jours vendus]]*CEP_Sstraitants[[#This Row],[Prix vente effectif]]</f>
        <v>0</v>
      </c>
      <c r="J31" s="53">
        <f>CEP_Sstraitants[[#This Row],[Nb jours vendus]]/CEP_Sstraitants[[#This Row],[Coefficient efficacité]]</f>
        <v>0</v>
      </c>
      <c r="K31" s="56">
        <f>CEP_Sstraitants[[#This Row],[Prix Achat]]*CEP_Sstraitants[[#This Row],[Nb jours à produire]]</f>
        <v>0</v>
      </c>
      <c r="L31" s="56">
        <f>CEP_Sstraitants[[#This Row],[CA]]-CEP_Sstraitants[[#This Row],[Prix revient]]</f>
        <v>0</v>
      </c>
      <c r="M31" s="57" t="str">
        <f>IF(CEP_Sstraitants[[#This Row],[CA]]&gt;0,CEP_Sstraitants[[#This Row],[Marge brute]]/CEP_Sstraitants[[#This Row],[CA]],"")</f>
        <v/>
      </c>
    </row>
    <row r="32" spans="1:13" ht="16.5" thickBot="1" x14ac:dyDescent="0.5">
      <c r="A32" s="78"/>
      <c r="B32" s="79"/>
      <c r="C32" s="88"/>
      <c r="D32" s="79">
        <f>CEP_Sstraitants[[#This Row],[Colonne1]]*1.7/215</f>
        <v>0</v>
      </c>
      <c r="E32" s="81">
        <v>1</v>
      </c>
      <c r="F32" s="82"/>
      <c r="G32" s="60">
        <f>CEP_Sstraitants[[#This Row],[Prix Achat]]*(1+Marge_Cible)/CEP_Sstraitants[[#This Row],[Coefficient efficacité]]</f>
        <v>0</v>
      </c>
      <c r="H32" s="85">
        <f>Paramétrage!$G$10</f>
        <v>500</v>
      </c>
      <c r="I32" s="56">
        <f>CEP_Sstraitants[[#This Row],[Nb jours vendus]]*CEP_Sstraitants[[#This Row],[Prix vente effectif]]</f>
        <v>0</v>
      </c>
      <c r="J32" s="53">
        <f>CEP_Sstraitants[[#This Row],[Nb jours vendus]]/CEP_Sstraitants[[#This Row],[Coefficient efficacité]]</f>
        <v>0</v>
      </c>
      <c r="K32" s="56">
        <f>CEP_Sstraitants[[#This Row],[Prix Achat]]*CEP_Sstraitants[[#This Row],[Nb jours à produire]]</f>
        <v>0</v>
      </c>
      <c r="L32" s="56">
        <f>CEP_Sstraitants[[#This Row],[CA]]-CEP_Sstraitants[[#This Row],[Prix revient]]</f>
        <v>0</v>
      </c>
      <c r="M32" s="57" t="str">
        <f>IF(CEP_Sstraitants[[#This Row],[CA]]&gt;0,CEP_Sstraitants[[#This Row],[Marge brute]]/CEP_Sstraitants[[#This Row],[CA]],"")</f>
        <v/>
      </c>
    </row>
    <row r="33" spans="1:13" ht="8.25" customHeight="1" thickBot="1" x14ac:dyDescent="0.5">
      <c r="H33" s="64"/>
      <c r="I33" s="64"/>
      <c r="J33" s="64"/>
      <c r="K33" s="64"/>
      <c r="L33" s="64"/>
      <c r="M33" s="64"/>
    </row>
    <row r="34" spans="1:13" ht="16.5" thickTop="1" x14ac:dyDescent="0.45">
      <c r="H34" s="61">
        <f>AVERAGE(CEP_Sstraitants[Prix vente effectif])</f>
        <v>500</v>
      </c>
      <c r="I34" s="61">
        <f>SUM(CEP_Sstraitants[CA])</f>
        <v>0</v>
      </c>
      <c r="J34" s="62">
        <f>SUM(CEP_Sstraitants[Nb jours à produire])</f>
        <v>0</v>
      </c>
      <c r="K34" s="61">
        <f>SUM(CEP_Sstraitants[Prix revient])</f>
        <v>0</v>
      </c>
      <c r="L34" s="61">
        <f>SUM(CEP_Sstraitants[Marge brute])</f>
        <v>0</v>
      </c>
      <c r="M34" s="63" t="e">
        <f>AVERAGE(CEP_Sstraitants[Marge brute (%)])</f>
        <v>#DIV/0!</v>
      </c>
    </row>
    <row r="35" spans="1:13" ht="19.5" x14ac:dyDescent="0.5">
      <c r="A35" s="12" t="s">
        <v>101</v>
      </c>
      <c r="C35" s="99">
        <f>I34+I18</f>
        <v>10899.999999999998</v>
      </c>
      <c r="H35" s="61"/>
      <c r="I35" s="61"/>
      <c r="J35" s="62"/>
      <c r="K35" s="61"/>
      <c r="L35" s="61"/>
      <c r="M35" s="63"/>
    </row>
    <row r="36" spans="1:13" x14ac:dyDescent="0.45">
      <c r="H36" s="61"/>
      <c r="I36" s="61"/>
      <c r="J36" s="62"/>
      <c r="K36" s="61"/>
      <c r="L36" s="61"/>
      <c r="M36" s="63"/>
    </row>
    <row r="38" spans="1:13" ht="19.5" x14ac:dyDescent="0.5">
      <c r="A38" s="12" t="s">
        <v>91</v>
      </c>
    </row>
    <row r="40" spans="1:13" ht="16.5" thickBot="1" x14ac:dyDescent="0.5">
      <c r="A40" s="89" t="s">
        <v>92</v>
      </c>
      <c r="B40" s="89" t="s">
        <v>93</v>
      </c>
      <c r="C40" s="89" t="s">
        <v>94</v>
      </c>
      <c r="D40" s="65" t="s">
        <v>87</v>
      </c>
      <c r="E40" s="65" t="s">
        <v>95</v>
      </c>
    </row>
    <row r="41" spans="1:13" x14ac:dyDescent="0.45">
      <c r="A41" s="90" t="s">
        <v>96</v>
      </c>
      <c r="B41" s="91"/>
      <c r="C41" s="92"/>
      <c r="D41" s="66">
        <f>AchatRevente[[#This Row],[Prix de vente]]-AchatRevente[[#This Row],[Prix d''achat]]</f>
        <v>0</v>
      </c>
      <c r="E41" s="55" t="str">
        <f>IF(AchatRevente[[#This Row],[Prix d''achat]]&gt;0,AchatRevente[[#This Row],[Marge]]/AchatRevente[[#This Row],[Prix d''achat]],"")</f>
        <v/>
      </c>
    </row>
    <row r="42" spans="1:13" x14ac:dyDescent="0.45">
      <c r="A42" s="93"/>
      <c r="B42" s="94"/>
      <c r="C42" s="95"/>
      <c r="D42" s="66">
        <f>AchatRevente[[#This Row],[Prix de vente]]-AchatRevente[[#This Row],[Prix d''achat]]</f>
        <v>0</v>
      </c>
      <c r="E42" s="55" t="str">
        <f>IF(AchatRevente[[#This Row],[Prix d''achat]]&gt;0,AchatRevente[[#This Row],[Marge]]/AchatRevente[[#This Row],[Prix d''achat]],"")</f>
        <v/>
      </c>
    </row>
    <row r="43" spans="1:13" x14ac:dyDescent="0.45">
      <c r="A43" s="93"/>
      <c r="B43" s="94"/>
      <c r="C43" s="95"/>
      <c r="D43" s="66">
        <f>AchatRevente[[#This Row],[Prix de vente]]-AchatRevente[[#This Row],[Prix d''achat]]</f>
        <v>0</v>
      </c>
      <c r="E43" s="55" t="str">
        <f>IF(AchatRevente[[#This Row],[Prix d''achat]]&gt;0,AchatRevente[[#This Row],[Marge]]/AchatRevente[[#This Row],[Prix d''achat]],"")</f>
        <v/>
      </c>
    </row>
    <row r="44" spans="1:13" x14ac:dyDescent="0.45">
      <c r="A44" s="93"/>
      <c r="B44" s="94"/>
      <c r="C44" s="95"/>
      <c r="D44" s="66">
        <f>AchatRevente[[#This Row],[Prix de vente]]-AchatRevente[[#This Row],[Prix d''achat]]</f>
        <v>0</v>
      </c>
      <c r="E44" s="55" t="str">
        <f>IF(AchatRevente[[#This Row],[Prix d''achat]]&gt;0,AchatRevente[[#This Row],[Marge]]/AchatRevente[[#This Row],[Prix d''achat]],"")</f>
        <v/>
      </c>
    </row>
    <row r="45" spans="1:13" ht="16.5" thickBot="1" x14ac:dyDescent="0.5">
      <c r="A45" s="96"/>
      <c r="B45" s="97"/>
      <c r="C45" s="98"/>
      <c r="D45" s="66">
        <f>AchatRevente[[#This Row],[Prix de vente]]-AchatRevente[[#This Row],[Prix d''achat]]</f>
        <v>0</v>
      </c>
      <c r="E45" s="55" t="str">
        <f>IF(AchatRevente[[#This Row],[Prix d''achat]]&gt;0,AchatRevente[[#This Row],[Marge]]/AchatRevente[[#This Row],[Prix d''achat]],"")</f>
        <v/>
      </c>
    </row>
    <row r="46" spans="1:13" ht="9.75" customHeight="1" thickBot="1" x14ac:dyDescent="0.5">
      <c r="A46" s="100"/>
      <c r="B46" s="64"/>
      <c r="C46" s="64"/>
      <c r="D46" s="64"/>
      <c r="E46" s="64"/>
    </row>
    <row r="47" spans="1:13" ht="16.5" thickTop="1" x14ac:dyDescent="0.45">
      <c r="B47" s="61">
        <f>SUM(AchatRevente[Prix d''achat])</f>
        <v>0</v>
      </c>
      <c r="C47" s="61">
        <f>SUM(AchatRevente[Prix de vente])</f>
        <v>0</v>
      </c>
      <c r="D47" s="61">
        <f>SUM(AchatRevente[Marge])</f>
        <v>0</v>
      </c>
      <c r="E47" s="63" t="e">
        <f>AVERAGE(AchatRevente[Marge (%)])</f>
        <v>#DIV/0!</v>
      </c>
    </row>
    <row r="49" spans="1:5" ht="19.5" x14ac:dyDescent="0.5">
      <c r="A49" s="12" t="s">
        <v>97</v>
      </c>
    </row>
    <row r="51" spans="1:5" x14ac:dyDescent="0.45">
      <c r="A51" s="61" t="s">
        <v>98</v>
      </c>
      <c r="B51" s="61"/>
      <c r="D51" s="61"/>
    </row>
    <row r="52" spans="1:5" ht="16.5" thickBot="1" x14ac:dyDescent="0.5">
      <c r="A52" s="61" t="s">
        <v>99</v>
      </c>
      <c r="B52" s="61"/>
      <c r="D52" s="102"/>
    </row>
    <row r="53" spans="1:5" x14ac:dyDescent="0.45">
      <c r="D53" s="101">
        <f>D51+D52</f>
        <v>0</v>
      </c>
    </row>
    <row r="55" spans="1:5" ht="19.5" x14ac:dyDescent="0.5">
      <c r="A55" s="12" t="s">
        <v>57</v>
      </c>
      <c r="D55" s="101"/>
      <c r="E55" s="58"/>
    </row>
    <row r="57" spans="1:5" ht="19.5" x14ac:dyDescent="0.5">
      <c r="A57" s="12" t="s">
        <v>100</v>
      </c>
      <c r="D57" s="101">
        <f>10%*CAProd</f>
        <v>1089.9999999999998</v>
      </c>
    </row>
    <row r="59" spans="1:5" ht="19.5" x14ac:dyDescent="0.5">
      <c r="A59" s="12" t="s">
        <v>102</v>
      </c>
      <c r="D59" s="103">
        <f>Marge_Prod_Axones-PPR</f>
        <v>2160</v>
      </c>
      <c r="E59" s="104">
        <f>Marge_Nette_Prevue/CAProd</f>
        <v>0.19816513761467894</v>
      </c>
    </row>
    <row r="61" spans="1:5" ht="19.5" x14ac:dyDescent="0.5">
      <c r="A61" s="12" t="s">
        <v>103</v>
      </c>
      <c r="D61" s="103"/>
    </row>
  </sheetData>
  <pageMargins left="0.7" right="0.7" top="0.75" bottom="0.75" header="0.3" footer="0.3"/>
  <pageSetup paperSize="9" orientation="portrait" verticalDpi="0" r:id="rId1"/>
  <legacyDrawing r:id="rId2"/>
  <tableParts count="3">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topLeftCell="A79" workbookViewId="0">
      <selection activeCell="B97" sqref="B97"/>
    </sheetView>
  </sheetViews>
  <sheetFormatPr baseColWidth="10" defaultRowHeight="14.5" x14ac:dyDescent="0.35"/>
  <cols>
    <col min="1" max="1" width="60.1796875" style="211" customWidth="1"/>
    <col min="2" max="2" width="32.1796875" bestFit="1" customWidth="1"/>
    <col min="3" max="3" width="55.81640625" bestFit="1" customWidth="1"/>
  </cols>
  <sheetData>
    <row r="1" spans="1:3" ht="15" thickBot="1" x14ac:dyDescent="0.4">
      <c r="A1" s="208" t="s">
        <v>156</v>
      </c>
      <c r="B1" s="205" t="s">
        <v>157</v>
      </c>
      <c r="C1" s="205" t="s">
        <v>158</v>
      </c>
    </row>
    <row r="2" spans="1:3" ht="15" thickBot="1" x14ac:dyDescent="0.4">
      <c r="A2" s="209" t="s">
        <v>159</v>
      </c>
      <c r="B2" s="206" t="s">
        <v>160</v>
      </c>
      <c r="C2" s="206" t="s">
        <v>161</v>
      </c>
    </row>
    <row r="3" spans="1:3" ht="15" thickBot="1" x14ac:dyDescent="0.4">
      <c r="A3" s="209" t="s">
        <v>162</v>
      </c>
      <c r="B3" s="206" t="s">
        <v>163</v>
      </c>
      <c r="C3" s="206" t="s">
        <v>164</v>
      </c>
    </row>
    <row r="4" spans="1:3" ht="15" thickBot="1" x14ac:dyDescent="0.4">
      <c r="A4" s="209" t="s">
        <v>165</v>
      </c>
      <c r="B4" s="206" t="s">
        <v>163</v>
      </c>
      <c r="C4" s="206" t="s">
        <v>166</v>
      </c>
    </row>
    <row r="5" spans="1:3" ht="15" thickBot="1" x14ac:dyDescent="0.4">
      <c r="A5" s="209" t="s">
        <v>167</v>
      </c>
      <c r="B5" s="206" t="s">
        <v>163</v>
      </c>
      <c r="C5" s="206" t="s">
        <v>168</v>
      </c>
    </row>
    <row r="6" spans="1:3" ht="15" thickBot="1" x14ac:dyDescent="0.4">
      <c r="A6" s="209" t="s">
        <v>169</v>
      </c>
      <c r="B6" s="206" t="s">
        <v>170</v>
      </c>
      <c r="C6" s="206" t="s">
        <v>171</v>
      </c>
    </row>
    <row r="7" spans="1:3" ht="15" thickBot="1" x14ac:dyDescent="0.4">
      <c r="A7" s="209" t="s">
        <v>172</v>
      </c>
      <c r="B7" s="206" t="s">
        <v>160</v>
      </c>
      <c r="C7" s="206" t="s">
        <v>173</v>
      </c>
    </row>
    <row r="8" spans="1:3" ht="15" thickBot="1" x14ac:dyDescent="0.4">
      <c r="A8" s="209" t="s">
        <v>174</v>
      </c>
      <c r="B8" s="206" t="s">
        <v>175</v>
      </c>
      <c r="C8" s="206" t="s">
        <v>176</v>
      </c>
    </row>
    <row r="9" spans="1:3" x14ac:dyDescent="0.35">
      <c r="A9" s="210" t="s">
        <v>177</v>
      </c>
      <c r="B9" s="259" t="s">
        <v>178</v>
      </c>
      <c r="C9" s="259" t="s">
        <v>179</v>
      </c>
    </row>
    <row r="10" spans="1:3" ht="15" thickBot="1" x14ac:dyDescent="0.4">
      <c r="A10" s="210" t="s">
        <v>309</v>
      </c>
      <c r="B10" s="260"/>
      <c r="C10" s="260"/>
    </row>
    <row r="11" spans="1:3" x14ac:dyDescent="0.35">
      <c r="A11" s="210" t="s">
        <v>177</v>
      </c>
      <c r="B11" s="259" t="s">
        <v>180</v>
      </c>
      <c r="C11" s="259" t="s">
        <v>181</v>
      </c>
    </row>
    <row r="12" spans="1:3" ht="15" thickBot="1" x14ac:dyDescent="0.4">
      <c r="A12" s="210" t="s">
        <v>309</v>
      </c>
      <c r="B12" s="260"/>
      <c r="C12" s="260"/>
    </row>
    <row r="13" spans="1:3" x14ac:dyDescent="0.35">
      <c r="A13" s="210" t="s">
        <v>177</v>
      </c>
      <c r="B13" s="259" t="s">
        <v>180</v>
      </c>
      <c r="C13" s="259" t="s">
        <v>182</v>
      </c>
    </row>
    <row r="14" spans="1:3" x14ac:dyDescent="0.35">
      <c r="A14" s="210" t="s">
        <v>309</v>
      </c>
      <c r="B14" s="260"/>
      <c r="C14" s="260"/>
    </row>
    <row r="15" spans="1:3" ht="15" thickBot="1" x14ac:dyDescent="0.4">
      <c r="A15" s="209" t="s">
        <v>183</v>
      </c>
      <c r="B15" s="206" t="s">
        <v>160</v>
      </c>
      <c r="C15" s="206" t="s">
        <v>184</v>
      </c>
    </row>
    <row r="16" spans="1:3" ht="15" thickBot="1" x14ac:dyDescent="0.4">
      <c r="A16" s="209" t="s">
        <v>183</v>
      </c>
      <c r="B16" s="206" t="s">
        <v>160</v>
      </c>
      <c r="C16" s="206" t="s">
        <v>185</v>
      </c>
    </row>
    <row r="17" spans="1:3" ht="15" thickBot="1" x14ac:dyDescent="0.4">
      <c r="A17" s="209" t="s">
        <v>327</v>
      </c>
      <c r="B17" s="206" t="s">
        <v>163</v>
      </c>
      <c r="C17" s="206" t="s">
        <v>186</v>
      </c>
    </row>
    <row r="18" spans="1:3" ht="15" thickBot="1" x14ac:dyDescent="0.4">
      <c r="A18" s="209" t="s">
        <v>187</v>
      </c>
      <c r="B18" s="206" t="s">
        <v>163</v>
      </c>
      <c r="C18" s="206" t="s">
        <v>188</v>
      </c>
    </row>
    <row r="19" spans="1:3" ht="15" thickBot="1" x14ac:dyDescent="0.4">
      <c r="A19" s="209" t="s">
        <v>189</v>
      </c>
      <c r="B19" s="206" t="s">
        <v>163</v>
      </c>
      <c r="C19" s="206" t="s">
        <v>190</v>
      </c>
    </row>
    <row r="20" spans="1:3" ht="15" thickBot="1" x14ac:dyDescent="0.4">
      <c r="A20" s="209" t="s">
        <v>189</v>
      </c>
      <c r="B20" s="206" t="s">
        <v>163</v>
      </c>
      <c r="C20" s="206" t="s">
        <v>191</v>
      </c>
    </row>
    <row r="21" spans="1:3" ht="15" thickBot="1" x14ac:dyDescent="0.4">
      <c r="A21" s="209" t="s">
        <v>189</v>
      </c>
      <c r="B21" s="206" t="s">
        <v>163</v>
      </c>
      <c r="C21" s="206" t="s">
        <v>192</v>
      </c>
    </row>
    <row r="22" spans="1:3" ht="15" thickBot="1" x14ac:dyDescent="0.4">
      <c r="A22" s="209" t="s">
        <v>193</v>
      </c>
      <c r="B22" s="206" t="s">
        <v>163</v>
      </c>
      <c r="C22" s="206" t="s">
        <v>194</v>
      </c>
    </row>
    <row r="23" spans="1:3" ht="15" thickBot="1" x14ac:dyDescent="0.4">
      <c r="A23" s="209" t="s">
        <v>195</v>
      </c>
      <c r="B23" s="206" t="s">
        <v>163</v>
      </c>
      <c r="C23" s="206" t="s">
        <v>196</v>
      </c>
    </row>
    <row r="24" spans="1:3" ht="15" thickBot="1" x14ac:dyDescent="0.4">
      <c r="A24" s="209" t="s">
        <v>197</v>
      </c>
      <c r="B24" s="206" t="s">
        <v>163</v>
      </c>
      <c r="C24" s="206" t="s">
        <v>198</v>
      </c>
    </row>
    <row r="25" spans="1:3" ht="15" thickBot="1" x14ac:dyDescent="0.4">
      <c r="A25" s="209" t="s">
        <v>199</v>
      </c>
      <c r="B25" s="206" t="s">
        <v>163</v>
      </c>
      <c r="C25" s="206" t="s">
        <v>200</v>
      </c>
    </row>
    <row r="26" spans="1:3" ht="15" thickBot="1" x14ac:dyDescent="0.4">
      <c r="A26" s="209" t="s">
        <v>201</v>
      </c>
      <c r="B26" s="206" t="s">
        <v>170</v>
      </c>
      <c r="C26" s="206" t="s">
        <v>202</v>
      </c>
    </row>
    <row r="27" spans="1:3" ht="38" thickBot="1" x14ac:dyDescent="0.4">
      <c r="A27" s="209" t="s">
        <v>320</v>
      </c>
      <c r="B27" s="206" t="s">
        <v>203</v>
      </c>
      <c r="C27" s="206" t="s">
        <v>204</v>
      </c>
    </row>
    <row r="28" spans="1:3" ht="15" thickBot="1" x14ac:dyDescent="0.4">
      <c r="A28" s="221" t="s">
        <v>205</v>
      </c>
      <c r="B28" s="206" t="s">
        <v>203</v>
      </c>
      <c r="C28" s="206" t="s">
        <v>206</v>
      </c>
    </row>
    <row r="29" spans="1:3" ht="15" thickBot="1" x14ac:dyDescent="0.4">
      <c r="A29" s="221" t="s">
        <v>205</v>
      </c>
      <c r="B29" s="206" t="s">
        <v>203</v>
      </c>
      <c r="C29" s="206" t="s">
        <v>207</v>
      </c>
    </row>
    <row r="30" spans="1:3" ht="15" thickBot="1" x14ac:dyDescent="0.4">
      <c r="A30" s="221" t="s">
        <v>208</v>
      </c>
      <c r="B30" s="206" t="s">
        <v>203</v>
      </c>
      <c r="C30" s="206" t="s">
        <v>209</v>
      </c>
    </row>
    <row r="31" spans="1:3" ht="15" thickBot="1" x14ac:dyDescent="0.4">
      <c r="A31" s="221" t="s">
        <v>210</v>
      </c>
      <c r="B31" s="206" t="s">
        <v>203</v>
      </c>
      <c r="C31" s="206" t="s">
        <v>211</v>
      </c>
    </row>
    <row r="32" spans="1:3" ht="15" thickBot="1" x14ac:dyDescent="0.4">
      <c r="A32" s="209" t="s">
        <v>212</v>
      </c>
      <c r="B32" s="206" t="s">
        <v>203</v>
      </c>
      <c r="C32" s="206" t="s">
        <v>213</v>
      </c>
    </row>
    <row r="33" spans="1:3" ht="15" thickBot="1" x14ac:dyDescent="0.4">
      <c r="A33" s="209" t="s">
        <v>214</v>
      </c>
      <c r="B33" s="206" t="s">
        <v>215</v>
      </c>
      <c r="C33" s="206" t="s">
        <v>216</v>
      </c>
    </row>
    <row r="34" spans="1:3" ht="15" thickBot="1" x14ac:dyDescent="0.4">
      <c r="A34" s="209" t="s">
        <v>217</v>
      </c>
      <c r="B34" s="206" t="s">
        <v>215</v>
      </c>
      <c r="C34" s="206" t="s">
        <v>218</v>
      </c>
    </row>
    <row r="35" spans="1:3" ht="15" thickBot="1" x14ac:dyDescent="0.4">
      <c r="A35" s="209" t="s">
        <v>219</v>
      </c>
      <c r="B35" s="206" t="s">
        <v>215</v>
      </c>
      <c r="C35" s="206" t="s">
        <v>220</v>
      </c>
    </row>
    <row r="36" spans="1:3" ht="15" thickBot="1" x14ac:dyDescent="0.4">
      <c r="A36" s="209" t="s">
        <v>221</v>
      </c>
      <c r="B36" s="206" t="s">
        <v>215</v>
      </c>
      <c r="C36" s="206" t="s">
        <v>222</v>
      </c>
    </row>
    <row r="37" spans="1:3" ht="15" thickBot="1" x14ac:dyDescent="0.4">
      <c r="A37" s="209" t="s">
        <v>223</v>
      </c>
      <c r="B37" s="206" t="s">
        <v>224</v>
      </c>
      <c r="C37" s="206" t="s">
        <v>225</v>
      </c>
    </row>
    <row r="38" spans="1:3" ht="15" thickBot="1" x14ac:dyDescent="0.4">
      <c r="A38" s="209" t="s">
        <v>226</v>
      </c>
      <c r="B38" s="206" t="s">
        <v>224</v>
      </c>
      <c r="C38" s="206" t="s">
        <v>227</v>
      </c>
    </row>
    <row r="39" spans="1:3" ht="15" thickBot="1" x14ac:dyDescent="0.4">
      <c r="A39" s="209" t="s">
        <v>228</v>
      </c>
      <c r="B39" s="206" t="s">
        <v>160</v>
      </c>
      <c r="C39" s="206" t="s">
        <v>229</v>
      </c>
    </row>
    <row r="40" spans="1:3" ht="15" thickBot="1" x14ac:dyDescent="0.4">
      <c r="A40" s="209" t="s">
        <v>230</v>
      </c>
      <c r="B40" s="206" t="s">
        <v>231</v>
      </c>
      <c r="C40" s="206" t="s">
        <v>232</v>
      </c>
    </row>
    <row r="41" spans="1:3" ht="25.5" thickBot="1" x14ac:dyDescent="0.4">
      <c r="A41" s="209" t="s">
        <v>233</v>
      </c>
      <c r="B41" s="206" t="s">
        <v>234</v>
      </c>
      <c r="C41" s="206" t="s">
        <v>235</v>
      </c>
    </row>
    <row r="42" spans="1:3" ht="15" thickBot="1" x14ac:dyDescent="0.4">
      <c r="A42" s="209" t="s">
        <v>236</v>
      </c>
      <c r="B42" s="206" t="s">
        <v>234</v>
      </c>
      <c r="C42" s="206" t="s">
        <v>237</v>
      </c>
    </row>
    <row r="43" spans="1:3" ht="15" thickBot="1" x14ac:dyDescent="0.4">
      <c r="A43" s="209" t="s">
        <v>238</v>
      </c>
      <c r="B43" s="206" t="s">
        <v>234</v>
      </c>
      <c r="C43" s="206" t="s">
        <v>239</v>
      </c>
    </row>
    <row r="44" spans="1:3" ht="15" thickBot="1" x14ac:dyDescent="0.4">
      <c r="A44" s="209" t="s">
        <v>240</v>
      </c>
      <c r="B44" s="206" t="s">
        <v>241</v>
      </c>
      <c r="C44" s="206" t="s">
        <v>171</v>
      </c>
    </row>
    <row r="45" spans="1:3" ht="15" thickBot="1" x14ac:dyDescent="0.4">
      <c r="A45" s="209" t="s">
        <v>242</v>
      </c>
      <c r="B45" s="206" t="s">
        <v>241</v>
      </c>
      <c r="C45" s="206" t="s">
        <v>229</v>
      </c>
    </row>
    <row r="46" spans="1:3" ht="15" thickBot="1" x14ac:dyDescent="0.4">
      <c r="A46" s="209" t="s">
        <v>183</v>
      </c>
      <c r="B46" s="206" t="s">
        <v>243</v>
      </c>
      <c r="C46" s="206" t="s">
        <v>244</v>
      </c>
    </row>
    <row r="47" spans="1:3" ht="15" thickBot="1" x14ac:dyDescent="0.4">
      <c r="A47" s="209" t="s">
        <v>183</v>
      </c>
      <c r="B47" s="206" t="s">
        <v>241</v>
      </c>
      <c r="C47" s="206" t="s">
        <v>245</v>
      </c>
    </row>
    <row r="48" spans="1:3" ht="15" thickBot="1" x14ac:dyDescent="0.4">
      <c r="A48" s="209" t="s">
        <v>242</v>
      </c>
      <c r="B48" s="206" t="s">
        <v>241</v>
      </c>
      <c r="C48" s="206" t="s">
        <v>246</v>
      </c>
    </row>
    <row r="49" spans="1:3" ht="15" thickBot="1" x14ac:dyDescent="0.4">
      <c r="A49" s="209" t="s">
        <v>183</v>
      </c>
      <c r="B49" s="206" t="s">
        <v>241</v>
      </c>
      <c r="C49" s="206" t="s">
        <v>247</v>
      </c>
    </row>
    <row r="50" spans="1:3" ht="15" thickBot="1" x14ac:dyDescent="0.4">
      <c r="A50" s="209" t="s">
        <v>248</v>
      </c>
      <c r="B50" s="206" t="s">
        <v>163</v>
      </c>
      <c r="C50" s="206" t="s">
        <v>249</v>
      </c>
    </row>
    <row r="51" spans="1:3" ht="15" thickBot="1" x14ac:dyDescent="0.4">
      <c r="A51" s="209" t="s">
        <v>242</v>
      </c>
      <c r="B51" s="206" t="s">
        <v>241</v>
      </c>
      <c r="C51" s="206" t="s">
        <v>250</v>
      </c>
    </row>
    <row r="52" spans="1:3" ht="15" thickBot="1" x14ac:dyDescent="0.4">
      <c r="A52" s="209" t="s">
        <v>228</v>
      </c>
      <c r="B52" s="206" t="s">
        <v>241</v>
      </c>
      <c r="C52" s="206" t="s">
        <v>251</v>
      </c>
    </row>
    <row r="53" spans="1:3" ht="15" thickBot="1" x14ac:dyDescent="0.4">
      <c r="A53" s="209" t="s">
        <v>252</v>
      </c>
      <c r="B53" s="206" t="s">
        <v>241</v>
      </c>
      <c r="C53" s="206" t="s">
        <v>161</v>
      </c>
    </row>
    <row r="54" spans="1:3" ht="15" thickBot="1" x14ac:dyDescent="0.4">
      <c r="A54" s="209" t="s">
        <v>252</v>
      </c>
      <c r="B54" s="206" t="s">
        <v>241</v>
      </c>
      <c r="C54" s="206" t="s">
        <v>253</v>
      </c>
    </row>
    <row r="55" spans="1:3" ht="15" thickBot="1" x14ac:dyDescent="0.4">
      <c r="A55" s="209" t="s">
        <v>254</v>
      </c>
      <c r="B55" s="206" t="s">
        <v>255</v>
      </c>
      <c r="C55" s="206" t="s">
        <v>256</v>
      </c>
    </row>
    <row r="56" spans="1:3" ht="15" thickBot="1" x14ac:dyDescent="0.4">
      <c r="A56" s="209" t="s">
        <v>257</v>
      </c>
      <c r="B56" s="206" t="s">
        <v>163</v>
      </c>
      <c r="C56" s="206" t="s">
        <v>258</v>
      </c>
    </row>
    <row r="57" spans="1:3" ht="15" thickBot="1" x14ac:dyDescent="0.4">
      <c r="A57" s="209" t="s">
        <v>257</v>
      </c>
      <c r="B57" s="206" t="s">
        <v>163</v>
      </c>
      <c r="C57" s="206" t="s">
        <v>259</v>
      </c>
    </row>
    <row r="58" spans="1:3" ht="15" thickBot="1" x14ac:dyDescent="0.4">
      <c r="A58" s="209" t="s">
        <v>257</v>
      </c>
      <c r="B58" s="206" t="s">
        <v>163</v>
      </c>
      <c r="C58" s="206" t="s">
        <v>260</v>
      </c>
    </row>
    <row r="59" spans="1:3" ht="15" thickBot="1" x14ac:dyDescent="0.4">
      <c r="A59" s="209" t="s">
        <v>257</v>
      </c>
      <c r="B59" s="206" t="s">
        <v>261</v>
      </c>
      <c r="C59" s="206" t="s">
        <v>262</v>
      </c>
    </row>
    <row r="60" spans="1:3" ht="15" thickBot="1" x14ac:dyDescent="0.4">
      <c r="A60" s="209" t="s">
        <v>238</v>
      </c>
      <c r="B60" s="206" t="s">
        <v>261</v>
      </c>
      <c r="C60" s="206" t="s">
        <v>263</v>
      </c>
    </row>
    <row r="61" spans="1:3" ht="15" thickBot="1" x14ac:dyDescent="0.4">
      <c r="A61" s="209" t="s">
        <v>264</v>
      </c>
      <c r="B61" s="206" t="s">
        <v>265</v>
      </c>
      <c r="C61" s="206" t="s">
        <v>266</v>
      </c>
    </row>
    <row r="62" spans="1:3" ht="15" thickBot="1" x14ac:dyDescent="0.4">
      <c r="A62" s="209" t="s">
        <v>264</v>
      </c>
      <c r="B62" s="206" t="s">
        <v>265</v>
      </c>
      <c r="C62" s="206" t="s">
        <v>267</v>
      </c>
    </row>
    <row r="63" spans="1:3" ht="15" thickBot="1" x14ac:dyDescent="0.4">
      <c r="A63" s="209" t="s">
        <v>268</v>
      </c>
      <c r="B63" s="206" t="s">
        <v>203</v>
      </c>
      <c r="C63" s="206" t="s">
        <v>269</v>
      </c>
    </row>
    <row r="64" spans="1:3" ht="15" thickBot="1" x14ac:dyDescent="0.4">
      <c r="A64" s="209" t="s">
        <v>270</v>
      </c>
      <c r="B64" s="206" t="s">
        <v>203</v>
      </c>
      <c r="C64" s="206" t="s">
        <v>271</v>
      </c>
    </row>
    <row r="65" spans="1:3" ht="15" thickBot="1" x14ac:dyDescent="0.4">
      <c r="A65" s="209" t="s">
        <v>272</v>
      </c>
      <c r="B65" s="206" t="s">
        <v>273</v>
      </c>
      <c r="C65" s="206" t="s">
        <v>274</v>
      </c>
    </row>
    <row r="66" spans="1:3" ht="15" thickBot="1" x14ac:dyDescent="0.4">
      <c r="A66" s="209" t="s">
        <v>272</v>
      </c>
      <c r="B66" s="206" t="s">
        <v>273</v>
      </c>
      <c r="C66" s="206" t="s">
        <v>275</v>
      </c>
    </row>
    <row r="67" spans="1:3" ht="15" thickBot="1" x14ac:dyDescent="0.4">
      <c r="A67" s="221" t="s">
        <v>325</v>
      </c>
      <c r="B67" s="206" t="s">
        <v>273</v>
      </c>
      <c r="C67" s="206" t="s">
        <v>276</v>
      </c>
    </row>
    <row r="68" spans="1:3" ht="15" thickBot="1" x14ac:dyDescent="0.4">
      <c r="A68" s="221" t="s">
        <v>277</v>
      </c>
      <c r="B68" s="206" t="s">
        <v>273</v>
      </c>
      <c r="C68" s="206" t="s">
        <v>278</v>
      </c>
    </row>
    <row r="69" spans="1:3" ht="15" thickBot="1" x14ac:dyDescent="0.4">
      <c r="A69" s="209" t="s">
        <v>279</v>
      </c>
      <c r="B69" s="206" t="s">
        <v>280</v>
      </c>
      <c r="C69" s="206" t="s">
        <v>281</v>
      </c>
    </row>
    <row r="70" spans="1:3" ht="15" thickBot="1" x14ac:dyDescent="0.4">
      <c r="A70" s="209" t="s">
        <v>282</v>
      </c>
      <c r="B70" s="206" t="s">
        <v>163</v>
      </c>
      <c r="C70" s="206" t="s">
        <v>283</v>
      </c>
    </row>
    <row r="71" spans="1:3" ht="15" thickBot="1" x14ac:dyDescent="0.4">
      <c r="A71" s="209" t="s">
        <v>238</v>
      </c>
      <c r="B71" s="206" t="s">
        <v>163</v>
      </c>
      <c r="C71" s="206" t="s">
        <v>284</v>
      </c>
    </row>
    <row r="72" spans="1:3" ht="15" thickBot="1" x14ac:dyDescent="0.4">
      <c r="A72" s="209" t="s">
        <v>252</v>
      </c>
      <c r="B72" s="206" t="s">
        <v>241</v>
      </c>
      <c r="C72" s="206" t="s">
        <v>285</v>
      </c>
    </row>
    <row r="73" spans="1:3" ht="15" thickBot="1" x14ac:dyDescent="0.4">
      <c r="A73" s="209" t="s">
        <v>238</v>
      </c>
      <c r="B73" s="206" t="s">
        <v>286</v>
      </c>
      <c r="C73" s="206" t="s">
        <v>287</v>
      </c>
    </row>
    <row r="74" spans="1:3" ht="15" thickBot="1" x14ac:dyDescent="0.4">
      <c r="A74" s="221" t="s">
        <v>277</v>
      </c>
      <c r="B74" s="207" t="s">
        <v>273</v>
      </c>
      <c r="C74" s="207" t="s">
        <v>289</v>
      </c>
    </row>
    <row r="75" spans="1:3" ht="15" thickBot="1" x14ac:dyDescent="0.4">
      <c r="A75" s="221" t="s">
        <v>277</v>
      </c>
      <c r="B75" s="207" t="s">
        <v>273</v>
      </c>
      <c r="C75" s="207" t="s">
        <v>290</v>
      </c>
    </row>
    <row r="76" spans="1:3" ht="15" thickBot="1" x14ac:dyDescent="0.4">
      <c r="A76" s="221" t="s">
        <v>277</v>
      </c>
      <c r="B76" s="207" t="s">
        <v>273</v>
      </c>
      <c r="C76" s="207" t="s">
        <v>291</v>
      </c>
    </row>
    <row r="77" spans="1:3" ht="15" thickBot="1" x14ac:dyDescent="0.4">
      <c r="A77" s="209" t="s">
        <v>288</v>
      </c>
      <c r="B77" s="207" t="s">
        <v>160</v>
      </c>
      <c r="C77" s="207" t="s">
        <v>292</v>
      </c>
    </row>
    <row r="78" spans="1:3" ht="15" thickBot="1" x14ac:dyDescent="0.4">
      <c r="A78" s="209" t="s">
        <v>288</v>
      </c>
      <c r="B78" s="207" t="s">
        <v>234</v>
      </c>
      <c r="C78" s="207" t="s">
        <v>293</v>
      </c>
    </row>
    <row r="79" spans="1:3" ht="15" thickBot="1" x14ac:dyDescent="0.4">
      <c r="A79" s="209" t="s">
        <v>288</v>
      </c>
      <c r="B79" s="207" t="s">
        <v>234</v>
      </c>
      <c r="C79" s="207" t="s">
        <v>294</v>
      </c>
    </row>
    <row r="80" spans="1:3" ht="15" thickBot="1" x14ac:dyDescent="0.4">
      <c r="A80" s="221" t="s">
        <v>177</v>
      </c>
      <c r="B80" s="207" t="s">
        <v>178</v>
      </c>
      <c r="C80" s="207" t="s">
        <v>295</v>
      </c>
    </row>
    <row r="81" spans="1:3" ht="15" thickBot="1" x14ac:dyDescent="0.4">
      <c r="A81" s="209" t="s">
        <v>288</v>
      </c>
      <c r="B81" s="207" t="s">
        <v>170</v>
      </c>
      <c r="C81" s="207" t="s">
        <v>296</v>
      </c>
    </row>
    <row r="82" spans="1:3" ht="15" thickBot="1" x14ac:dyDescent="0.4">
      <c r="A82" s="209" t="s">
        <v>219</v>
      </c>
      <c r="B82" s="207" t="s">
        <v>215</v>
      </c>
      <c r="C82" s="207" t="s">
        <v>220</v>
      </c>
    </row>
    <row r="83" spans="1:3" ht="15" thickBot="1" x14ac:dyDescent="0.4">
      <c r="A83" s="209" t="s">
        <v>221</v>
      </c>
      <c r="B83" s="207" t="s">
        <v>215</v>
      </c>
      <c r="C83" s="207" t="s">
        <v>222</v>
      </c>
    </row>
    <row r="84" spans="1:3" ht="15" thickBot="1" x14ac:dyDescent="0.4">
      <c r="A84" s="209" t="s">
        <v>288</v>
      </c>
      <c r="B84" s="207" t="s">
        <v>203</v>
      </c>
      <c r="C84" s="207" t="s">
        <v>297</v>
      </c>
    </row>
    <row r="85" spans="1:3" ht="15" thickBot="1" x14ac:dyDescent="0.4">
      <c r="A85" s="209" t="s">
        <v>288</v>
      </c>
      <c r="B85" s="207" t="s">
        <v>203</v>
      </c>
      <c r="C85" s="207" t="s">
        <v>298</v>
      </c>
    </row>
    <row r="86" spans="1:3" ht="15" thickBot="1" x14ac:dyDescent="0.4">
      <c r="A86" s="209" t="s">
        <v>288</v>
      </c>
      <c r="B86" s="207" t="s">
        <v>203</v>
      </c>
      <c r="C86" s="207" t="s">
        <v>299</v>
      </c>
    </row>
    <row r="87" spans="1:3" ht="15" thickBot="1" x14ac:dyDescent="0.4">
      <c r="A87" s="209" t="s">
        <v>288</v>
      </c>
      <c r="B87" s="207" t="s">
        <v>300</v>
      </c>
      <c r="C87" s="207" t="s">
        <v>301</v>
      </c>
    </row>
    <row r="88" spans="1:3" ht="15" thickBot="1" x14ac:dyDescent="0.4">
      <c r="A88" s="209" t="s">
        <v>288</v>
      </c>
      <c r="B88" s="207" t="s">
        <v>300</v>
      </c>
      <c r="C88" s="207" t="s">
        <v>302</v>
      </c>
    </row>
    <row r="89" spans="1:3" ht="15" thickBot="1" x14ac:dyDescent="0.4">
      <c r="A89" s="209" t="s">
        <v>288</v>
      </c>
      <c r="B89" s="207" t="s">
        <v>300</v>
      </c>
      <c r="C89" s="207" t="s">
        <v>303</v>
      </c>
    </row>
    <row r="90" spans="1:3" ht="15" thickBot="1" x14ac:dyDescent="0.4">
      <c r="A90" s="209" t="s">
        <v>288</v>
      </c>
      <c r="B90" s="207" t="s">
        <v>255</v>
      </c>
      <c r="C90" s="206" t="s">
        <v>256</v>
      </c>
    </row>
    <row r="91" spans="1:3" ht="15" thickBot="1" x14ac:dyDescent="0.4">
      <c r="A91" s="209" t="s">
        <v>288</v>
      </c>
      <c r="B91" s="206" t="s">
        <v>280</v>
      </c>
      <c r="C91" s="206" t="s">
        <v>281</v>
      </c>
    </row>
    <row r="92" spans="1:3" ht="30.65" customHeight="1" thickBot="1" x14ac:dyDescent="0.4">
      <c r="A92" s="209" t="s">
        <v>288</v>
      </c>
      <c r="B92" s="206" t="s">
        <v>286</v>
      </c>
      <c r="C92" s="206" t="s">
        <v>287</v>
      </c>
    </row>
    <row r="93" spans="1:3" ht="15" thickBot="1" x14ac:dyDescent="0.4">
      <c r="A93" s="221" t="s">
        <v>323</v>
      </c>
      <c r="B93" s="206" t="s">
        <v>305</v>
      </c>
      <c r="C93" s="206" t="s">
        <v>306</v>
      </c>
    </row>
    <row r="94" spans="1:3" ht="15" thickBot="1" x14ac:dyDescent="0.4">
      <c r="A94" s="209" t="s">
        <v>304</v>
      </c>
      <c r="B94" s="206" t="s">
        <v>307</v>
      </c>
      <c r="C94" s="206" t="s">
        <v>308</v>
      </c>
    </row>
  </sheetData>
  <autoFilter ref="A1:C94"/>
  <mergeCells count="6">
    <mergeCell ref="B9:B10"/>
    <mergeCell ref="C9:C10"/>
    <mergeCell ref="B11:B12"/>
    <mergeCell ref="C11:C12"/>
    <mergeCell ref="B13:B14"/>
    <mergeCell ref="C13:C14"/>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Plages nommées</vt:lpstr>
      </vt:variant>
      <vt:variant>
        <vt:i4>12</vt:i4>
      </vt:variant>
    </vt:vector>
  </HeadingPairs>
  <TitlesOfParts>
    <vt:vector size="22" baseType="lpstr">
      <vt:lpstr>Recap UO</vt:lpstr>
      <vt:lpstr>Début</vt:lpstr>
      <vt:lpstr>Catalogue</vt:lpstr>
      <vt:lpstr>Analyse fonctionnelle</vt:lpstr>
      <vt:lpstr>UO</vt:lpstr>
      <vt:lpstr>Paramétrage</vt:lpstr>
      <vt:lpstr>Charges &amp; coûts</vt:lpstr>
      <vt:lpstr>CEP</vt:lpstr>
      <vt:lpstr>EJB</vt:lpstr>
      <vt:lpstr>Feuil1</vt:lpstr>
      <vt:lpstr>Apport_Affaire</vt:lpstr>
      <vt:lpstr>CAProd</vt:lpstr>
      <vt:lpstr>Forfait_correctif</vt:lpstr>
      <vt:lpstr>Marge_AV</vt:lpstr>
      <vt:lpstr>Marge_Cible</vt:lpstr>
      <vt:lpstr>Marge_Nette_Prevue</vt:lpstr>
      <vt:lpstr>Marge_Prod_Axones</vt:lpstr>
      <vt:lpstr>Marge_Prod_SSTrait</vt:lpstr>
      <vt:lpstr>PPR</vt:lpstr>
      <vt:lpstr>PTU</vt:lpstr>
      <vt:lpstr>Remise</vt:lpstr>
      <vt:lpstr>Suffixe_UO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DECUGIS VINCENT</dc:creator>
  <cp:lastModifiedBy>GUEMMAR Mehdi</cp:lastModifiedBy>
  <cp:lastPrinted>2014-02-04T14:09:54Z</cp:lastPrinted>
  <dcterms:created xsi:type="dcterms:W3CDTF">2011-02-03T19:14:23Z</dcterms:created>
  <dcterms:modified xsi:type="dcterms:W3CDTF">2017-05-05T09:18:09Z</dcterms:modified>
</cp:coreProperties>
</file>