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59dae56fccce24/Dokumenty/Wiki/Martin819Bot/"/>
    </mc:Choice>
  </mc:AlternateContent>
  <xr:revisionPtr revIDLastSave="0" documentId="8_{D427F332-D57E-4F73-A020-02B40E7B4A4E}" xr6:coauthVersionLast="45" xr6:coauthVersionMax="45" xr10:uidLastSave="{00000000-0000-0000-0000-000000000000}"/>
  <bookViews>
    <workbookView xWindow="-110" yWindow="-110" windowWidth="25820" windowHeight="14160" xr2:uid="{E74F8CE8-F6EB-4603-8947-E7EC9F288478}"/>
  </bookViews>
  <sheets>
    <sheet name="Sheet2" sheetId="2" r:id="rId1"/>
    <sheet name="Sheet1" sheetId="1" r:id="rId2"/>
  </sheets>
  <definedNames>
    <definedName name="ExternalData_1" localSheetId="0" hidden="1">Sheet2!$A$1:$DF$2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5" i="2" l="1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CB13" i="2"/>
  <c r="CC13" i="2"/>
  <c r="CD13" i="2"/>
  <c r="CE13" i="2"/>
  <c r="CF13" i="2"/>
  <c r="CG13" i="2"/>
  <c r="CH13" i="2"/>
  <c r="CI13" i="2"/>
  <c r="CJ13" i="2"/>
  <c r="CK13" i="2"/>
  <c r="CL13" i="2"/>
  <c r="CM13" i="2"/>
  <c r="CN13" i="2"/>
  <c r="CO13" i="2"/>
  <c r="CP13" i="2"/>
  <c r="CQ13" i="2"/>
  <c r="CR13" i="2"/>
  <c r="CS13" i="2"/>
  <c r="CT13" i="2"/>
  <c r="CU13" i="2"/>
  <c r="CV13" i="2"/>
  <c r="CW13" i="2"/>
  <c r="CX13" i="2"/>
  <c r="CY13" i="2"/>
  <c r="CZ13" i="2"/>
  <c r="DA13" i="2"/>
  <c r="DB13" i="2"/>
  <c r="DC13" i="2"/>
  <c r="DD13" i="2"/>
  <c r="DE13" i="2"/>
  <c r="DF13" i="2"/>
  <c r="A13" i="2"/>
  <c r="DF11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CI9" i="2"/>
  <c r="CJ9" i="2"/>
  <c r="CK9" i="2"/>
  <c r="CL9" i="2"/>
  <c r="CM9" i="2"/>
  <c r="CN9" i="2"/>
  <c r="CO9" i="2"/>
  <c r="CP9" i="2"/>
  <c r="CQ9" i="2"/>
  <c r="CR9" i="2"/>
  <c r="CS9" i="2"/>
  <c r="CT9" i="2"/>
  <c r="CU9" i="2"/>
  <c r="CV9" i="2"/>
  <c r="CW9" i="2"/>
  <c r="CX9" i="2"/>
  <c r="CY9" i="2"/>
  <c r="CZ9" i="2"/>
  <c r="DA9" i="2"/>
  <c r="DB9" i="2"/>
  <c r="DC9" i="2"/>
  <c r="DD9" i="2"/>
  <c r="DE9" i="2"/>
  <c r="DF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W10" i="2"/>
  <c r="BX10" i="2"/>
  <c r="BY10" i="2"/>
  <c r="BZ10" i="2"/>
  <c r="CA10" i="2"/>
  <c r="CB10" i="2"/>
  <c r="CC10" i="2"/>
  <c r="CD10" i="2"/>
  <c r="CE10" i="2"/>
  <c r="CF10" i="2"/>
  <c r="CG10" i="2"/>
  <c r="CH10" i="2"/>
  <c r="CI10" i="2"/>
  <c r="CJ10" i="2"/>
  <c r="CK10" i="2"/>
  <c r="CL10" i="2"/>
  <c r="CM10" i="2"/>
  <c r="CN10" i="2"/>
  <c r="CO10" i="2"/>
  <c r="CP10" i="2"/>
  <c r="CQ10" i="2"/>
  <c r="CR10" i="2"/>
  <c r="CS10" i="2"/>
  <c r="CT10" i="2"/>
  <c r="CU10" i="2"/>
  <c r="CV10" i="2"/>
  <c r="CW10" i="2"/>
  <c r="CX10" i="2"/>
  <c r="CY10" i="2"/>
  <c r="CZ10" i="2"/>
  <c r="DA10" i="2"/>
  <c r="DB10" i="2"/>
  <c r="DC10" i="2"/>
  <c r="DD10" i="2"/>
  <c r="DE10" i="2"/>
  <c r="DF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CB11" i="2"/>
  <c r="CC11" i="2"/>
  <c r="CD11" i="2"/>
  <c r="CE11" i="2"/>
  <c r="CF11" i="2"/>
  <c r="CG11" i="2"/>
  <c r="CH11" i="2"/>
  <c r="CI11" i="2"/>
  <c r="CJ11" i="2"/>
  <c r="CK11" i="2"/>
  <c r="CL11" i="2"/>
  <c r="CM11" i="2"/>
  <c r="CN11" i="2"/>
  <c r="CO11" i="2"/>
  <c r="CP11" i="2"/>
  <c r="CQ11" i="2"/>
  <c r="CR11" i="2"/>
  <c r="CS11" i="2"/>
  <c r="CT11" i="2"/>
  <c r="CU11" i="2"/>
  <c r="CV11" i="2"/>
  <c r="CW11" i="2"/>
  <c r="CX11" i="2"/>
  <c r="CY11" i="2"/>
  <c r="CZ11" i="2"/>
  <c r="DA11" i="2"/>
  <c r="DB11" i="2"/>
  <c r="DC11" i="2"/>
  <c r="DD11" i="2"/>
  <c r="DE11" i="2"/>
  <c r="A11" i="2"/>
  <c r="A10" i="2"/>
  <c r="A9" i="2"/>
  <c r="B8" i="2" a="1"/>
  <c r="B8" i="2" s="1"/>
  <c r="C8" i="2" a="1"/>
  <c r="C8" i="2"/>
  <c r="D8" i="2" a="1"/>
  <c r="D8" i="2" s="1"/>
  <c r="E8" i="2" a="1"/>
  <c r="E8" i="2"/>
  <c r="F8" i="2" a="1"/>
  <c r="F8" i="2" s="1"/>
  <c r="G8" i="2" a="1"/>
  <c r="G8" i="2"/>
  <c r="H8" i="2" a="1"/>
  <c r="H8" i="2" s="1"/>
  <c r="I8" i="2" a="1"/>
  <c r="I8" i="2"/>
  <c r="J8" i="2" a="1"/>
  <c r="J8" i="2" s="1"/>
  <c r="K8" i="2" a="1"/>
  <c r="K8" i="2"/>
  <c r="L8" i="2" a="1"/>
  <c r="L8" i="2" s="1"/>
  <c r="M8" i="2" a="1"/>
  <c r="M8" i="2"/>
  <c r="N8" i="2" a="1"/>
  <c r="N8" i="2" s="1"/>
  <c r="O8" i="2" a="1"/>
  <c r="O8" i="2"/>
  <c r="P8" i="2" a="1"/>
  <c r="P8" i="2" s="1"/>
  <c r="Q8" i="2" a="1"/>
  <c r="Q8" i="2"/>
  <c r="R8" i="2" a="1"/>
  <c r="R8" i="2" s="1"/>
  <c r="S8" i="2" a="1"/>
  <c r="S8" i="2"/>
  <c r="T8" i="2" a="1"/>
  <c r="T8" i="2" s="1"/>
  <c r="U8" i="2" a="1"/>
  <c r="U8" i="2"/>
  <c r="V8" i="2" a="1"/>
  <c r="V8" i="2" s="1"/>
  <c r="W8" i="2" a="1"/>
  <c r="W8" i="2"/>
  <c r="X8" i="2" a="1"/>
  <c r="X8" i="2" s="1"/>
  <c r="Y8" i="2" a="1"/>
  <c r="Y8" i="2"/>
  <c r="Z8" i="2" a="1"/>
  <c r="Z8" i="2" s="1"/>
  <c r="AA8" i="2" a="1"/>
  <c r="AA8" i="2"/>
  <c r="AB8" i="2" a="1"/>
  <c r="AB8" i="2" s="1"/>
  <c r="AC8" i="2" a="1"/>
  <c r="AC8" i="2"/>
  <c r="AD8" i="2" a="1"/>
  <c r="AD8" i="2" s="1"/>
  <c r="AE8" i="2" a="1"/>
  <c r="AE8" i="2"/>
  <c r="AF8" i="2" a="1"/>
  <c r="AF8" i="2" s="1"/>
  <c r="AG8" i="2" a="1"/>
  <c r="AG8" i="2"/>
  <c r="AH8" i="2" a="1"/>
  <c r="AH8" i="2" s="1"/>
  <c r="AI8" i="2" a="1"/>
  <c r="AI8" i="2"/>
  <c r="AJ8" i="2" a="1"/>
  <c r="AJ8" i="2" s="1"/>
  <c r="AK8" i="2" a="1"/>
  <c r="AK8" i="2"/>
  <c r="AL8" i="2" a="1"/>
  <c r="AL8" i="2" s="1"/>
  <c r="AM8" i="2" a="1"/>
  <c r="AM8" i="2"/>
  <c r="AN8" i="2" a="1"/>
  <c r="AN8" i="2" s="1"/>
  <c r="AO8" i="2" a="1"/>
  <c r="AO8" i="2"/>
  <c r="AP8" i="2" a="1"/>
  <c r="AP8" i="2" s="1"/>
  <c r="AQ8" i="2" a="1"/>
  <c r="AQ8" i="2"/>
  <c r="AR8" i="2" a="1"/>
  <c r="AR8" i="2" s="1"/>
  <c r="AS8" i="2" a="1"/>
  <c r="AS8" i="2"/>
  <c r="AT8" i="2" a="1"/>
  <c r="AT8" i="2" s="1"/>
  <c r="AU8" i="2" a="1"/>
  <c r="AU8" i="2"/>
  <c r="AV8" i="2" a="1"/>
  <c r="AV8" i="2" s="1"/>
  <c r="AW8" i="2" a="1"/>
  <c r="AW8" i="2"/>
  <c r="AX8" i="2" a="1"/>
  <c r="AX8" i="2" s="1"/>
  <c r="AY8" i="2" a="1"/>
  <c r="AY8" i="2"/>
  <c r="AZ8" i="2" a="1"/>
  <c r="AZ8" i="2" s="1"/>
  <c r="BA8" i="2" a="1"/>
  <c r="BA8" i="2"/>
  <c r="BB8" i="2" a="1"/>
  <c r="BB8" i="2" s="1"/>
  <c r="BC8" i="2" a="1"/>
  <c r="BC8" i="2"/>
  <c r="BD8" i="2" a="1"/>
  <c r="BD8" i="2" s="1"/>
  <c r="BE8" i="2" a="1"/>
  <c r="BE8" i="2"/>
  <c r="BF8" i="2" a="1"/>
  <c r="BF8" i="2" s="1"/>
  <c r="BG8" i="2" a="1"/>
  <c r="BG8" i="2"/>
  <c r="BH8" i="2" a="1"/>
  <c r="BH8" i="2" s="1"/>
  <c r="BI8" i="2" a="1"/>
  <c r="BI8" i="2"/>
  <c r="BJ8" i="2" a="1"/>
  <c r="BJ8" i="2" s="1"/>
  <c r="BK8" i="2" a="1"/>
  <c r="BK8" i="2"/>
  <c r="BL8" i="2" a="1"/>
  <c r="BL8" i="2" s="1"/>
  <c r="BM8" i="2" a="1"/>
  <c r="BM8" i="2"/>
  <c r="BN8" i="2" a="1"/>
  <c r="BN8" i="2" s="1"/>
  <c r="BO8" i="2" a="1"/>
  <c r="BO8" i="2"/>
  <c r="BP8" i="2" a="1"/>
  <c r="BP8" i="2" s="1"/>
  <c r="BQ8" i="2" a="1"/>
  <c r="BQ8" i="2"/>
  <c r="BR8" i="2" a="1"/>
  <c r="BR8" i="2" s="1"/>
  <c r="BS8" i="2" a="1"/>
  <c r="BS8" i="2"/>
  <c r="BT8" i="2" a="1"/>
  <c r="BT8" i="2" s="1"/>
  <c r="BU8" i="2" a="1"/>
  <c r="BU8" i="2"/>
  <c r="BV8" i="2" a="1"/>
  <c r="BV8" i="2" s="1"/>
  <c r="BW8" i="2" a="1"/>
  <c r="BW8" i="2"/>
  <c r="BX8" i="2" a="1"/>
  <c r="BX8" i="2" s="1"/>
  <c r="BY8" i="2" a="1"/>
  <c r="BY8" i="2"/>
  <c r="BZ8" i="2" a="1"/>
  <c r="BZ8" i="2" s="1"/>
  <c r="CA8" i="2" a="1"/>
  <c r="CA8" i="2"/>
  <c r="CB8" i="2" a="1"/>
  <c r="CB8" i="2" s="1"/>
  <c r="CC8" i="2" a="1"/>
  <c r="CC8" i="2"/>
  <c r="CD8" i="2" a="1"/>
  <c r="CD8" i="2" s="1"/>
  <c r="CE8" i="2" a="1"/>
  <c r="CE8" i="2"/>
  <c r="CF8" i="2" a="1"/>
  <c r="CF8" i="2" s="1"/>
  <c r="CG8" i="2" a="1"/>
  <c r="CG8" i="2"/>
  <c r="CH8" i="2" a="1"/>
  <c r="CH8" i="2" s="1"/>
  <c r="CI8" i="2" a="1"/>
  <c r="CI8" i="2"/>
  <c r="CJ8" i="2" a="1"/>
  <c r="CJ8" i="2" s="1"/>
  <c r="CK8" i="2" a="1"/>
  <c r="CK8" i="2"/>
  <c r="CL8" i="2" a="1"/>
  <c r="CL8" i="2" s="1"/>
  <c r="CM8" i="2" a="1"/>
  <c r="CM8" i="2"/>
  <c r="CN8" i="2" a="1"/>
  <c r="CN8" i="2" s="1"/>
  <c r="CO8" i="2" a="1"/>
  <c r="CO8" i="2"/>
  <c r="CP8" i="2" a="1"/>
  <c r="CP8" i="2" s="1"/>
  <c r="CQ8" i="2" a="1"/>
  <c r="CQ8" i="2"/>
  <c r="CR8" i="2" a="1"/>
  <c r="CR8" i="2" s="1"/>
  <c r="CS8" i="2" a="1"/>
  <c r="CS8" i="2"/>
  <c r="CT8" i="2" a="1"/>
  <c r="CT8" i="2" s="1"/>
  <c r="CU8" i="2" a="1"/>
  <c r="CU8" i="2"/>
  <c r="CV8" i="2" a="1"/>
  <c r="CV8" i="2" s="1"/>
  <c r="CW8" i="2" a="1"/>
  <c r="CW8" i="2"/>
  <c r="CX8" i="2" a="1"/>
  <c r="CX8" i="2" s="1"/>
  <c r="CY8" i="2" a="1"/>
  <c r="CY8" i="2"/>
  <c r="CZ8" i="2" a="1"/>
  <c r="CZ8" i="2" s="1"/>
  <c r="DA8" i="2" a="1"/>
  <c r="DA8" i="2"/>
  <c r="DB8" i="2" a="1"/>
  <c r="DB8" i="2" s="1"/>
  <c r="DC8" i="2" a="1"/>
  <c r="DC8" i="2"/>
  <c r="DD8" i="2" a="1"/>
  <c r="DD8" i="2" s="1"/>
  <c r="DE8" i="2" a="1"/>
  <c r="DE8" i="2"/>
  <c r="DF8" i="2" a="1"/>
  <c r="DF8" i="2" s="1"/>
  <c r="A8" i="2" a="1"/>
  <c r="A8" i="2" s="1"/>
  <c r="B5" i="2" a="1"/>
  <c r="B5" i="2" s="1"/>
  <c r="C5" i="2" a="1"/>
  <c r="C5" i="2"/>
  <c r="D5" i="2" a="1"/>
  <c r="D5" i="2" s="1"/>
  <c r="E5" i="2" a="1"/>
  <c r="E5" i="2"/>
  <c r="F5" i="2" a="1"/>
  <c r="F5" i="2" s="1"/>
  <c r="G5" i="2" a="1"/>
  <c r="G5" i="2"/>
  <c r="H5" i="2" a="1"/>
  <c r="H5" i="2" s="1"/>
  <c r="I5" i="2" a="1"/>
  <c r="I5" i="2"/>
  <c r="J5" i="2" a="1"/>
  <c r="J5" i="2" s="1"/>
  <c r="K5" i="2" a="1"/>
  <c r="K5" i="2"/>
  <c r="L5" i="2" a="1"/>
  <c r="L5" i="2" s="1"/>
  <c r="M5" i="2" a="1"/>
  <c r="M5" i="2"/>
  <c r="N5" i="2" a="1"/>
  <c r="N5" i="2" s="1"/>
  <c r="O5" i="2" a="1"/>
  <c r="O5" i="2"/>
  <c r="P5" i="2" a="1"/>
  <c r="P5" i="2" s="1"/>
  <c r="Q5" i="2" a="1"/>
  <c r="Q5" i="2"/>
  <c r="R5" i="2" a="1"/>
  <c r="R5" i="2" s="1"/>
  <c r="S5" i="2" a="1"/>
  <c r="S5" i="2"/>
  <c r="T5" i="2" a="1"/>
  <c r="T5" i="2" s="1"/>
  <c r="U5" i="2" a="1"/>
  <c r="U5" i="2"/>
  <c r="V5" i="2" a="1"/>
  <c r="V5" i="2" s="1"/>
  <c r="W5" i="2" a="1"/>
  <c r="W5" i="2"/>
  <c r="X5" i="2" a="1"/>
  <c r="X5" i="2" s="1"/>
  <c r="Y5" i="2" a="1"/>
  <c r="Y5" i="2"/>
  <c r="Z5" i="2" a="1"/>
  <c r="Z5" i="2" s="1"/>
  <c r="AA5" i="2" a="1"/>
  <c r="AA5" i="2"/>
  <c r="AB5" i="2" a="1"/>
  <c r="AB5" i="2" s="1"/>
  <c r="AC5" i="2" a="1"/>
  <c r="AC5" i="2"/>
  <c r="AD5" i="2" a="1"/>
  <c r="AD5" i="2" s="1"/>
  <c r="AE5" i="2" a="1"/>
  <c r="AE5" i="2"/>
  <c r="AF5" i="2" a="1"/>
  <c r="AF5" i="2" s="1"/>
  <c r="AG5" i="2" a="1"/>
  <c r="AG5" i="2"/>
  <c r="AH5" i="2" a="1"/>
  <c r="AH5" i="2" s="1"/>
  <c r="AI5" i="2" a="1"/>
  <c r="AI5" i="2"/>
  <c r="AJ5" i="2" a="1"/>
  <c r="AJ5" i="2" s="1"/>
  <c r="AK5" i="2" a="1"/>
  <c r="AK5" i="2"/>
  <c r="AL5" i="2" a="1"/>
  <c r="AL5" i="2" s="1"/>
  <c r="AM5" i="2" a="1"/>
  <c r="AM5" i="2"/>
  <c r="AN5" i="2" a="1"/>
  <c r="AN5" i="2" s="1"/>
  <c r="AO5" i="2" a="1"/>
  <c r="AO5" i="2"/>
  <c r="AP5" i="2" a="1"/>
  <c r="AP5" i="2" s="1"/>
  <c r="AQ5" i="2" a="1"/>
  <c r="AQ5" i="2"/>
  <c r="AR5" i="2" a="1"/>
  <c r="AR5" i="2" s="1"/>
  <c r="AS5" i="2" a="1"/>
  <c r="AS5" i="2"/>
  <c r="AT5" i="2" a="1"/>
  <c r="AT5" i="2" s="1"/>
  <c r="AU5" i="2" a="1"/>
  <c r="AU5" i="2"/>
  <c r="AV5" i="2" a="1"/>
  <c r="AV5" i="2" s="1"/>
  <c r="AW5" i="2" a="1"/>
  <c r="AW5" i="2"/>
  <c r="AX5" i="2" a="1"/>
  <c r="AX5" i="2" s="1"/>
  <c r="AY5" i="2" a="1"/>
  <c r="AY5" i="2"/>
  <c r="AZ5" i="2" a="1"/>
  <c r="AZ5" i="2" s="1"/>
  <c r="BA5" i="2" a="1"/>
  <c r="BA5" i="2"/>
  <c r="BB5" i="2" a="1"/>
  <c r="BB5" i="2" s="1"/>
  <c r="BC5" i="2" a="1"/>
  <c r="BC5" i="2"/>
  <c r="BD5" i="2" a="1"/>
  <c r="BD5" i="2" s="1"/>
  <c r="BE5" i="2" a="1"/>
  <c r="BE5" i="2"/>
  <c r="BF5" i="2" a="1"/>
  <c r="BF5" i="2" s="1"/>
  <c r="BG5" i="2" a="1"/>
  <c r="BG5" i="2"/>
  <c r="BH5" i="2" a="1"/>
  <c r="BH5" i="2" s="1"/>
  <c r="BI5" i="2" a="1"/>
  <c r="BI5" i="2"/>
  <c r="BJ5" i="2" a="1"/>
  <c r="BJ5" i="2" s="1"/>
  <c r="BK5" i="2" a="1"/>
  <c r="BK5" i="2"/>
  <c r="BL5" i="2" a="1"/>
  <c r="BL5" i="2" s="1"/>
  <c r="BM5" i="2" a="1"/>
  <c r="BM5" i="2"/>
  <c r="BN5" i="2" a="1"/>
  <c r="BN5" i="2" s="1"/>
  <c r="BO5" i="2" a="1"/>
  <c r="BO5" i="2"/>
  <c r="BP5" i="2" a="1"/>
  <c r="BP5" i="2" s="1"/>
  <c r="BQ5" i="2" a="1"/>
  <c r="BQ5" i="2"/>
  <c r="BR5" i="2" a="1"/>
  <c r="BR5" i="2" s="1"/>
  <c r="BS5" i="2" a="1"/>
  <c r="BS5" i="2"/>
  <c r="BT5" i="2" a="1"/>
  <c r="BT5" i="2" s="1"/>
  <c r="BU5" i="2" a="1"/>
  <c r="BU5" i="2"/>
  <c r="BV5" i="2" a="1"/>
  <c r="BV5" i="2" s="1"/>
  <c r="BW5" i="2" a="1"/>
  <c r="BW5" i="2"/>
  <c r="BX5" i="2" a="1"/>
  <c r="BX5" i="2" s="1"/>
  <c r="BY5" i="2" a="1"/>
  <c r="BY5" i="2"/>
  <c r="BZ5" i="2" a="1"/>
  <c r="BZ5" i="2" s="1"/>
  <c r="CA5" i="2" a="1"/>
  <c r="CA5" i="2"/>
  <c r="CB5" i="2" a="1"/>
  <c r="CB5" i="2" s="1"/>
  <c r="CC5" i="2" a="1"/>
  <c r="CC5" i="2"/>
  <c r="CD5" i="2" a="1"/>
  <c r="CD5" i="2" s="1"/>
  <c r="CE5" i="2" a="1"/>
  <c r="CE5" i="2"/>
  <c r="CF5" i="2" a="1"/>
  <c r="CF5" i="2" s="1"/>
  <c r="CG5" i="2" a="1"/>
  <c r="CG5" i="2"/>
  <c r="CH5" i="2" a="1"/>
  <c r="CH5" i="2" s="1"/>
  <c r="CI5" i="2" a="1"/>
  <c r="CI5" i="2"/>
  <c r="CJ5" i="2" a="1"/>
  <c r="CJ5" i="2" s="1"/>
  <c r="CK5" i="2" a="1"/>
  <c r="CK5" i="2"/>
  <c r="CL5" i="2" a="1"/>
  <c r="CL5" i="2" s="1"/>
  <c r="CM5" i="2" a="1"/>
  <c r="CM5" i="2"/>
  <c r="CN5" i="2" a="1"/>
  <c r="CN5" i="2" s="1"/>
  <c r="CO5" i="2" a="1"/>
  <c r="CO5" i="2"/>
  <c r="CP5" i="2" a="1"/>
  <c r="CP5" i="2" s="1"/>
  <c r="CQ5" i="2" a="1"/>
  <c r="CQ5" i="2"/>
  <c r="CR5" i="2" a="1"/>
  <c r="CR5" i="2" s="1"/>
  <c r="CS5" i="2" a="1"/>
  <c r="CS5" i="2"/>
  <c r="CT5" i="2" a="1"/>
  <c r="CT5" i="2" s="1"/>
  <c r="CU5" i="2" a="1"/>
  <c r="CU5" i="2"/>
  <c r="CV5" i="2" a="1"/>
  <c r="CV5" i="2" s="1"/>
  <c r="CW5" i="2" a="1"/>
  <c r="CW5" i="2"/>
  <c r="CX5" i="2" a="1"/>
  <c r="CX5" i="2" s="1"/>
  <c r="CY5" i="2" a="1"/>
  <c r="CY5" i="2"/>
  <c r="CZ5" i="2" a="1"/>
  <c r="CZ5" i="2" s="1"/>
  <c r="DA5" i="2" a="1"/>
  <c r="DA5" i="2"/>
  <c r="DB5" i="2" a="1"/>
  <c r="DB5" i="2" s="1"/>
  <c r="DC5" i="2" a="1"/>
  <c r="DC5" i="2"/>
  <c r="DD5" i="2" a="1"/>
  <c r="DD5" i="2" s="1"/>
  <c r="DE5" i="2" a="1"/>
  <c r="DE5" i="2"/>
  <c r="DF5" i="2" a="1"/>
  <c r="DF5" i="2" s="1"/>
  <c r="B4" i="2" a="1"/>
  <c r="B4" i="2" s="1"/>
  <c r="C4" i="2" a="1"/>
  <c r="C4" i="2"/>
  <c r="D4" i="2" a="1"/>
  <c r="D4" i="2" s="1"/>
  <c r="E4" i="2" a="1"/>
  <c r="E4" i="2"/>
  <c r="F4" i="2" a="1"/>
  <c r="F4" i="2" s="1"/>
  <c r="G4" i="2" a="1"/>
  <c r="G4" i="2"/>
  <c r="H4" i="2" a="1"/>
  <c r="H4" i="2" s="1"/>
  <c r="I4" i="2" a="1"/>
  <c r="I4" i="2"/>
  <c r="J4" i="2" a="1"/>
  <c r="J4" i="2" s="1"/>
  <c r="K4" i="2" a="1"/>
  <c r="K4" i="2"/>
  <c r="L4" i="2" a="1"/>
  <c r="L4" i="2" s="1"/>
  <c r="M4" i="2" a="1"/>
  <c r="M4" i="2"/>
  <c r="N4" i="2" a="1"/>
  <c r="N4" i="2" s="1"/>
  <c r="O4" i="2" a="1"/>
  <c r="O4" i="2"/>
  <c r="P4" i="2" a="1"/>
  <c r="P4" i="2" s="1"/>
  <c r="Q4" i="2" a="1"/>
  <c r="Q4" i="2"/>
  <c r="R4" i="2" a="1"/>
  <c r="R4" i="2" s="1"/>
  <c r="S4" i="2" a="1"/>
  <c r="S4" i="2"/>
  <c r="T4" i="2" a="1"/>
  <c r="T4" i="2" s="1"/>
  <c r="U4" i="2" a="1"/>
  <c r="U4" i="2"/>
  <c r="V4" i="2" a="1"/>
  <c r="V4" i="2" s="1"/>
  <c r="W4" i="2" a="1"/>
  <c r="W4" i="2"/>
  <c r="X4" i="2" a="1"/>
  <c r="X4" i="2" s="1"/>
  <c r="Y4" i="2" a="1"/>
  <c r="Y4" i="2"/>
  <c r="Z4" i="2" a="1"/>
  <c r="Z4" i="2" s="1"/>
  <c r="AA4" i="2" a="1"/>
  <c r="AA4" i="2"/>
  <c r="AB4" i="2" a="1"/>
  <c r="AB4" i="2" s="1"/>
  <c r="AC4" i="2" a="1"/>
  <c r="AC4" i="2"/>
  <c r="AD4" i="2" a="1"/>
  <c r="AD4" i="2" s="1"/>
  <c r="AE4" i="2" a="1"/>
  <c r="AE4" i="2"/>
  <c r="AF4" i="2" a="1"/>
  <c r="AF4" i="2" s="1"/>
  <c r="AG4" i="2" a="1"/>
  <c r="AG4" i="2"/>
  <c r="AH4" i="2" a="1"/>
  <c r="AH4" i="2" s="1"/>
  <c r="AI4" i="2" a="1"/>
  <c r="AI4" i="2"/>
  <c r="AJ4" i="2" a="1"/>
  <c r="AJ4" i="2" s="1"/>
  <c r="AK4" i="2" a="1"/>
  <c r="AK4" i="2"/>
  <c r="AL4" i="2" a="1"/>
  <c r="AL4" i="2" s="1"/>
  <c r="AM4" i="2" a="1"/>
  <c r="AM4" i="2"/>
  <c r="AN4" i="2" a="1"/>
  <c r="AN4" i="2" s="1"/>
  <c r="AO4" i="2" a="1"/>
  <c r="AO4" i="2"/>
  <c r="AP4" i="2" a="1"/>
  <c r="AP4" i="2" s="1"/>
  <c r="AQ4" i="2" a="1"/>
  <c r="AQ4" i="2"/>
  <c r="AR4" i="2" a="1"/>
  <c r="AR4" i="2" s="1"/>
  <c r="AS4" i="2" a="1"/>
  <c r="AS4" i="2"/>
  <c r="AT4" i="2" a="1"/>
  <c r="AT4" i="2" s="1"/>
  <c r="AU4" i="2" a="1"/>
  <c r="AU4" i="2"/>
  <c r="AV4" i="2" a="1"/>
  <c r="AV4" i="2" s="1"/>
  <c r="AW4" i="2" a="1"/>
  <c r="AW4" i="2"/>
  <c r="AX4" i="2" a="1"/>
  <c r="AX4" i="2" s="1"/>
  <c r="AY4" i="2" a="1"/>
  <c r="AY4" i="2"/>
  <c r="AZ4" i="2" a="1"/>
  <c r="AZ4" i="2" s="1"/>
  <c r="BA4" i="2" a="1"/>
  <c r="BA4" i="2"/>
  <c r="BB4" i="2" a="1"/>
  <c r="BB4" i="2" s="1"/>
  <c r="BC4" i="2" a="1"/>
  <c r="BC4" i="2"/>
  <c r="BD4" i="2" a="1"/>
  <c r="BD4" i="2" s="1"/>
  <c r="BE4" i="2" a="1"/>
  <c r="BE4" i="2"/>
  <c r="BF4" i="2" a="1"/>
  <c r="BF4" i="2" s="1"/>
  <c r="BG4" i="2" a="1"/>
  <c r="BG4" i="2"/>
  <c r="BH4" i="2" a="1"/>
  <c r="BH4" i="2" s="1"/>
  <c r="BI4" i="2" a="1"/>
  <c r="BI4" i="2"/>
  <c r="BJ4" i="2" a="1"/>
  <c r="BJ4" i="2" s="1"/>
  <c r="BK4" i="2" a="1"/>
  <c r="BK4" i="2"/>
  <c r="BL4" i="2" a="1"/>
  <c r="BL4" i="2" s="1"/>
  <c r="BM4" i="2" a="1"/>
  <c r="BM4" i="2"/>
  <c r="BN4" i="2" a="1"/>
  <c r="BN4" i="2" s="1"/>
  <c r="BO4" i="2" a="1"/>
  <c r="BO4" i="2"/>
  <c r="BP4" i="2" a="1"/>
  <c r="BP4" i="2" s="1"/>
  <c r="BQ4" i="2" a="1"/>
  <c r="BQ4" i="2"/>
  <c r="BR4" i="2" a="1"/>
  <c r="BR4" i="2" s="1"/>
  <c r="BS4" i="2" a="1"/>
  <c r="BS4" i="2"/>
  <c r="BT4" i="2" a="1"/>
  <c r="BT4" i="2" s="1"/>
  <c r="BU4" i="2" a="1"/>
  <c r="BU4" i="2"/>
  <c r="BV4" i="2" a="1"/>
  <c r="BV4" i="2" s="1"/>
  <c r="BW4" i="2" a="1"/>
  <c r="BW4" i="2"/>
  <c r="BX4" i="2" a="1"/>
  <c r="BX4" i="2" s="1"/>
  <c r="BY4" i="2" a="1"/>
  <c r="BY4" i="2"/>
  <c r="BZ4" i="2" a="1"/>
  <c r="BZ4" i="2" s="1"/>
  <c r="CA4" i="2" a="1"/>
  <c r="CA4" i="2"/>
  <c r="CB4" i="2" a="1"/>
  <c r="CB4" i="2" s="1"/>
  <c r="CC4" i="2" a="1"/>
  <c r="CC4" i="2"/>
  <c r="CD4" i="2" a="1"/>
  <c r="CD4" i="2" s="1"/>
  <c r="CE4" i="2" a="1"/>
  <c r="CE4" i="2"/>
  <c r="CF4" i="2" a="1"/>
  <c r="CF4" i="2" s="1"/>
  <c r="CG4" i="2" a="1"/>
  <c r="CG4" i="2"/>
  <c r="CH4" i="2" a="1"/>
  <c r="CH4" i="2" s="1"/>
  <c r="CI4" i="2" a="1"/>
  <c r="CI4" i="2"/>
  <c r="CJ4" i="2" a="1"/>
  <c r="CJ4" i="2" s="1"/>
  <c r="CK4" i="2" a="1"/>
  <c r="CK4" i="2"/>
  <c r="CL4" i="2" a="1"/>
  <c r="CL4" i="2" s="1"/>
  <c r="CM4" i="2" a="1"/>
  <c r="CM4" i="2"/>
  <c r="CN4" i="2" a="1"/>
  <c r="CN4" i="2" s="1"/>
  <c r="CO4" i="2" a="1"/>
  <c r="CO4" i="2"/>
  <c r="CP4" i="2" a="1"/>
  <c r="CP4" i="2" s="1"/>
  <c r="CQ4" i="2" a="1"/>
  <c r="CQ4" i="2"/>
  <c r="CR4" i="2" a="1"/>
  <c r="CR4" i="2" s="1"/>
  <c r="CS4" i="2" a="1"/>
  <c r="CS4" i="2"/>
  <c r="CT4" i="2" a="1"/>
  <c r="CT4" i="2" s="1"/>
  <c r="CU4" i="2" a="1"/>
  <c r="CU4" i="2"/>
  <c r="CV4" i="2" a="1"/>
  <c r="CV4" i="2" s="1"/>
  <c r="CW4" i="2" a="1"/>
  <c r="CW4" i="2"/>
  <c r="CX4" i="2" a="1"/>
  <c r="CX4" i="2" s="1"/>
  <c r="CY4" i="2" a="1"/>
  <c r="CY4" i="2"/>
  <c r="CZ4" i="2" a="1"/>
  <c r="CZ4" i="2" s="1"/>
  <c r="DA4" i="2" a="1"/>
  <c r="DA4" i="2"/>
  <c r="DB4" i="2" a="1"/>
  <c r="DB4" i="2" s="1"/>
  <c r="DC4" i="2" a="1"/>
  <c r="DC4" i="2"/>
  <c r="DD4" i="2" a="1"/>
  <c r="DD4" i="2" s="1"/>
  <c r="DE4" i="2" a="1"/>
  <c r="DE4" i="2"/>
  <c r="DF4" i="2" a="1"/>
  <c r="DF4" i="2" s="1"/>
  <c r="A5" i="2" a="1"/>
  <c r="A5" i="2" s="1"/>
  <c r="A4" i="2" a="1"/>
  <c r="A4" i="2" s="1"/>
  <c r="B3" i="2" a="1"/>
  <c r="B3" i="2" s="1"/>
  <c r="C3" i="2" a="1"/>
  <c r="C3" i="2"/>
  <c r="D3" i="2" a="1"/>
  <c r="D3" i="2" s="1"/>
  <c r="E3" i="2" a="1"/>
  <c r="E3" i="2"/>
  <c r="F3" i="2" a="1"/>
  <c r="F3" i="2" s="1"/>
  <c r="G3" i="2" a="1"/>
  <c r="G3" i="2"/>
  <c r="H3" i="2" a="1"/>
  <c r="H3" i="2" s="1"/>
  <c r="I3" i="2" a="1"/>
  <c r="I3" i="2"/>
  <c r="J3" i="2" a="1"/>
  <c r="J3" i="2" s="1"/>
  <c r="K3" i="2" a="1"/>
  <c r="K3" i="2"/>
  <c r="L3" i="2" a="1"/>
  <c r="L3" i="2" s="1"/>
  <c r="M3" i="2" a="1"/>
  <c r="M3" i="2"/>
  <c r="N3" i="2" a="1"/>
  <c r="N3" i="2" s="1"/>
  <c r="O3" i="2" a="1"/>
  <c r="O3" i="2"/>
  <c r="P3" i="2" a="1"/>
  <c r="P3" i="2" s="1"/>
  <c r="Q3" i="2" a="1"/>
  <c r="Q3" i="2"/>
  <c r="R3" i="2" a="1"/>
  <c r="R3" i="2" s="1"/>
  <c r="S3" i="2" a="1"/>
  <c r="S3" i="2"/>
  <c r="T3" i="2" a="1"/>
  <c r="T3" i="2" s="1"/>
  <c r="U3" i="2" a="1"/>
  <c r="U3" i="2"/>
  <c r="V3" i="2" a="1"/>
  <c r="V3" i="2" s="1"/>
  <c r="W3" i="2" a="1"/>
  <c r="W3" i="2"/>
  <c r="X3" i="2" a="1"/>
  <c r="X3" i="2" s="1"/>
  <c r="Y3" i="2" a="1"/>
  <c r="Y3" i="2"/>
  <c r="Z3" i="2" a="1"/>
  <c r="Z3" i="2" s="1"/>
  <c r="AA3" i="2" a="1"/>
  <c r="AA3" i="2"/>
  <c r="AB3" i="2" a="1"/>
  <c r="AB3" i="2" s="1"/>
  <c r="AC3" i="2" a="1"/>
  <c r="AC3" i="2"/>
  <c r="AD3" i="2" a="1"/>
  <c r="AD3" i="2" s="1"/>
  <c r="AE3" i="2" a="1"/>
  <c r="AE3" i="2"/>
  <c r="AF3" i="2" a="1"/>
  <c r="AF3" i="2" s="1"/>
  <c r="AG3" i="2" a="1"/>
  <c r="AG3" i="2"/>
  <c r="AH3" i="2" a="1"/>
  <c r="AH3" i="2" s="1"/>
  <c r="AI3" i="2" a="1"/>
  <c r="AI3" i="2"/>
  <c r="AJ3" i="2" a="1"/>
  <c r="AJ3" i="2" s="1"/>
  <c r="AK3" i="2" a="1"/>
  <c r="AK3" i="2"/>
  <c r="AL3" i="2" a="1"/>
  <c r="AL3" i="2" s="1"/>
  <c r="AM3" i="2" a="1"/>
  <c r="AM3" i="2"/>
  <c r="AN3" i="2" a="1"/>
  <c r="AN3" i="2" s="1"/>
  <c r="AO3" i="2" a="1"/>
  <c r="AO3" i="2"/>
  <c r="AP3" i="2" a="1"/>
  <c r="AP3" i="2" s="1"/>
  <c r="AQ3" i="2" a="1"/>
  <c r="AQ3" i="2"/>
  <c r="AR3" i="2" a="1"/>
  <c r="AR3" i="2" s="1"/>
  <c r="AS3" i="2" a="1"/>
  <c r="AS3" i="2"/>
  <c r="AT3" i="2" a="1"/>
  <c r="AT3" i="2" s="1"/>
  <c r="AU3" i="2" a="1"/>
  <c r="AU3" i="2"/>
  <c r="AV3" i="2" a="1"/>
  <c r="AV3" i="2" s="1"/>
  <c r="AW3" i="2" a="1"/>
  <c r="AW3" i="2"/>
  <c r="AX3" i="2" a="1"/>
  <c r="AX3" i="2" s="1"/>
  <c r="AY3" i="2" a="1"/>
  <c r="AY3" i="2"/>
  <c r="AZ3" i="2" a="1"/>
  <c r="AZ3" i="2" s="1"/>
  <c r="BA3" i="2" a="1"/>
  <c r="BA3" i="2"/>
  <c r="BB3" i="2" a="1"/>
  <c r="BB3" i="2" s="1"/>
  <c r="BC3" i="2" a="1"/>
  <c r="BC3" i="2"/>
  <c r="BD3" i="2" a="1"/>
  <c r="BD3" i="2" s="1"/>
  <c r="BE3" i="2" a="1"/>
  <c r="BE3" i="2"/>
  <c r="BF3" i="2" a="1"/>
  <c r="BF3" i="2" s="1"/>
  <c r="BG3" i="2" a="1"/>
  <c r="BG3" i="2"/>
  <c r="BH3" i="2" a="1"/>
  <c r="BH3" i="2" s="1"/>
  <c r="BI3" i="2" a="1"/>
  <c r="BI3" i="2"/>
  <c r="BJ3" i="2" a="1"/>
  <c r="BJ3" i="2" s="1"/>
  <c r="BK3" i="2" a="1"/>
  <c r="BK3" i="2"/>
  <c r="BL3" i="2" a="1"/>
  <c r="BL3" i="2" s="1"/>
  <c r="BM3" i="2" a="1"/>
  <c r="BM3" i="2"/>
  <c r="BN3" i="2" a="1"/>
  <c r="BN3" i="2" s="1"/>
  <c r="BO3" i="2" a="1"/>
  <c r="BO3" i="2"/>
  <c r="BP3" i="2" a="1"/>
  <c r="BP3" i="2" s="1"/>
  <c r="BQ3" i="2" a="1"/>
  <c r="BQ3" i="2"/>
  <c r="BR3" i="2" a="1"/>
  <c r="BR3" i="2" s="1"/>
  <c r="BS3" i="2" a="1"/>
  <c r="BS3" i="2"/>
  <c r="BT3" i="2" a="1"/>
  <c r="BT3" i="2" s="1"/>
  <c r="BU3" i="2" a="1"/>
  <c r="BU3" i="2"/>
  <c r="BV3" i="2" a="1"/>
  <c r="BV3" i="2" s="1"/>
  <c r="BW3" i="2" a="1"/>
  <c r="BW3" i="2"/>
  <c r="BX3" i="2" a="1"/>
  <c r="BX3" i="2" s="1"/>
  <c r="BY3" i="2" a="1"/>
  <c r="BY3" i="2"/>
  <c r="BZ3" i="2" a="1"/>
  <c r="BZ3" i="2" s="1"/>
  <c r="CA3" i="2" a="1"/>
  <c r="CA3" i="2"/>
  <c r="CB3" i="2" a="1"/>
  <c r="CB3" i="2" s="1"/>
  <c r="CC3" i="2" a="1"/>
  <c r="CC3" i="2"/>
  <c r="CD3" i="2" a="1"/>
  <c r="CD3" i="2" s="1"/>
  <c r="CE3" i="2" a="1"/>
  <c r="CE3" i="2"/>
  <c r="CF3" i="2" a="1"/>
  <c r="CF3" i="2" s="1"/>
  <c r="CG3" i="2" a="1"/>
  <c r="CG3" i="2"/>
  <c r="CH3" i="2" a="1"/>
  <c r="CH3" i="2" s="1"/>
  <c r="CI3" i="2" a="1"/>
  <c r="CI3" i="2"/>
  <c r="CJ3" i="2" a="1"/>
  <c r="CJ3" i="2" s="1"/>
  <c r="CK3" i="2" a="1"/>
  <c r="CK3" i="2"/>
  <c r="CL3" i="2" a="1"/>
  <c r="CL3" i="2" s="1"/>
  <c r="CM3" i="2" a="1"/>
  <c r="CM3" i="2"/>
  <c r="CN3" i="2" a="1"/>
  <c r="CN3" i="2" s="1"/>
  <c r="CO3" i="2" a="1"/>
  <c r="CO3" i="2"/>
  <c r="CP3" i="2" a="1"/>
  <c r="CP3" i="2" s="1"/>
  <c r="CQ3" i="2" a="1"/>
  <c r="CQ3" i="2"/>
  <c r="CR3" i="2" a="1"/>
  <c r="CR3" i="2" s="1"/>
  <c r="CS3" i="2" a="1"/>
  <c r="CS3" i="2"/>
  <c r="CT3" i="2" a="1"/>
  <c r="CT3" i="2" s="1"/>
  <c r="CU3" i="2" a="1"/>
  <c r="CU3" i="2"/>
  <c r="CV3" i="2" a="1"/>
  <c r="CV3" i="2" s="1"/>
  <c r="CW3" i="2" a="1"/>
  <c r="CW3" i="2"/>
  <c r="CX3" i="2" a="1"/>
  <c r="CX3" i="2" s="1"/>
  <c r="CY3" i="2" a="1"/>
  <c r="CY3" i="2"/>
  <c r="CZ3" i="2" a="1"/>
  <c r="CZ3" i="2" s="1"/>
  <c r="DA3" i="2" a="1"/>
  <c r="DA3" i="2"/>
  <c r="DB3" i="2" a="1"/>
  <c r="DB3" i="2" s="1"/>
  <c r="DC3" i="2" a="1"/>
  <c r="DC3" i="2"/>
  <c r="DD3" i="2" a="1"/>
  <c r="DD3" i="2" s="1"/>
  <c r="DE3" i="2" a="1"/>
  <c r="DE3" i="2"/>
  <c r="DF3" i="2" a="1"/>
  <c r="DF3" i="2" s="1"/>
  <c r="A3" i="2" a="1"/>
  <c r="A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54F582-1BFB-4D2C-9D4C-FC6B65082F2B}" keepAlive="1" name="Query - chemslo-template" description="Connection to the 'chemslo-template' query in the workbook." type="5" refreshedVersion="6" background="1" saveData="1">
    <dbPr connection="Provider=Microsoft.Mashup.OleDb.1;Data Source=$Workbook$;Location=chemslo-template;Extended Properties=&quot;&quot;" command="SELECT * FROM [chemslo-templat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<sst xmlns="http://schemas.openxmlformats.org/spreadsheetml/2006/main" count="220" uniqueCount="220">
  <si>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</si>
  <si>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</si>
  <si>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</si>
  <si>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</si>
  <si>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</si>
  <si>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</si>
  <si>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</si>
  <si>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</si>
  <si>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</si>
  <si>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</si>
  <si>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</si>
  <si>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</si>
  <si>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</si>
  <si>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</si>
  <si>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</si>
  <si>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</si>
  <si>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</si>
  <si>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</si>
  <si>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</si>
  <si>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</si>
  <si>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</si>
  <si>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</si>
  <si>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</si>
  <si>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</si>
  <si>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</si>
  <si>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</si>
  <si>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</si>
  <si>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</si>
  <si>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</si>
  <si>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</si>
  <si>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</si>
  <si>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</si>
  <si>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</si>
  <si>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</si>
  <si>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</si>
  <si>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</si>
  <si>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</si>
  <si>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</si>
  <si>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</si>
  <si>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</si>
  <si>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</si>
  <si>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</si>
  <si>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</si>
  <si>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</si>
  <si>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</si>
  <si>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</si>
  <si>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</si>
  <si>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</si>
  <si>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</si>
  <si>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</si>
  <si>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</si>
  <si>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</si>
  <si>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</si>
  <si>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</si>
  <si>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</si>
  <si>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</si>
  <si>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</si>
  <si>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</si>
  <si>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</si>
  <si>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</si>
  <si>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</si>
  <si>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</si>
  <si>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</si>
  <si>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</si>
  <si>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</si>
  <si>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</si>
  <si>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</si>
  <si>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</si>
  <si>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</si>
  <si>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</si>
  <si>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</si>
  <si>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</si>
  <si>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</si>
  <si>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</si>
  <si>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</si>
  <si>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</si>
  <si>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</si>
  <si>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</si>
  <si>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</si>
  <si>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</si>
  <si>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</si>
  <si>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</si>
  <si>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</si>
  <si>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</si>
  <si>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</si>
  <si>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</si>
  <si>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</si>
  <si>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</si>
  <si>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</si>
  <si>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</si>
  <si>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</si>
  <si>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</si>
  <si>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</si>
  <si>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</si>
  <si>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</si>
  <si>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</si>
  <si>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</si>
  <si>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</si>
  <si>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</si>
  <si>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</si>
  <si>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</si>
  <si>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</si>
  <si>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</si>
  <si>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</si>
  <si>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</si>
  <si>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</si>
  <si>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</si>
  <si>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</si>
  <si>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</si>
  <si>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</si>
  <si>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obrázek</t>
  </si>
  <si>
    <t>velikost obrázku</t>
  </si>
  <si>
    <t>popisek</t>
  </si>
  <si>
    <t>obrázek2</t>
  </si>
  <si>
    <t>velikost obrázku2</t>
  </si>
  <si>
    <t>popisek2</t>
  </si>
  <si>
    <t>obrázek3</t>
  </si>
  <si>
    <t>velikost obrázku3</t>
  </si>
  <si>
    <t>popisek3</t>
  </si>
  <si>
    <t>systematický název</t>
  </si>
  <si>
    <t>triviální název</t>
  </si>
  <si>
    <t>ostatní názvy</t>
  </si>
  <si>
    <t>latinský název</t>
  </si>
  <si>
    <t>anglický název</t>
  </si>
  <si>
    <t>německý název</t>
  </si>
  <si>
    <t>funkční vzorec</t>
  </si>
  <si>
    <t>sumární vzorec</t>
  </si>
  <si>
    <t>vzhled</t>
  </si>
  <si>
    <t>číslo CAS</t>
  </si>
  <si>
    <t>další čísla CAS</t>
  </si>
  <si>
    <t>číslo EINECS</t>
  </si>
  <si>
    <t>indexové číslo</t>
  </si>
  <si>
    <t>číslo EC</t>
  </si>
  <si>
    <t>PubChem</t>
  </si>
  <si>
    <t>ChEBI</t>
  </si>
  <si>
    <t>UN kód</t>
  </si>
  <si>
    <t>SMILES</t>
  </si>
  <si>
    <t>InChI</t>
  </si>
  <si>
    <t>číslo RTECS</t>
  </si>
  <si>
    <t>molární hmotnost</t>
  </si>
  <si>
    <t>molární koncentrace</t>
  </si>
  <si>
    <t>molární objem</t>
  </si>
  <si>
    <t>teplota tání</t>
  </si>
  <si>
    <t>teplota varu</t>
  </si>
  <si>
    <t>teplota sublimace</t>
  </si>
  <si>
    <t>teplota rozkladu</t>
  </si>
  <si>
    <t>teplota změny modifikace</t>
  </si>
  <si>
    <t>teplota skelného přechodu</t>
  </si>
  <si>
    <t>teplota dehydratace</t>
  </si>
  <si>
    <t>hustota</t>
  </si>
  <si>
    <t>viskozita</t>
  </si>
  <si>
    <t>dynamický viskozitní koeficient</t>
  </si>
  <si>
    <t>kinematický viskozitní koeficient</t>
  </si>
  <si>
    <t>index lomu</t>
  </si>
  <si>
    <t>tvrdost</t>
  </si>
  <si>
    <t>kritická teplota</t>
  </si>
  <si>
    <t>kritický tlak</t>
  </si>
  <si>
    <t>kritická hustota</t>
  </si>
  <si>
    <t>teplota trojného bodu</t>
  </si>
  <si>
    <t>tlak trojného bodu</t>
  </si>
  <si>
    <t>pKa</t>
  </si>
  <si>
    <t>pKb</t>
  </si>
  <si>
    <t>autoionizační konstanta</t>
  </si>
  <si>
    <t>rozpustnost</t>
  </si>
  <si>
    <t>rozpustnost polární</t>
  </si>
  <si>
    <t>rozpustnost nepolární</t>
  </si>
  <si>
    <t>součin rozpustnosti</t>
  </si>
  <si>
    <t>parametr rozpustnosti</t>
  </si>
  <si>
    <t>ebulioskopická konstanta</t>
  </si>
  <si>
    <t>kryoskopická konstanta</t>
  </si>
  <si>
    <t>relativní permitivita</t>
  </si>
  <si>
    <t>tlak páry</t>
  </si>
  <si>
    <t>Van der Waalsovy konstanty</t>
  </si>
  <si>
    <t>izoelektrický bod</t>
  </si>
  <si>
    <t>součinitel elektrické vodivosti</t>
  </si>
  <si>
    <t>součinitel tepelné vodivosti</t>
  </si>
  <si>
    <t>součinitel elektrického odporu</t>
  </si>
  <si>
    <t>součinitel délkové roztažnosti</t>
  </si>
  <si>
    <t>součinitel objemové roztažnosti</t>
  </si>
  <si>
    <t>měrná magnetická susceptibilita</t>
  </si>
  <si>
    <t>měrná vodivost</t>
  </si>
  <si>
    <t>měrný elektrický odpor</t>
  </si>
  <si>
    <t>ionizační energie</t>
  </si>
  <si>
    <t>povrchové napětí</t>
  </si>
  <si>
    <t>průměrný výskyt</t>
  </si>
  <si>
    <t>rychlost zvuku</t>
  </si>
  <si>
    <t>optická otáčivost</t>
  </si>
  <si>
    <t>krystalová struktura</t>
  </si>
  <si>
    <t>hrana mřížky</t>
  </si>
  <si>
    <t>koordinační geometrie</t>
  </si>
  <si>
    <t>tvar molekuly</t>
  </si>
  <si>
    <t>dipólový moment</t>
  </si>
  <si>
    <t>standardní slučovací entalpie</t>
  </si>
  <si>
    <t>standardní molární spalná entalpie</t>
  </si>
  <si>
    <t>entalpie tání</t>
  </si>
  <si>
    <t>entalpie varu</t>
  </si>
  <si>
    <t>entalpie rozpouštění</t>
  </si>
  <si>
    <t>entalpie sublimace</t>
  </si>
  <si>
    <t>entalpie změny modifikace</t>
  </si>
  <si>
    <t>standardní molární entropie</t>
  </si>
  <si>
    <t>standardní slučovací Gibbsova energie</t>
  </si>
  <si>
    <t>měrné teplo</t>
  </si>
  <si>
    <t>izobarické měrné teplo</t>
  </si>
  <si>
    <t>izochorické měrné teplo</t>
  </si>
  <si>
    <t>symboly nebezpečí GHS</t>
  </si>
  <si>
    <t>H-věty</t>
  </si>
  <si>
    <t>P-věty</t>
  </si>
  <si>
    <t>symboly nebezpečí</t>
  </si>
  <si>
    <t>R-věty</t>
  </si>
  <si>
    <t>S-věty</t>
  </si>
  <si>
    <t>NFPA 704</t>
  </si>
  <si>
    <t>zdraví</t>
  </si>
  <si>
    <t>hořlavost</t>
  </si>
  <si>
    <t>reaktivita</t>
  </si>
  <si>
    <t>ostatní rizika</t>
  </si>
  <si>
    <t>teplota vzplanutí</t>
  </si>
  <si>
    <t>teplota hoření</t>
  </si>
  <si>
    <t>teplota vznícení</t>
  </si>
  <si>
    <t>název</t>
  </si>
  <si>
    <t>meze výbušnosti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</si>
</sst>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B2A87F-AFAF-4092-B949-2538978FE29F}" autoFormatId="16" applyNumberFormats="0" applyBorderFormats="0" applyFontFormats="0" applyPatternFormats="0" applyAlignmentFormats="0" applyWidthHeightFormats="0">
  <queryTableRefresh nextId="111">
    <queryTableFields count="1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636EAA-5DBC-4E20-9417-6B8EE61A33EA}" name="chemslo_template" displayName="chemslo_template" ref="A1:DF3" tableType="queryTable" totalsRowCount="1">
  <autoFilter ref="A1:DF2" xr:uid="{D3CF30C6-50BE-42D8-B4DD-31A48D814696}"/>
  <tableColumns count="110">
    <tableColumn id="1" xr3:uid="{AF0DB766-243E-451F-9C8D-D99B39C260A3}" uniqueName="1" name="Column1" totalsRowFunction="custom" queryTableFieldId="1" dataDxfId="219" totalsRowDxfId="109">
      <totalsRowFormula array="1">CONCATENATE(" ", chemslo_template[Column1], " ")</totalsRowFormula>
    </tableColumn>
    <tableColumn id="2" xr3:uid="{C25B9922-D986-4275-8BD4-D7ADA5A1731E}" uniqueName="2" name="Column2" totalsRowFunction="custom" queryTableFieldId="2" dataDxfId="218" totalsRowDxfId="108">
      <totalsRowFormula array="1">CONCATENATE(" ", chemslo_template[Column2], " ")</totalsRowFormula>
    </tableColumn>
    <tableColumn id="3" xr3:uid="{5AA7830B-E9A9-4297-A00E-8BA1A0008AC1}" uniqueName="3" name="Column3" totalsRowFunction="custom" queryTableFieldId="3" dataDxfId="217" totalsRowDxfId="107">
      <totalsRowFormula array="1">CONCATENATE(" ", chemslo_template[Column3], " ")</totalsRowFormula>
    </tableColumn>
    <tableColumn id="4" xr3:uid="{F80D9058-EBD9-4670-B0C7-6D044BEC63BD}" uniqueName="4" name="Column4" totalsRowFunction="custom" queryTableFieldId="4" dataDxfId="216" totalsRowDxfId="106">
      <totalsRowFormula array="1">CONCATENATE(" ", chemslo_template[Column4], " ")</totalsRowFormula>
    </tableColumn>
    <tableColumn id="5" xr3:uid="{0796B85D-A06F-4DF3-92D5-48F1BF3A694A}" uniqueName="5" name="Column5" totalsRowFunction="custom" queryTableFieldId="5" dataDxfId="215" totalsRowDxfId="105">
      <totalsRowFormula array="1">CONCATENATE(" ", chemslo_template[Column5], " ")</totalsRowFormula>
    </tableColumn>
    <tableColumn id="6" xr3:uid="{88816709-FE39-43F9-8EAD-61D6BD7FA669}" uniqueName="6" name="Column6" totalsRowFunction="custom" queryTableFieldId="6" dataDxfId="214" totalsRowDxfId="104">
      <totalsRowFormula array="1">CONCATENATE(" ", chemslo_template[Column6], " ")</totalsRowFormula>
    </tableColumn>
    <tableColumn id="7" xr3:uid="{AE47CBD9-CA94-4791-8345-8AE76A059442}" uniqueName="7" name="Column7" totalsRowFunction="custom" queryTableFieldId="7" dataDxfId="213" totalsRowDxfId="103">
      <totalsRowFormula array="1">CONCATENATE(" ", chemslo_template[Column7], " ")</totalsRowFormula>
    </tableColumn>
    <tableColumn id="8" xr3:uid="{D58B8860-5433-41F3-9FD2-F215A4C94B47}" uniqueName="8" name="Column8" totalsRowFunction="custom" queryTableFieldId="8" dataDxfId="212" totalsRowDxfId="102">
      <totalsRowFormula array="1">CONCATENATE(" ", chemslo_template[Column8], " ")</totalsRowFormula>
    </tableColumn>
    <tableColumn id="9" xr3:uid="{92256F68-A00C-4D32-B7EA-0D81B80C43A2}" uniqueName="9" name="Column9" totalsRowFunction="custom" queryTableFieldId="9" dataDxfId="211" totalsRowDxfId="101">
      <totalsRowFormula array="1">CONCATENATE(" ", chemslo_template[Column9], " ")</totalsRowFormula>
    </tableColumn>
    <tableColumn id="10" xr3:uid="{F64B2CEC-9D3C-4259-8E3C-41EB0528EF46}" uniqueName="10" name="Column10" totalsRowFunction="custom" queryTableFieldId="10" dataDxfId="210" totalsRowDxfId="100">
      <totalsRowFormula array="1">CONCATENATE(" ", chemslo_template[Column10], " ")</totalsRowFormula>
    </tableColumn>
    <tableColumn id="11" xr3:uid="{7F8899B4-EE4C-4558-BC82-8D0BCDE71A48}" uniqueName="11" name="Column11" totalsRowFunction="custom" queryTableFieldId="11" dataDxfId="209" totalsRowDxfId="99">
      <totalsRowFormula array="1">CONCATENATE(" ", chemslo_template[Column11], " ")</totalsRowFormula>
    </tableColumn>
    <tableColumn id="12" xr3:uid="{FE364A73-54C9-4801-AAF8-4867A2782642}" uniqueName="12" name="Column12" totalsRowFunction="custom" queryTableFieldId="12" dataDxfId="208" totalsRowDxfId="98">
      <totalsRowFormula array="1">CONCATENATE(" ", chemslo_template[Column12], " ")</totalsRowFormula>
    </tableColumn>
    <tableColumn id="13" xr3:uid="{79338F5E-3BB3-4D78-8054-AD3948071BD5}" uniqueName="13" name="Column13" totalsRowFunction="custom" queryTableFieldId="13" dataDxfId="207" totalsRowDxfId="97">
      <totalsRowFormula array="1">CONCATENATE(" ", chemslo_template[Column13], " ")</totalsRowFormula>
    </tableColumn>
    <tableColumn id="14" xr3:uid="{2E758BB9-DE04-46B3-B85F-A73B46577135}" uniqueName="14" name="Column14" totalsRowFunction="custom" queryTableFieldId="14" dataDxfId="206" totalsRowDxfId="96">
      <totalsRowFormula array="1">CONCATENATE(" ", chemslo_template[Column14], " ")</totalsRowFormula>
    </tableColumn>
    <tableColumn id="15" xr3:uid="{A3242A15-3AC8-41D6-AF83-976B91B9CB33}" uniqueName="15" name="Column15" totalsRowFunction="custom" queryTableFieldId="15" dataDxfId="205" totalsRowDxfId="95">
      <totalsRowFormula array="1">CONCATENATE(" ", chemslo_template[Column15], " ")</totalsRowFormula>
    </tableColumn>
    <tableColumn id="16" xr3:uid="{781265EB-9A78-4E78-B379-6BBBEFF19853}" uniqueName="16" name="Column16" totalsRowFunction="custom" queryTableFieldId="16" dataDxfId="204" totalsRowDxfId="94">
      <totalsRowFormula array="1">CONCATENATE(" ", chemslo_template[Column16], " ")</totalsRowFormula>
    </tableColumn>
    <tableColumn id="17" xr3:uid="{B73BDB5E-7572-4BAA-AEFE-777F232CDA08}" uniqueName="17" name="Column17" totalsRowFunction="custom" queryTableFieldId="17" dataDxfId="203" totalsRowDxfId="93">
      <totalsRowFormula array="1">CONCATENATE(" ", chemslo_template[Column17], " ")</totalsRowFormula>
    </tableColumn>
    <tableColumn id="18" xr3:uid="{C5819F6A-DB2D-432C-B0EE-2708C15C17C1}" uniqueName="18" name="Column18" totalsRowFunction="custom" queryTableFieldId="18" dataDxfId="202" totalsRowDxfId="92">
      <totalsRowFormula array="1">CONCATENATE(" ", chemslo_template[Column18], " ")</totalsRowFormula>
    </tableColumn>
    <tableColumn id="19" xr3:uid="{D452AD99-788A-4EAB-BE2C-DD88586EBFF6}" uniqueName="19" name="Column19" totalsRowFunction="custom" queryTableFieldId="19" dataDxfId="201" totalsRowDxfId="91">
      <totalsRowFormula array="1">CONCATENATE(" ", chemslo_template[Column19], " ")</totalsRowFormula>
    </tableColumn>
    <tableColumn id="20" xr3:uid="{59BAE64D-C54D-4584-A3CC-00E993C8671E}" uniqueName="20" name="Column20" totalsRowFunction="custom" queryTableFieldId="20" dataDxfId="200" totalsRowDxfId="90">
      <totalsRowFormula array="1">CONCATENATE(" ", chemslo_template[Column20], " ")</totalsRowFormula>
    </tableColumn>
    <tableColumn id="21" xr3:uid="{841E691A-3B57-4224-9B81-C67D573E93D5}" uniqueName="21" name="Column21" totalsRowFunction="custom" queryTableFieldId="21" dataDxfId="199" totalsRowDxfId="89">
      <totalsRowFormula array="1">CONCATENATE(" ", chemslo_template[Column21], " ")</totalsRowFormula>
    </tableColumn>
    <tableColumn id="22" xr3:uid="{A802BD3A-41E7-4164-AC6B-179AB2345745}" uniqueName="22" name="Column22" totalsRowFunction="custom" queryTableFieldId="22" dataDxfId="198" totalsRowDxfId="88">
      <totalsRowFormula array="1">CONCATENATE(" ", chemslo_template[Column22], " ")</totalsRowFormula>
    </tableColumn>
    <tableColumn id="23" xr3:uid="{47B82507-7BF6-4CDE-A804-47B641447E11}" uniqueName="23" name="Column23" totalsRowFunction="custom" queryTableFieldId="23" dataDxfId="197" totalsRowDxfId="87">
      <totalsRowFormula array="1">CONCATENATE(" ", chemslo_template[Column23], " ")</totalsRowFormula>
    </tableColumn>
    <tableColumn id="24" xr3:uid="{BD1A372B-69E5-4168-9095-79AB19798CBF}" uniqueName="24" name="Column24" totalsRowFunction="custom" queryTableFieldId="24" dataDxfId="196" totalsRowDxfId="86">
      <totalsRowFormula array="1">CONCATENATE(" ", chemslo_template[Column24], " ")</totalsRowFormula>
    </tableColumn>
    <tableColumn id="25" xr3:uid="{CFE33636-98BC-466C-BD9F-5F769A4A772B}" uniqueName="25" name="Column25" totalsRowFunction="custom" queryTableFieldId="25" dataDxfId="195" totalsRowDxfId="85">
      <totalsRowFormula array="1">CONCATENATE(" ", chemslo_template[Column25], " ")</totalsRowFormula>
    </tableColumn>
    <tableColumn id="26" xr3:uid="{BC332BD9-0445-4896-B39E-B6F303958E6F}" uniqueName="26" name="Column26" totalsRowFunction="custom" queryTableFieldId="26" dataDxfId="194" totalsRowDxfId="84">
      <totalsRowFormula array="1">CONCATENATE(" ", chemslo_template[Column26], " ")</totalsRowFormula>
    </tableColumn>
    <tableColumn id="27" xr3:uid="{43941DC9-4F0E-4AF8-AF60-3FD9C0F046BF}" uniqueName="27" name="Column27" totalsRowFunction="custom" queryTableFieldId="27" dataDxfId="193" totalsRowDxfId="83">
      <totalsRowFormula array="1">CONCATENATE(" ", chemslo_template[Column27], " ")</totalsRowFormula>
    </tableColumn>
    <tableColumn id="28" xr3:uid="{181D2A53-FEEA-481F-A84A-B990F218A172}" uniqueName="28" name="Column28" totalsRowFunction="custom" queryTableFieldId="28" dataDxfId="192" totalsRowDxfId="82">
      <totalsRowFormula array="1">CONCATENATE(" ", chemslo_template[Column28], " ")</totalsRowFormula>
    </tableColumn>
    <tableColumn id="29" xr3:uid="{FC93D064-934E-407A-8A60-0544C78B9BCE}" uniqueName="29" name="Column29" totalsRowFunction="custom" queryTableFieldId="29" dataDxfId="191" totalsRowDxfId="81">
      <totalsRowFormula array="1">CONCATENATE(" ", chemslo_template[Column29], " ")</totalsRowFormula>
    </tableColumn>
    <tableColumn id="30" xr3:uid="{B115BBBB-9C59-4A65-AA08-138EB5C80B0F}" uniqueName="30" name="Column30" totalsRowFunction="custom" queryTableFieldId="30" dataDxfId="190" totalsRowDxfId="80">
      <totalsRowFormula array="1">CONCATENATE(" ", chemslo_template[Column30], " ")</totalsRowFormula>
    </tableColumn>
    <tableColumn id="31" xr3:uid="{668ECDA9-4D2B-4D03-AA7F-D0BF73C2EB8A}" uniqueName="31" name="Column31" totalsRowFunction="custom" queryTableFieldId="31" dataDxfId="189" totalsRowDxfId="79">
      <totalsRowFormula array="1">CONCATENATE(" ", chemslo_template[Column31], " ")</totalsRowFormula>
    </tableColumn>
    <tableColumn id="32" xr3:uid="{5CEB602C-EA8E-4D8D-B4C9-07A17193878A}" uniqueName="32" name="Column32" totalsRowFunction="custom" queryTableFieldId="32" dataDxfId="188" totalsRowDxfId="78">
      <totalsRowFormula array="1">CONCATENATE(" ", chemslo_template[Column32], " ")</totalsRowFormula>
    </tableColumn>
    <tableColumn id="33" xr3:uid="{6FD54F13-82E3-4E7B-8A62-466EDB6868F5}" uniqueName="33" name="Column33" totalsRowFunction="custom" queryTableFieldId="33" dataDxfId="187" totalsRowDxfId="77">
      <totalsRowFormula array="1">CONCATENATE(" ", chemslo_template[Column33], " ")</totalsRowFormula>
    </tableColumn>
    <tableColumn id="34" xr3:uid="{A81B37E8-8422-4CF0-9AA7-F84603099194}" uniqueName="34" name="Column34" totalsRowFunction="custom" queryTableFieldId="34" dataDxfId="186" totalsRowDxfId="76">
      <totalsRowFormula array="1">CONCATENATE(" ", chemslo_template[Column34], " ")</totalsRowFormula>
    </tableColumn>
    <tableColumn id="35" xr3:uid="{44B29051-BC65-4398-A8C2-68C716DC3A80}" uniqueName="35" name="Column35" totalsRowFunction="custom" queryTableFieldId="35" dataDxfId="185" totalsRowDxfId="75">
      <totalsRowFormula array="1">CONCATENATE(" ", chemslo_template[Column35], " ")</totalsRowFormula>
    </tableColumn>
    <tableColumn id="36" xr3:uid="{E68D4B65-35D3-4838-A602-400D67B84F40}" uniqueName="36" name="Column36" totalsRowFunction="custom" queryTableFieldId="36" dataDxfId="184" totalsRowDxfId="74">
      <totalsRowFormula array="1">CONCATENATE(" ", chemslo_template[Column36], " ")</totalsRowFormula>
    </tableColumn>
    <tableColumn id="37" xr3:uid="{241E54BE-F87F-4C7B-8DFB-87EDAEDC7F2C}" uniqueName="37" name="Column37" totalsRowFunction="custom" queryTableFieldId="37" dataDxfId="183" totalsRowDxfId="73">
      <totalsRowFormula array="1">CONCATENATE(" ", chemslo_template[Column37], " ")</totalsRowFormula>
    </tableColumn>
    <tableColumn id="38" xr3:uid="{54FD3BD4-63E0-4144-9DAE-1F34B8D921FF}" uniqueName="38" name="Column38" totalsRowFunction="custom" queryTableFieldId="38" dataDxfId="182" totalsRowDxfId="72">
      <totalsRowFormula array="1">CONCATENATE(" ", chemslo_template[Column38], " ")</totalsRowFormula>
    </tableColumn>
    <tableColumn id="39" xr3:uid="{80BC4B96-E17C-447B-B9C7-18D0ABC68730}" uniqueName="39" name="Column39" totalsRowFunction="custom" queryTableFieldId="39" dataDxfId="181" totalsRowDxfId="71">
      <totalsRowFormula array="1">CONCATENATE(" ", chemslo_template[Column39], " ")</totalsRowFormula>
    </tableColumn>
    <tableColumn id="40" xr3:uid="{512FCA2C-0498-4D36-9348-B5464B9071FC}" uniqueName="40" name="Column40" totalsRowFunction="custom" queryTableFieldId="40" dataDxfId="180" totalsRowDxfId="70">
      <totalsRowFormula array="1">CONCATENATE(" ", chemslo_template[Column40], " ")</totalsRowFormula>
    </tableColumn>
    <tableColumn id="41" xr3:uid="{37295E19-3723-459B-99E1-FD598D6FDF63}" uniqueName="41" name="Column41" totalsRowFunction="custom" queryTableFieldId="41" dataDxfId="179" totalsRowDxfId="69">
      <totalsRowFormula array="1">CONCATENATE(" ", chemslo_template[Column41], " ")</totalsRowFormula>
    </tableColumn>
    <tableColumn id="42" xr3:uid="{E7AE4400-2A35-4A7D-B915-B4E935B6E46C}" uniqueName="42" name="Column42" totalsRowFunction="custom" queryTableFieldId="42" dataDxfId="178" totalsRowDxfId="68">
      <totalsRowFormula array="1">CONCATENATE(" ", chemslo_template[Column42], " ")</totalsRowFormula>
    </tableColumn>
    <tableColumn id="43" xr3:uid="{C41671BE-112D-4FA4-8768-E588BEC0A693}" uniqueName="43" name="Column43" totalsRowFunction="custom" queryTableFieldId="43" dataDxfId="177" totalsRowDxfId="67">
      <totalsRowFormula array="1">CONCATENATE(" ", chemslo_template[Column43], " ")</totalsRowFormula>
    </tableColumn>
    <tableColumn id="44" xr3:uid="{DE482746-86E2-4304-B9C4-73EA274FF5F1}" uniqueName="44" name="Column44" totalsRowFunction="custom" queryTableFieldId="44" dataDxfId="176" totalsRowDxfId="66">
      <totalsRowFormula array="1">CONCATENATE(" ", chemslo_template[Column44], " ")</totalsRowFormula>
    </tableColumn>
    <tableColumn id="45" xr3:uid="{A0C6E606-5E62-4616-B9E1-077B859523E3}" uniqueName="45" name="Column45" totalsRowFunction="custom" queryTableFieldId="45" dataDxfId="175" totalsRowDxfId="65">
      <totalsRowFormula array="1">CONCATENATE(" ", chemslo_template[Column45], " ")</totalsRowFormula>
    </tableColumn>
    <tableColumn id="46" xr3:uid="{41C5B1AE-8A1E-478E-A4C7-971B5D1A6424}" uniqueName="46" name="Column46" totalsRowFunction="custom" queryTableFieldId="46" dataDxfId="174" totalsRowDxfId="64">
      <totalsRowFormula array="1">CONCATENATE(" ", chemslo_template[Column46], " ")</totalsRowFormula>
    </tableColumn>
    <tableColumn id="47" xr3:uid="{0A3E37D2-6F56-4C15-AE5A-38353BB58D06}" uniqueName="47" name="Column47" totalsRowFunction="custom" queryTableFieldId="47" dataDxfId="173" totalsRowDxfId="63">
      <totalsRowFormula array="1">CONCATENATE(" ", chemslo_template[Column47], " ")</totalsRowFormula>
    </tableColumn>
    <tableColumn id="48" xr3:uid="{61FFF33D-C59E-47F9-92A2-177CB651949B}" uniqueName="48" name="Column48" totalsRowFunction="custom" queryTableFieldId="48" dataDxfId="172" totalsRowDxfId="62">
      <totalsRowFormula array="1">CONCATENATE(" ", chemslo_template[Column48], " ")</totalsRowFormula>
    </tableColumn>
    <tableColumn id="49" xr3:uid="{0DA1A3E6-BC72-4556-83AE-C22C6A3E964B}" uniqueName="49" name="Column49" totalsRowFunction="custom" queryTableFieldId="49" dataDxfId="171" totalsRowDxfId="61">
      <totalsRowFormula array="1">CONCATENATE(" ", chemslo_template[Column49], " ")</totalsRowFormula>
    </tableColumn>
    <tableColumn id="50" xr3:uid="{36F8808E-7678-4820-9694-244D3672F55D}" uniqueName="50" name="Column50" totalsRowFunction="custom" queryTableFieldId="50" dataDxfId="170" totalsRowDxfId="60">
      <totalsRowFormula array="1">CONCATENATE(" ", chemslo_template[Column50], " ")</totalsRowFormula>
    </tableColumn>
    <tableColumn id="51" xr3:uid="{9F103C28-198B-429A-815D-24919FE316F8}" uniqueName="51" name="Column51" totalsRowFunction="custom" queryTableFieldId="51" dataDxfId="169" totalsRowDxfId="59">
      <totalsRowFormula array="1">CONCATENATE(" ", chemslo_template[Column51], " ")</totalsRowFormula>
    </tableColumn>
    <tableColumn id="52" xr3:uid="{194F5937-27C4-4D3C-801A-DFCCDB7CD48E}" uniqueName="52" name="Column52" totalsRowFunction="custom" queryTableFieldId="52" dataDxfId="168" totalsRowDxfId="58">
      <totalsRowFormula array="1">CONCATENATE(" ", chemslo_template[Column52], " ")</totalsRowFormula>
    </tableColumn>
    <tableColumn id="53" xr3:uid="{E1FB082D-4640-42F0-ADAB-89E9425B50D3}" uniqueName="53" name="Column53" totalsRowFunction="custom" queryTableFieldId="53" dataDxfId="167" totalsRowDxfId="57">
      <totalsRowFormula array="1">CONCATENATE(" ", chemslo_template[Column53], " ")</totalsRowFormula>
    </tableColumn>
    <tableColumn id="54" xr3:uid="{6919F476-D059-4E00-987E-76C585623211}" uniqueName="54" name="Column54" totalsRowFunction="custom" queryTableFieldId="54" dataDxfId="166" totalsRowDxfId="56">
      <totalsRowFormula array="1">CONCATENATE(" ", chemslo_template[Column54], " ")</totalsRowFormula>
    </tableColumn>
    <tableColumn id="55" xr3:uid="{2995E790-C20C-4653-9554-895E9DDFC2AB}" uniqueName="55" name="Column55" totalsRowFunction="custom" queryTableFieldId="55" dataDxfId="165" totalsRowDxfId="55">
      <totalsRowFormula array="1">CONCATENATE(" ", chemslo_template[Column55], " ")</totalsRowFormula>
    </tableColumn>
    <tableColumn id="56" xr3:uid="{66EE4460-5878-49E9-8C6F-C7B56E31FCF4}" uniqueName="56" name="Column56" totalsRowFunction="custom" queryTableFieldId="56" dataDxfId="164" totalsRowDxfId="54">
      <totalsRowFormula array="1">CONCATENATE(" ", chemslo_template[Column56], " ")</totalsRowFormula>
    </tableColumn>
    <tableColumn id="57" xr3:uid="{9D429170-3185-4D73-AC67-7600E1B83823}" uniqueName="57" name="Column57" totalsRowFunction="custom" queryTableFieldId="57" dataDxfId="163" totalsRowDxfId="53">
      <totalsRowFormula array="1">CONCATENATE(" ", chemslo_template[Column57], " ")</totalsRowFormula>
    </tableColumn>
    <tableColumn id="58" xr3:uid="{58DE0F20-9C1C-431F-8C26-96607132433E}" uniqueName="58" name="Column58" totalsRowFunction="custom" queryTableFieldId="58" dataDxfId="162" totalsRowDxfId="52">
      <totalsRowFormula array="1">CONCATENATE(" ", chemslo_template[Column58], " ")</totalsRowFormula>
    </tableColumn>
    <tableColumn id="59" xr3:uid="{55959778-7411-44AE-B9A4-F66C7DD6E1EA}" uniqueName="59" name="Column59" totalsRowFunction="custom" queryTableFieldId="59" dataDxfId="161" totalsRowDxfId="51">
      <totalsRowFormula array="1">CONCATENATE(" ", chemslo_template[Column59], " ")</totalsRowFormula>
    </tableColumn>
    <tableColumn id="60" xr3:uid="{F64799D8-1A5D-46AE-BE51-A58FDAFBC3C1}" uniqueName="60" name="Column60" totalsRowFunction="custom" queryTableFieldId="60" dataDxfId="160" totalsRowDxfId="50">
      <totalsRowFormula array="1">CONCATENATE(" ", chemslo_template[Column60], " ")</totalsRowFormula>
    </tableColumn>
    <tableColumn id="61" xr3:uid="{0F2D6C55-9B75-4138-BABF-32ACEFED30DF}" uniqueName="61" name="Column61" totalsRowFunction="custom" queryTableFieldId="61" dataDxfId="159" totalsRowDxfId="49">
      <totalsRowFormula array="1">CONCATENATE(" ", chemslo_template[Column61], " ")</totalsRowFormula>
    </tableColumn>
    <tableColumn id="62" xr3:uid="{67FA25D5-0B62-4872-9C9E-44EF69740A58}" uniqueName="62" name="Column62" totalsRowFunction="custom" queryTableFieldId="62" dataDxfId="158" totalsRowDxfId="48">
      <totalsRowFormula array="1">CONCATENATE(" ", chemslo_template[Column62], " ")</totalsRowFormula>
    </tableColumn>
    <tableColumn id="63" xr3:uid="{373CAF68-3198-4BD1-AAC0-23F83C71D170}" uniqueName="63" name="Column63" totalsRowFunction="custom" queryTableFieldId="63" dataDxfId="157" totalsRowDxfId="47">
      <totalsRowFormula array="1">CONCATENATE(" ", chemslo_template[Column63], " ")</totalsRowFormula>
    </tableColumn>
    <tableColumn id="64" xr3:uid="{1D05CDEE-A3F0-491B-885B-C53EADF77554}" uniqueName="64" name="Column64" totalsRowFunction="custom" queryTableFieldId="64" dataDxfId="156" totalsRowDxfId="46">
      <totalsRowFormula array="1">CONCATENATE(" ", chemslo_template[Column64], " ")</totalsRowFormula>
    </tableColumn>
    <tableColumn id="65" xr3:uid="{F04DD5B2-A9E2-4C0C-AE90-3DC832B842F1}" uniqueName="65" name="Column65" totalsRowFunction="custom" queryTableFieldId="65" dataDxfId="155" totalsRowDxfId="45">
      <totalsRowFormula array="1">CONCATENATE(" ", chemslo_template[Column65], " ")</totalsRowFormula>
    </tableColumn>
    <tableColumn id="66" xr3:uid="{2D4B0763-B416-4487-858F-48AA0C00F891}" uniqueName="66" name="Column66" totalsRowFunction="custom" queryTableFieldId="66" dataDxfId="154" totalsRowDxfId="44">
      <totalsRowFormula array="1">CONCATENATE(" ", chemslo_template[Column66], " ")</totalsRowFormula>
    </tableColumn>
    <tableColumn id="67" xr3:uid="{B6683CDE-568E-4839-9342-02B256058264}" uniqueName="67" name="Column67" totalsRowFunction="custom" queryTableFieldId="67" dataDxfId="153" totalsRowDxfId="43">
      <totalsRowFormula array="1">CONCATENATE(" ", chemslo_template[Column67], " ")</totalsRowFormula>
    </tableColumn>
    <tableColumn id="68" xr3:uid="{5D9D2095-A81A-4622-8C5C-6FE2790FC369}" uniqueName="68" name="Column68" totalsRowFunction="custom" queryTableFieldId="68" dataDxfId="152" totalsRowDxfId="42">
      <totalsRowFormula array="1">CONCATENATE(" ", chemslo_template[Column68], " ")</totalsRowFormula>
    </tableColumn>
    <tableColumn id="69" xr3:uid="{54AF1545-F553-477D-B499-0638A6F612D6}" uniqueName="69" name="Column69" totalsRowFunction="custom" queryTableFieldId="69" dataDxfId="151" totalsRowDxfId="41">
      <totalsRowFormula array="1">CONCATENATE(" ", chemslo_template[Column69], " ")</totalsRowFormula>
    </tableColumn>
    <tableColumn id="70" xr3:uid="{C6E43826-475E-4899-8793-D9D5983F4FD6}" uniqueName="70" name="Column70" totalsRowFunction="custom" queryTableFieldId="70" dataDxfId="150" totalsRowDxfId="40">
      <totalsRowFormula array="1">CONCATENATE(" ", chemslo_template[Column70], " ")</totalsRowFormula>
    </tableColumn>
    <tableColumn id="71" xr3:uid="{48089E74-BB12-4742-97A3-3537610048AE}" uniqueName="71" name="Column71" totalsRowFunction="custom" queryTableFieldId="71" dataDxfId="149" totalsRowDxfId="39">
      <totalsRowFormula array="1">CONCATENATE(" ", chemslo_template[Column71], " ")</totalsRowFormula>
    </tableColumn>
    <tableColumn id="72" xr3:uid="{FB2FFC64-C3D1-48D2-9608-5616B89D885C}" uniqueName="72" name="Column72" totalsRowFunction="custom" queryTableFieldId="72" dataDxfId="148" totalsRowDxfId="38">
      <totalsRowFormula array="1">CONCATENATE(" ", chemslo_template[Column72], " ")</totalsRowFormula>
    </tableColumn>
    <tableColumn id="73" xr3:uid="{BCE35EAE-FDB4-4274-AE94-94509EDF22B5}" uniqueName="73" name="Column73" totalsRowFunction="custom" queryTableFieldId="73" dataDxfId="147" totalsRowDxfId="37">
      <totalsRowFormula array="1">CONCATENATE(" ", chemslo_template[Column73], " ")</totalsRowFormula>
    </tableColumn>
    <tableColumn id="74" xr3:uid="{7BD522D2-21B7-4244-9E8B-DA5DEB8B89CD}" uniqueName="74" name="Column74" totalsRowFunction="custom" queryTableFieldId="74" dataDxfId="146" totalsRowDxfId="36">
      <totalsRowFormula array="1">CONCATENATE(" ", chemslo_template[Column74], " ")</totalsRowFormula>
    </tableColumn>
    <tableColumn id="75" xr3:uid="{BBBBACD3-BE87-49AF-A45C-760C2ACB362B}" uniqueName="75" name="Column75" totalsRowFunction="custom" queryTableFieldId="75" dataDxfId="145" totalsRowDxfId="35">
      <totalsRowFormula array="1">CONCATENATE(" ", chemslo_template[Column75], " ")</totalsRowFormula>
    </tableColumn>
    <tableColumn id="76" xr3:uid="{81975282-38E7-4097-863E-59A254793421}" uniqueName="76" name="Column76" totalsRowFunction="custom" queryTableFieldId="76" dataDxfId="144" totalsRowDxfId="34">
      <totalsRowFormula array="1">CONCATENATE(" ", chemslo_template[Column76], " ")</totalsRowFormula>
    </tableColumn>
    <tableColumn id="77" xr3:uid="{DD52B9F6-35AB-4276-B4B1-89669E0F5FA3}" uniqueName="77" name="Column77" totalsRowFunction="custom" queryTableFieldId="77" dataDxfId="143" totalsRowDxfId="33">
      <totalsRowFormula array="1">CONCATENATE(" ", chemslo_template[Column77], " ")</totalsRowFormula>
    </tableColumn>
    <tableColumn id="78" xr3:uid="{04EE1383-05C8-47EF-B24B-1E80F7D8DA20}" uniqueName="78" name="Column78" totalsRowFunction="custom" queryTableFieldId="78" dataDxfId="142" totalsRowDxfId="32">
      <totalsRowFormula array="1">CONCATENATE(" ", chemslo_template[Column78], " ")</totalsRowFormula>
    </tableColumn>
    <tableColumn id="79" xr3:uid="{E6DA7A7E-6BD6-4C8C-8764-9D0D86027F9B}" uniqueName="79" name="Column79" totalsRowFunction="custom" queryTableFieldId="79" dataDxfId="141" totalsRowDxfId="31">
      <totalsRowFormula array="1">CONCATENATE(" ", chemslo_template[Column79], " ")</totalsRowFormula>
    </tableColumn>
    <tableColumn id="80" xr3:uid="{E328711E-2D3B-46DD-9F15-3DF56761EE99}" uniqueName="80" name="Column80" totalsRowFunction="custom" queryTableFieldId="80" dataDxfId="140" totalsRowDxfId="30">
      <totalsRowFormula array="1">CONCATENATE(" ", chemslo_template[Column80], " ")</totalsRowFormula>
    </tableColumn>
    <tableColumn id="81" xr3:uid="{09E8A168-16C8-4DA7-8E82-F75C82E6C80C}" uniqueName="81" name="Column81" totalsRowFunction="custom" queryTableFieldId="81" dataDxfId="139" totalsRowDxfId="29">
      <totalsRowFormula array="1">CONCATENATE(" ", chemslo_template[Column81], " ")</totalsRowFormula>
    </tableColumn>
    <tableColumn id="82" xr3:uid="{9F93746E-3126-45E5-B6F9-0A0B720F3308}" uniqueName="82" name="Column82" totalsRowFunction="custom" queryTableFieldId="82" dataDxfId="138" totalsRowDxfId="28">
      <totalsRowFormula array="1">CONCATENATE(" ", chemslo_template[Column82], " ")</totalsRowFormula>
    </tableColumn>
    <tableColumn id="83" xr3:uid="{43A5E92A-7512-4452-B034-098C4EAF05D8}" uniqueName="83" name="Column83" totalsRowFunction="custom" queryTableFieldId="83" dataDxfId="137" totalsRowDxfId="27">
      <totalsRowFormula array="1">CONCATENATE(" ", chemslo_template[Column83], " ")</totalsRowFormula>
    </tableColumn>
    <tableColumn id="84" xr3:uid="{2868FB66-F201-4AEC-8FF3-AACED800891E}" uniqueName="84" name="Column84" totalsRowFunction="custom" queryTableFieldId="84" dataDxfId="136" totalsRowDxfId="26">
      <totalsRowFormula array="1">CONCATENATE(" ", chemslo_template[Column84], " ")</totalsRowFormula>
    </tableColumn>
    <tableColumn id="85" xr3:uid="{FBE4EBFB-0272-4460-8F0E-B1834446E2D3}" uniqueName="85" name="Column85" totalsRowFunction="custom" queryTableFieldId="85" dataDxfId="135" totalsRowDxfId="25">
      <totalsRowFormula array="1">CONCATENATE(" ", chemslo_template[Column85], " ")</totalsRowFormula>
    </tableColumn>
    <tableColumn id="86" xr3:uid="{32E6C4FF-A614-41A1-B890-0B2025659869}" uniqueName="86" name="Column86" totalsRowFunction="custom" queryTableFieldId="86" dataDxfId="134" totalsRowDxfId="24">
      <totalsRowFormula array="1">CONCATENATE(" ", chemslo_template[Column86], " ")</totalsRowFormula>
    </tableColumn>
    <tableColumn id="87" xr3:uid="{18A18381-5871-433E-9BF5-4F7F97BE01FB}" uniqueName="87" name="Column87" totalsRowFunction="custom" queryTableFieldId="87" dataDxfId="133" totalsRowDxfId="23">
      <totalsRowFormula array="1">CONCATENATE(" ", chemslo_template[Column87], " ")</totalsRowFormula>
    </tableColumn>
    <tableColumn id="88" xr3:uid="{32399E83-35BA-4F32-AD9F-33FF06DB70C0}" uniqueName="88" name="Column88" totalsRowFunction="custom" queryTableFieldId="88" dataDxfId="132" totalsRowDxfId="22">
      <totalsRowFormula array="1">CONCATENATE(" ", chemslo_template[Column88], " ")</totalsRowFormula>
    </tableColumn>
    <tableColumn id="89" xr3:uid="{C2591C82-CDBD-4CAC-96A3-CA207E58970F}" uniqueName="89" name="Column89" totalsRowFunction="custom" queryTableFieldId="89" dataDxfId="131" totalsRowDxfId="21">
      <totalsRowFormula array="1">CONCATENATE(" ", chemslo_template[Column89], " ")</totalsRowFormula>
    </tableColumn>
    <tableColumn id="90" xr3:uid="{A5D55A9C-CEE4-496B-AC85-E9AE61FE3D5D}" uniqueName="90" name="Column90" totalsRowFunction="custom" queryTableFieldId="90" dataDxfId="130" totalsRowDxfId="20">
      <totalsRowFormula array="1">CONCATENATE(" ", chemslo_template[Column90], " ")</totalsRowFormula>
    </tableColumn>
    <tableColumn id="91" xr3:uid="{F28EAFFD-3901-468A-A213-133D031B776D}" uniqueName="91" name="Column91" totalsRowFunction="custom" queryTableFieldId="91" dataDxfId="129" totalsRowDxfId="19">
      <totalsRowFormula array="1">CONCATENATE(" ", chemslo_template[Column91], " ")</totalsRowFormula>
    </tableColumn>
    <tableColumn id="92" xr3:uid="{4E4E73C3-ABB6-40F3-AA15-3E7326E9C140}" uniqueName="92" name="Column92" totalsRowFunction="custom" queryTableFieldId="92" dataDxfId="128" totalsRowDxfId="18">
      <totalsRowFormula array="1">CONCATENATE(" ", chemslo_template[Column92], " ")</totalsRowFormula>
    </tableColumn>
    <tableColumn id="93" xr3:uid="{91A02B08-4CAB-4586-A509-EB17B98B49DE}" uniqueName="93" name="Column93" totalsRowFunction="custom" queryTableFieldId="93" dataDxfId="127" totalsRowDxfId="17">
      <totalsRowFormula array="1">CONCATENATE(" ", chemslo_template[Column93], " ")</totalsRowFormula>
    </tableColumn>
    <tableColumn id="94" xr3:uid="{3168D4F3-67F1-4FAB-B04E-71B5B89D96D4}" uniqueName="94" name="Column94" totalsRowFunction="custom" queryTableFieldId="94" dataDxfId="126" totalsRowDxfId="16">
      <totalsRowFormula array="1">CONCATENATE(" ", chemslo_template[Column94], " ")</totalsRowFormula>
    </tableColumn>
    <tableColumn id="95" xr3:uid="{05459ED8-E8D6-414C-9009-7912E72EB359}" uniqueName="95" name="Column95" totalsRowFunction="custom" queryTableFieldId="95" dataDxfId="125" totalsRowDxfId="15">
      <totalsRowFormula array="1">CONCATENATE(" ", chemslo_template[Column95], " ")</totalsRowFormula>
    </tableColumn>
    <tableColumn id="96" xr3:uid="{0C5BC19C-FA3A-4416-B5C4-9145BA9E3AFF}" uniqueName="96" name="Column96" totalsRowFunction="custom" queryTableFieldId="96" dataDxfId="124" totalsRowDxfId="14">
      <totalsRowFormula array="1">CONCATENATE(" ", chemslo_template[Column96], " ")</totalsRowFormula>
    </tableColumn>
    <tableColumn id="97" xr3:uid="{ABDFBFA2-A6AE-4E36-BAD9-82C0360D20A1}" uniqueName="97" name="Column97" totalsRowFunction="custom" queryTableFieldId="97" dataDxfId="123" totalsRowDxfId="13">
      <totalsRowFormula array="1">CONCATENATE(" ", chemslo_template[Column97], " ")</totalsRowFormula>
    </tableColumn>
    <tableColumn id="98" xr3:uid="{CF057A66-CBBD-42F8-B4AD-97685F659FC4}" uniqueName="98" name="Column98" totalsRowFunction="custom" queryTableFieldId="98" dataDxfId="122" totalsRowDxfId="12">
      <totalsRowFormula array="1">CONCATENATE(" ", chemslo_template[Column98], " ")</totalsRowFormula>
    </tableColumn>
    <tableColumn id="99" xr3:uid="{EAA408ED-8344-4B47-8581-A2B6551A5CEC}" uniqueName="99" name="Column99" totalsRowFunction="custom" queryTableFieldId="99" dataDxfId="121" totalsRowDxfId="11">
      <totalsRowFormula array="1">CONCATENATE(" ", chemslo_template[Column99], " ")</totalsRowFormula>
    </tableColumn>
    <tableColumn id="100" xr3:uid="{4B622602-4963-448A-8513-6ACD60C4997A}" uniqueName="100" name="Column100" totalsRowFunction="custom" queryTableFieldId="100" dataDxfId="120" totalsRowDxfId="10">
      <totalsRowFormula array="1">CONCATENATE(" ", chemslo_template[Column100], " ")</totalsRowFormula>
    </tableColumn>
    <tableColumn id="101" xr3:uid="{23A5AD2A-6476-4C96-A6CB-10133CC5DAC1}" uniqueName="101" name="Column101" totalsRowFunction="custom" queryTableFieldId="101" dataDxfId="119" totalsRowDxfId="9">
      <totalsRowFormula array="1">CONCATENATE(" ", chemslo_template[Column101], " ")</totalsRowFormula>
    </tableColumn>
    <tableColumn id="102" xr3:uid="{117D827E-DE2F-41EA-A500-FD78AB032129}" uniqueName="102" name="Column102" totalsRowFunction="custom" queryTableFieldId="102" dataDxfId="118" totalsRowDxfId="8">
      <totalsRowFormula array="1">CONCATENATE(" ", chemslo_template[Column102], " ")</totalsRowFormula>
    </tableColumn>
    <tableColumn id="103" xr3:uid="{12F570D0-1899-4C17-880B-6A181040AAEF}" uniqueName="103" name="Column103" totalsRowFunction="custom" queryTableFieldId="103" dataDxfId="117" totalsRowDxfId="7">
      <totalsRowFormula array="1">CONCATENATE(" ", chemslo_template[Column103], " ")</totalsRowFormula>
    </tableColumn>
    <tableColumn id="104" xr3:uid="{052661D6-66FB-4D54-89BD-547B958C6FC3}" uniqueName="104" name="Column104" totalsRowFunction="custom" queryTableFieldId="104" dataDxfId="116" totalsRowDxfId="6">
      <totalsRowFormula array="1">CONCATENATE(" ", chemslo_template[Column104], " ")</totalsRowFormula>
    </tableColumn>
    <tableColumn id="105" xr3:uid="{9D4DD4D7-A48F-43A4-9913-0145E88E57C4}" uniqueName="105" name="Column105" totalsRowFunction="custom" queryTableFieldId="105" dataDxfId="115" totalsRowDxfId="5">
      <totalsRowFormula array="1">CONCATENATE(" ", chemslo_template[Column105], " ")</totalsRowFormula>
    </tableColumn>
    <tableColumn id="106" xr3:uid="{830D674B-7CFB-4CED-B350-46DCBB296028}" uniqueName="106" name="Column106" totalsRowFunction="custom" queryTableFieldId="106" dataDxfId="114" totalsRowDxfId="4">
      <totalsRowFormula array="1">CONCATENATE(" ", chemslo_template[Column106], " ")</totalsRowFormula>
    </tableColumn>
    <tableColumn id="107" xr3:uid="{E5375B60-0123-401F-B15F-B4DEE24FBC35}" uniqueName="107" name="Column107" totalsRowFunction="custom" queryTableFieldId="107" dataDxfId="113" totalsRowDxfId="3">
      <totalsRowFormula array="1">CONCATENATE(" ", chemslo_template[Column107], " ")</totalsRowFormula>
    </tableColumn>
    <tableColumn id="108" xr3:uid="{53EDB222-B9D9-416E-A11E-ED72BCDEF911}" uniqueName="108" name="Column108" totalsRowFunction="custom" queryTableFieldId="108" dataDxfId="112" totalsRowDxfId="2">
      <totalsRowFormula array="1">CONCATENATE(" ", chemslo_template[Column108], " ")</totalsRowFormula>
    </tableColumn>
    <tableColumn id="109" xr3:uid="{20FEB78D-A862-46D9-890F-C9AA6BE0C701}" uniqueName="109" name="Column109" totalsRowFunction="custom" queryTableFieldId="109" dataDxfId="111" totalsRowDxfId="1">
      <totalsRowFormula array="1">CONCATENATE(" ", chemslo_template[Column109], " ")</totalsRowFormula>
    </tableColumn>
    <tableColumn id="110" xr3:uid="{B93B26B4-F353-482F-9800-986BB162F2FB}" uniqueName="110" name="Column110" totalsRowFunction="custom" queryTableFieldId="110" dataDxfId="110" totalsRowDxfId="0">
      <totalsRowFormula array="1">CONCATENATE(" ", chemslo_template[Column110], " ")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FFEE-2512-455D-BD76-21F69FA155E3}">
  <dimension ref="A1:DF15"/>
  <sheetViews>
    <sheetView tabSelected="1" workbookViewId="0">
      <selection activeCell="A16" sqref="A16"/>
    </sheetView>
  </sheetViews>
  <sheetFormatPr defaultRowHeight="14.5" x14ac:dyDescent="0.35"/>
  <cols>
    <col min="1" max="2" width="10.54296875" bestFit="1" customWidth="1"/>
    <col min="3" max="3" width="16.1796875" bestFit="1" customWidth="1"/>
    <col min="4" max="5" width="10.54296875" bestFit="1" customWidth="1"/>
    <col min="6" max="6" width="17.26953125" bestFit="1" customWidth="1"/>
    <col min="7" max="8" width="10.54296875" bestFit="1" customWidth="1"/>
    <col min="9" max="9" width="17.26953125" bestFit="1" customWidth="1"/>
    <col min="10" max="10" width="11.54296875" bestFit="1" customWidth="1"/>
    <col min="11" max="11" width="18.6328125" bestFit="1" customWidth="1"/>
    <col min="12" max="12" width="14.1796875" bestFit="1" customWidth="1"/>
    <col min="13" max="13" width="13.6328125" bestFit="1" customWidth="1"/>
    <col min="14" max="14" width="14.26953125" bestFit="1" customWidth="1"/>
    <col min="15" max="15" width="14.54296875" bestFit="1" customWidth="1"/>
    <col min="16" max="16" width="15.36328125" bestFit="1" customWidth="1"/>
    <col min="17" max="17" width="14.6328125" bestFit="1" customWidth="1"/>
    <col min="18" max="18" width="15.36328125" bestFit="1" customWidth="1"/>
    <col min="19" max="20" width="11.54296875" bestFit="1" customWidth="1"/>
    <col min="21" max="21" width="14.1796875" bestFit="1" customWidth="1"/>
    <col min="22" max="22" width="12.54296875" bestFit="1" customWidth="1"/>
    <col min="23" max="23" width="14.36328125" bestFit="1" customWidth="1"/>
    <col min="24" max="29" width="11.54296875" bestFit="1" customWidth="1"/>
    <col min="30" max="30" width="11.81640625" bestFit="1" customWidth="1"/>
    <col min="31" max="31" width="17.81640625" bestFit="1" customWidth="1"/>
    <col min="32" max="32" width="19.90625" bestFit="1" customWidth="1"/>
    <col min="33" max="33" width="14.90625" bestFit="1" customWidth="1"/>
    <col min="34" max="34" width="12.1796875" bestFit="1" customWidth="1"/>
    <col min="35" max="35" width="12.7265625" bestFit="1" customWidth="1"/>
    <col min="36" max="36" width="17.54296875" bestFit="1" customWidth="1"/>
    <col min="37" max="37" width="16.26953125" bestFit="1" customWidth="1"/>
    <col min="38" max="38" width="24.26953125" bestFit="1" customWidth="1"/>
    <col min="39" max="39" width="25.26953125" bestFit="1" customWidth="1"/>
    <col min="40" max="40" width="19.54296875" bestFit="1" customWidth="1"/>
    <col min="41" max="42" width="11.54296875" bestFit="1" customWidth="1"/>
    <col min="43" max="43" width="28.453125" bestFit="1" customWidth="1"/>
    <col min="44" max="44" width="29.54296875" bestFit="1" customWidth="1"/>
    <col min="45" max="45" width="11.90625" bestFit="1" customWidth="1"/>
    <col min="46" max="46" width="11.54296875" bestFit="1" customWidth="1"/>
    <col min="47" max="47" width="15" bestFit="1" customWidth="1"/>
    <col min="48" max="48" width="11.90625" bestFit="1" customWidth="1"/>
    <col min="49" max="49" width="15.453125" bestFit="1" customWidth="1"/>
    <col min="50" max="50" width="21.26953125" bestFit="1" customWidth="1"/>
    <col min="51" max="51" width="18.26953125" bestFit="1" customWidth="1"/>
    <col min="52" max="53" width="11.54296875" bestFit="1" customWidth="1"/>
    <col min="54" max="54" width="22.7265625" bestFit="1" customWidth="1"/>
    <col min="55" max="55" width="12.54296875" bestFit="1" customWidth="1"/>
    <col min="56" max="56" width="19.08984375" bestFit="1" customWidth="1"/>
    <col min="57" max="57" width="21.26953125" bestFit="1" customWidth="1"/>
    <col min="58" max="58" width="19" bestFit="1" customWidth="1"/>
    <col min="59" max="59" width="21.54296875" bestFit="1" customWidth="1"/>
    <col min="60" max="60" width="23.90625" bestFit="1" customWidth="1"/>
    <col min="61" max="61" width="22.36328125" bestFit="1" customWidth="1"/>
    <col min="62" max="62" width="19" bestFit="1" customWidth="1"/>
    <col min="63" max="63" width="11.54296875" bestFit="1" customWidth="1"/>
    <col min="64" max="64" width="26.54296875" bestFit="1" customWidth="1"/>
    <col min="65" max="65" width="16.6328125" bestFit="1" customWidth="1"/>
    <col min="66" max="66" width="27.1796875" bestFit="1" customWidth="1"/>
    <col min="67" max="67" width="25.54296875" bestFit="1" customWidth="1"/>
    <col min="68" max="68" width="28.08984375" bestFit="1" customWidth="1"/>
    <col min="69" max="69" width="27.453125" bestFit="1" customWidth="1"/>
    <col min="70" max="70" width="29.36328125" bestFit="1" customWidth="1"/>
    <col min="71" max="71" width="29.7265625" bestFit="1" customWidth="1"/>
    <col min="72" max="72" width="15.6328125" bestFit="1" customWidth="1"/>
    <col min="73" max="73" width="22.08984375" bestFit="1" customWidth="1"/>
    <col min="74" max="74" width="16.6328125" bestFit="1" customWidth="1"/>
    <col min="75" max="75" width="17.26953125" bestFit="1" customWidth="1"/>
    <col min="76" max="76" width="16.54296875" bestFit="1" customWidth="1"/>
    <col min="77" max="77" width="14.54296875" bestFit="1" customWidth="1"/>
    <col min="78" max="78" width="16.6328125" bestFit="1" customWidth="1"/>
    <col min="79" max="79" width="19.36328125" bestFit="1" customWidth="1"/>
    <col min="80" max="80" width="13.54296875" bestFit="1" customWidth="1"/>
    <col min="81" max="81" width="21.6328125" bestFit="1" customWidth="1"/>
    <col min="82" max="82" width="14" bestFit="1" customWidth="1"/>
    <col min="83" max="83" width="17.453125" bestFit="1" customWidth="1"/>
    <col min="84" max="84" width="27.08984375" bestFit="1" customWidth="1"/>
    <col min="85" max="85" width="32.08984375" bestFit="1" customWidth="1"/>
    <col min="86" max="86" width="13.08984375" bestFit="1" customWidth="1"/>
    <col min="87" max="87" width="13.6328125" bestFit="1" customWidth="1"/>
    <col min="88" max="88" width="19.90625" bestFit="1" customWidth="1"/>
    <col min="89" max="89" width="18.36328125" bestFit="1" customWidth="1"/>
    <col min="90" max="90" width="25.1796875" bestFit="1" customWidth="1"/>
    <col min="91" max="91" width="26.453125" bestFit="1" customWidth="1"/>
    <col min="92" max="92" width="34.90625" bestFit="1" customWidth="1"/>
    <col min="93" max="93" width="12.90625" bestFit="1" customWidth="1"/>
    <col min="94" max="94" width="21.90625" bestFit="1" customWidth="1"/>
    <col min="95" max="95" width="22.81640625" bestFit="1" customWidth="1"/>
    <col min="96" max="96" width="22.54296875" bestFit="1" customWidth="1"/>
    <col min="97" max="98" width="11.54296875" bestFit="1" customWidth="1"/>
    <col min="99" max="99" width="18.54296875" bestFit="1" customWidth="1"/>
    <col min="100" max="105" width="12.54296875" bestFit="1" customWidth="1"/>
    <col min="106" max="106" width="13.26953125" bestFit="1" customWidth="1"/>
    <col min="107" max="107" width="16.6328125" bestFit="1" customWidth="1"/>
    <col min="108" max="108" width="14.54296875" bestFit="1" customWidth="1"/>
    <col min="109" max="109" width="15.7265625" bestFit="1" customWidth="1"/>
    <col min="110" max="110" width="16.54296875" bestFit="1" customWidth="1"/>
  </cols>
  <sheetData>
    <row r="1" spans="1:1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 spans="1:110" x14ac:dyDescent="0.35">
      <c r="A2" s="1" t="s">
        <v>218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116</v>
      </c>
      <c r="I2" s="1" t="s">
        <v>117</v>
      </c>
      <c r="J2" s="1" t="s">
        <v>118</v>
      </c>
      <c r="K2" s="1" t="s">
        <v>119</v>
      </c>
      <c r="L2" s="1" t="s">
        <v>120</v>
      </c>
      <c r="M2" s="1" t="s">
        <v>121</v>
      </c>
      <c r="N2" s="1" t="s">
        <v>122</v>
      </c>
      <c r="O2" s="1" t="s">
        <v>123</v>
      </c>
      <c r="P2" s="1" t="s">
        <v>124</v>
      </c>
      <c r="Q2" s="1" t="s">
        <v>125</v>
      </c>
      <c r="R2" s="1" t="s">
        <v>126</v>
      </c>
      <c r="S2" s="1" t="s">
        <v>127</v>
      </c>
      <c r="T2" s="1" t="s">
        <v>128</v>
      </c>
      <c r="U2" s="1" t="s">
        <v>129</v>
      </c>
      <c r="V2" s="1" t="s">
        <v>130</v>
      </c>
      <c r="W2" s="1" t="s">
        <v>131</v>
      </c>
      <c r="X2" s="1" t="s">
        <v>132</v>
      </c>
      <c r="Y2" s="1" t="s">
        <v>133</v>
      </c>
      <c r="Z2" s="1" t="s">
        <v>134</v>
      </c>
      <c r="AA2" s="1" t="s">
        <v>135</v>
      </c>
      <c r="AB2" s="1" t="s">
        <v>136</v>
      </c>
      <c r="AC2" s="1" t="s">
        <v>137</v>
      </c>
      <c r="AD2" s="1" t="s">
        <v>138</v>
      </c>
      <c r="AE2" s="1" t="s">
        <v>139</v>
      </c>
      <c r="AF2" s="1" t="s">
        <v>140</v>
      </c>
      <c r="AG2" s="1" t="s">
        <v>141</v>
      </c>
      <c r="AH2" s="1" t="s">
        <v>142</v>
      </c>
      <c r="AI2" s="1" t="s">
        <v>143</v>
      </c>
      <c r="AJ2" s="1" t="s">
        <v>144</v>
      </c>
      <c r="AK2" s="1" t="s">
        <v>145</v>
      </c>
      <c r="AL2" s="1" t="s">
        <v>146</v>
      </c>
      <c r="AM2" s="1" t="s">
        <v>147</v>
      </c>
      <c r="AN2" s="1" t="s">
        <v>148</v>
      </c>
      <c r="AO2" s="1" t="s">
        <v>149</v>
      </c>
      <c r="AP2" s="1" t="s">
        <v>150</v>
      </c>
      <c r="AQ2" s="1" t="s">
        <v>151</v>
      </c>
      <c r="AR2" s="1" t="s">
        <v>152</v>
      </c>
      <c r="AS2" s="1" t="s">
        <v>153</v>
      </c>
      <c r="AT2" s="1" t="s">
        <v>154</v>
      </c>
      <c r="AU2" s="1" t="s">
        <v>155</v>
      </c>
      <c r="AV2" s="1" t="s">
        <v>156</v>
      </c>
      <c r="AW2" s="1" t="s">
        <v>157</v>
      </c>
      <c r="AX2" s="1" t="s">
        <v>158</v>
      </c>
      <c r="AY2" s="1" t="s">
        <v>159</v>
      </c>
      <c r="AZ2" s="1" t="s">
        <v>160</v>
      </c>
      <c r="BA2" s="1" t="s">
        <v>161</v>
      </c>
      <c r="BB2" s="1" t="s">
        <v>162</v>
      </c>
      <c r="BC2" s="1" t="s">
        <v>163</v>
      </c>
      <c r="BD2" s="1" t="s">
        <v>164</v>
      </c>
      <c r="BE2" s="1" t="s">
        <v>165</v>
      </c>
      <c r="BF2" s="1" t="s">
        <v>166</v>
      </c>
      <c r="BG2" s="1" t="s">
        <v>167</v>
      </c>
      <c r="BH2" s="1" t="s">
        <v>168</v>
      </c>
      <c r="BI2" s="1" t="s">
        <v>169</v>
      </c>
      <c r="BJ2" s="1" t="s">
        <v>170</v>
      </c>
      <c r="BK2" s="1" t="s">
        <v>171</v>
      </c>
      <c r="BL2" s="1" t="s">
        <v>172</v>
      </c>
      <c r="BM2" s="1" t="s">
        <v>173</v>
      </c>
      <c r="BN2" s="1" t="s">
        <v>174</v>
      </c>
      <c r="BO2" s="1" t="s">
        <v>175</v>
      </c>
      <c r="BP2" s="1" t="s">
        <v>176</v>
      </c>
      <c r="BQ2" s="1" t="s">
        <v>177</v>
      </c>
      <c r="BR2" s="1" t="s">
        <v>178</v>
      </c>
      <c r="BS2" s="1" t="s">
        <v>179</v>
      </c>
      <c r="BT2" s="1" t="s">
        <v>180</v>
      </c>
      <c r="BU2" s="1" t="s">
        <v>181</v>
      </c>
      <c r="BV2" s="1" t="s">
        <v>182</v>
      </c>
      <c r="BW2" s="1" t="s">
        <v>183</v>
      </c>
      <c r="BX2" s="1" t="s">
        <v>184</v>
      </c>
      <c r="BY2" s="1" t="s">
        <v>185</v>
      </c>
      <c r="BZ2" s="1" t="s">
        <v>186</v>
      </c>
      <c r="CA2" s="1" t="s">
        <v>187</v>
      </c>
      <c r="CB2" s="1" t="s">
        <v>188</v>
      </c>
      <c r="CC2" s="1" t="s">
        <v>189</v>
      </c>
      <c r="CD2" s="1" t="s">
        <v>190</v>
      </c>
      <c r="CE2" s="1" t="s">
        <v>191</v>
      </c>
      <c r="CF2" s="1" t="s">
        <v>192</v>
      </c>
      <c r="CG2" s="1" t="s">
        <v>193</v>
      </c>
      <c r="CH2" s="1" t="s">
        <v>194</v>
      </c>
      <c r="CI2" s="1" t="s">
        <v>195</v>
      </c>
      <c r="CJ2" s="1" t="s">
        <v>196</v>
      </c>
      <c r="CK2" s="1" t="s">
        <v>197</v>
      </c>
      <c r="CL2" s="1" t="s">
        <v>198</v>
      </c>
      <c r="CM2" s="1" t="s">
        <v>199</v>
      </c>
      <c r="CN2" s="1" t="s">
        <v>200</v>
      </c>
      <c r="CO2" s="1" t="s">
        <v>201</v>
      </c>
      <c r="CP2" s="1" t="s">
        <v>202</v>
      </c>
      <c r="CQ2" s="1" t="s">
        <v>203</v>
      </c>
      <c r="CR2" s="1" t="s">
        <v>204</v>
      </c>
      <c r="CS2" s="1" t="s">
        <v>205</v>
      </c>
      <c r="CT2" s="1" t="s">
        <v>206</v>
      </c>
      <c r="CU2" s="1" t="s">
        <v>207</v>
      </c>
      <c r="CV2" s="1" t="s">
        <v>208</v>
      </c>
      <c r="CW2" s="1" t="s">
        <v>209</v>
      </c>
      <c r="CX2" s="1" t="s">
        <v>210</v>
      </c>
      <c r="CY2" s="1" t="s">
        <v>211</v>
      </c>
      <c r="CZ2" s="1" t="s">
        <v>212</v>
      </c>
      <c r="DA2" s="1" t="s">
        <v>213</v>
      </c>
      <c r="DB2" s="1" t="s">
        <v>214</v>
      </c>
      <c r="DC2" s="1" t="s">
        <v>215</v>
      </c>
      <c r="DD2" s="1" t="s">
        <v>216</v>
      </c>
      <c r="DE2" s="1" t="s">
        <v>217</v>
      </c>
      <c r="DF2" s="1" t="s">
        <v>219</v>
      </c>
    </row>
    <row r="3" spans="1:110" x14ac:dyDescent="0.35">
      <c r="A3" s="1" t="str" cm="1">
        <f t="array" ref="A3">CONCATENATE(" ", chemslo_template[Column1], " ")</f>
        <v xml:space="preserve"> název </v>
      </c>
      <c r="B3" s="1" t="str" cm="1">
        <f t="array" ref="B3">CONCATENATE(" ", chemslo_template[Column2], " ")</f>
        <v xml:space="preserve"> obrázek </v>
      </c>
      <c r="C3" s="1" t="str" cm="1">
        <f t="array" ref="C3">CONCATENATE(" ", chemslo_template[Column3], " ")</f>
        <v xml:space="preserve"> velikost obrázku </v>
      </c>
      <c r="D3" s="1" t="str" cm="1">
        <f t="array" ref="D3">CONCATENATE(" ", chemslo_template[Column4], " ")</f>
        <v xml:space="preserve"> popisek </v>
      </c>
      <c r="E3" s="1" t="str" cm="1">
        <f t="array" ref="E3">CONCATENATE(" ", chemslo_template[Column5], " ")</f>
        <v xml:space="preserve"> obrázek2 </v>
      </c>
      <c r="F3" s="1" t="str" cm="1">
        <f t="array" ref="F3">CONCATENATE(" ", chemslo_template[Column6], " ")</f>
        <v xml:space="preserve"> velikost obrázku2 </v>
      </c>
      <c r="G3" s="1" t="str" cm="1">
        <f t="array" ref="G3">CONCATENATE(" ", chemslo_template[Column7], " ")</f>
        <v xml:space="preserve"> popisek2 </v>
      </c>
      <c r="H3" s="1" t="str" cm="1">
        <f t="array" ref="H3">CONCATENATE(" ", chemslo_template[Column8], " ")</f>
        <v xml:space="preserve"> obrázek3 </v>
      </c>
      <c r="I3" s="1" t="str" cm="1">
        <f t="array" ref="I3">CONCATENATE(" ", chemslo_template[Column9], " ")</f>
        <v xml:space="preserve"> velikost obrázku3 </v>
      </c>
      <c r="J3" s="1" t="str" cm="1">
        <f t="array" ref="J3">CONCATENATE(" ", chemslo_template[Column10], " ")</f>
        <v xml:space="preserve"> popisek3 </v>
      </c>
      <c r="K3" s="1" t="str" cm="1">
        <f t="array" ref="K3">CONCATENATE(" ", chemslo_template[Column11], " ")</f>
        <v xml:space="preserve"> systematický název </v>
      </c>
      <c r="L3" s="1" t="str" cm="1">
        <f t="array" ref="L3">CONCATENATE(" ", chemslo_template[Column12], " ")</f>
        <v xml:space="preserve"> triviální název </v>
      </c>
      <c r="M3" s="1" t="str" cm="1">
        <f t="array" ref="M3">CONCATENATE(" ", chemslo_template[Column13], " ")</f>
        <v xml:space="preserve"> ostatní názvy </v>
      </c>
      <c r="N3" s="1" t="str" cm="1">
        <f t="array" ref="N3">CONCATENATE(" ", chemslo_template[Column14], " ")</f>
        <v xml:space="preserve"> latinský název </v>
      </c>
      <c r="O3" s="1" t="str" cm="1">
        <f t="array" ref="O3">CONCATENATE(" ", chemslo_template[Column15], " ")</f>
        <v xml:space="preserve"> anglický název </v>
      </c>
      <c r="P3" s="1" t="str" cm="1">
        <f t="array" ref="P3">CONCATENATE(" ", chemslo_template[Column16], " ")</f>
        <v xml:space="preserve"> německý název </v>
      </c>
      <c r="Q3" s="1" t="str" cm="1">
        <f t="array" ref="Q3">CONCATENATE(" ", chemslo_template[Column17], " ")</f>
        <v xml:space="preserve"> funkční vzorec </v>
      </c>
      <c r="R3" s="1" t="str" cm="1">
        <f t="array" ref="R3">CONCATENATE(" ", chemslo_template[Column18], " ")</f>
        <v xml:space="preserve"> sumární vzorec </v>
      </c>
      <c r="S3" s="1" t="str" cm="1">
        <f t="array" ref="S3">CONCATENATE(" ", chemslo_template[Column19], " ")</f>
        <v xml:space="preserve"> vzhled </v>
      </c>
      <c r="T3" s="1" t="str" cm="1">
        <f t="array" ref="T3">CONCATENATE(" ", chemslo_template[Column20], " ")</f>
        <v xml:space="preserve"> číslo CAS </v>
      </c>
      <c r="U3" s="1" t="str" cm="1">
        <f t="array" ref="U3">CONCATENATE(" ", chemslo_template[Column21], " ")</f>
        <v xml:space="preserve"> další čísla CAS </v>
      </c>
      <c r="V3" s="1" t="str" cm="1">
        <f t="array" ref="V3">CONCATENATE(" ", chemslo_template[Column22], " ")</f>
        <v xml:space="preserve"> číslo EINECS </v>
      </c>
      <c r="W3" s="1" t="str" cm="1">
        <f t="array" ref="W3">CONCATENATE(" ", chemslo_template[Column23], " ")</f>
        <v xml:space="preserve"> indexové číslo </v>
      </c>
      <c r="X3" s="1" t="str" cm="1">
        <f t="array" ref="X3">CONCATENATE(" ", chemslo_template[Column24], " ")</f>
        <v xml:space="preserve"> číslo EC </v>
      </c>
      <c r="Y3" s="1" t="str" cm="1">
        <f t="array" ref="Y3">CONCATENATE(" ", chemslo_template[Column25], " ")</f>
        <v xml:space="preserve"> PubChem </v>
      </c>
      <c r="Z3" s="1" t="str" cm="1">
        <f t="array" ref="Z3">CONCATENATE(" ", chemslo_template[Column26], " ")</f>
        <v xml:space="preserve"> ChEBI </v>
      </c>
      <c r="AA3" s="1" t="str" cm="1">
        <f t="array" ref="AA3">CONCATENATE(" ", chemslo_template[Column27], " ")</f>
        <v xml:space="preserve"> UN kód </v>
      </c>
      <c r="AB3" s="1" t="str" cm="1">
        <f t="array" ref="AB3">CONCATENATE(" ", chemslo_template[Column28], " ")</f>
        <v xml:space="preserve"> SMILES </v>
      </c>
      <c r="AC3" s="1" t="str" cm="1">
        <f t="array" ref="AC3">CONCATENATE(" ", chemslo_template[Column29], " ")</f>
        <v xml:space="preserve"> InChI </v>
      </c>
      <c r="AD3" s="1" t="str" cm="1">
        <f t="array" ref="AD3">CONCATENATE(" ", chemslo_template[Column30], " ")</f>
        <v xml:space="preserve"> číslo RTECS </v>
      </c>
      <c r="AE3" s="1" t="str" cm="1">
        <f t="array" ref="AE3">CONCATENATE(" ", chemslo_template[Column31], " ")</f>
        <v xml:space="preserve"> molární hmotnost </v>
      </c>
      <c r="AF3" s="1" t="str" cm="1">
        <f t="array" ref="AF3">CONCATENATE(" ", chemslo_template[Column32], " ")</f>
        <v xml:space="preserve"> molární koncentrace </v>
      </c>
      <c r="AG3" s="1" t="str" cm="1">
        <f t="array" ref="AG3">CONCATENATE(" ", chemslo_template[Column33], " ")</f>
        <v xml:space="preserve"> molární objem </v>
      </c>
      <c r="AH3" s="1" t="str" cm="1">
        <f t="array" ref="AH3">CONCATENATE(" ", chemslo_template[Column34], " ")</f>
        <v xml:space="preserve"> teplota tání </v>
      </c>
      <c r="AI3" s="1" t="str" cm="1">
        <f t="array" ref="AI3">CONCATENATE(" ", chemslo_template[Column35], " ")</f>
        <v xml:space="preserve"> teplota varu </v>
      </c>
      <c r="AJ3" s="1" t="str" cm="1">
        <f t="array" ref="AJ3">CONCATENATE(" ", chemslo_template[Column36], " ")</f>
        <v xml:space="preserve"> teplota sublimace </v>
      </c>
      <c r="AK3" s="1" t="str" cm="1">
        <f t="array" ref="AK3">CONCATENATE(" ", chemslo_template[Column37], " ")</f>
        <v xml:space="preserve"> teplota rozkladu </v>
      </c>
      <c r="AL3" s="1" t="str" cm="1">
        <f t="array" ref="AL3">CONCATENATE(" ", chemslo_template[Column38], " ")</f>
        <v xml:space="preserve"> teplota změny modifikace </v>
      </c>
      <c r="AM3" s="1" t="str" cm="1">
        <f t="array" ref="AM3">CONCATENATE(" ", chemslo_template[Column39], " ")</f>
        <v xml:space="preserve"> teplota skelného přechodu </v>
      </c>
      <c r="AN3" s="1" t="str" cm="1">
        <f t="array" ref="AN3">CONCATENATE(" ", chemslo_template[Column40], " ")</f>
        <v xml:space="preserve"> teplota dehydratace </v>
      </c>
      <c r="AO3" s="1" t="str" cm="1">
        <f t="array" ref="AO3">CONCATENATE(" ", chemslo_template[Column41], " ")</f>
        <v xml:space="preserve"> hustota </v>
      </c>
      <c r="AP3" s="1" t="str" cm="1">
        <f t="array" ref="AP3">CONCATENATE(" ", chemslo_template[Column42], " ")</f>
        <v xml:space="preserve"> viskozita </v>
      </c>
      <c r="AQ3" s="1" t="str" cm="1">
        <f t="array" ref="AQ3">CONCATENATE(" ", chemslo_template[Column43], " ")</f>
        <v xml:space="preserve"> dynamický viskozitní koeficient </v>
      </c>
      <c r="AR3" s="1" t="str" cm="1">
        <f t="array" ref="AR3">CONCATENATE(" ", chemslo_template[Column44], " ")</f>
        <v xml:space="preserve"> kinematický viskozitní koeficient </v>
      </c>
      <c r="AS3" s="1" t="str" cm="1">
        <f t="array" ref="AS3">CONCATENATE(" ", chemslo_template[Column45], " ")</f>
        <v xml:space="preserve"> index lomu </v>
      </c>
      <c r="AT3" s="1" t="str" cm="1">
        <f t="array" ref="AT3">CONCATENATE(" ", chemslo_template[Column46], " ")</f>
        <v xml:space="preserve"> tvrdost </v>
      </c>
      <c r="AU3" s="1" t="str" cm="1">
        <f t="array" ref="AU3">CONCATENATE(" ", chemslo_template[Column47], " ")</f>
        <v xml:space="preserve"> kritická teplota </v>
      </c>
      <c r="AV3" s="1" t="str" cm="1">
        <f t="array" ref="AV3">CONCATENATE(" ", chemslo_template[Column48], " ")</f>
        <v xml:space="preserve"> kritický tlak </v>
      </c>
      <c r="AW3" s="1" t="str" cm="1">
        <f t="array" ref="AW3">CONCATENATE(" ", chemslo_template[Column49], " ")</f>
        <v xml:space="preserve"> kritická hustota </v>
      </c>
      <c r="AX3" s="1" t="str" cm="1">
        <f t="array" ref="AX3">CONCATENATE(" ", chemslo_template[Column50], " ")</f>
        <v xml:space="preserve"> teplota trojného bodu </v>
      </c>
      <c r="AY3" s="1" t="str" cm="1">
        <f t="array" ref="AY3">CONCATENATE(" ", chemslo_template[Column51], " ")</f>
        <v xml:space="preserve"> tlak trojného bodu </v>
      </c>
      <c r="AZ3" s="1" t="str" cm="1">
        <f t="array" ref="AZ3">CONCATENATE(" ", chemslo_template[Column52], " ")</f>
        <v xml:space="preserve"> pKa </v>
      </c>
      <c r="BA3" s="1" t="str" cm="1">
        <f t="array" ref="BA3">CONCATENATE(" ", chemslo_template[Column53], " ")</f>
        <v xml:space="preserve"> pKb </v>
      </c>
      <c r="BB3" s="1" t="str" cm="1">
        <f t="array" ref="BB3">CONCATENATE(" ", chemslo_template[Column54], " ")</f>
        <v xml:space="preserve"> autoionizační konstanta </v>
      </c>
      <c r="BC3" s="1" t="str" cm="1">
        <f t="array" ref="BC3">CONCATENATE(" ", chemslo_template[Column55], " ")</f>
        <v xml:space="preserve"> rozpustnost </v>
      </c>
      <c r="BD3" s="1" t="str" cm="1">
        <f t="array" ref="BD3">CONCATENATE(" ", chemslo_template[Column56], " ")</f>
        <v xml:space="preserve"> rozpustnost polární </v>
      </c>
      <c r="BE3" s="1" t="str" cm="1">
        <f t="array" ref="BE3">CONCATENATE(" ", chemslo_template[Column57], " ")</f>
        <v xml:space="preserve"> rozpustnost nepolární </v>
      </c>
      <c r="BF3" s="1" t="str" cm="1">
        <f t="array" ref="BF3">CONCATENATE(" ", chemslo_template[Column58], " ")</f>
        <v xml:space="preserve"> součin rozpustnosti </v>
      </c>
      <c r="BG3" s="1" t="str" cm="1">
        <f t="array" ref="BG3">CONCATENATE(" ", chemslo_template[Column59], " ")</f>
        <v xml:space="preserve"> parametr rozpustnosti </v>
      </c>
      <c r="BH3" s="1" t="str" cm="1">
        <f t="array" ref="BH3">CONCATENATE(" ", chemslo_template[Column60], " ")</f>
        <v xml:space="preserve"> ebulioskopická konstanta </v>
      </c>
      <c r="BI3" s="1" t="str" cm="1">
        <f t="array" ref="BI3">CONCATENATE(" ", chemslo_template[Column61], " ")</f>
        <v xml:space="preserve"> kryoskopická konstanta </v>
      </c>
      <c r="BJ3" s="1" t="str" cm="1">
        <f t="array" ref="BJ3">CONCATENATE(" ", chemslo_template[Column62], " ")</f>
        <v xml:space="preserve"> relativní permitivita </v>
      </c>
      <c r="BK3" s="1" t="str" cm="1">
        <f t="array" ref="BK3">CONCATENATE(" ", chemslo_template[Column63], " ")</f>
        <v xml:space="preserve"> tlak páry </v>
      </c>
      <c r="BL3" s="1" t="str" cm="1">
        <f t="array" ref="BL3">CONCATENATE(" ", chemslo_template[Column64], " ")</f>
        <v xml:space="preserve"> Van der Waalsovy konstanty </v>
      </c>
      <c r="BM3" s="1" t="str" cm="1">
        <f t="array" ref="BM3">CONCATENATE(" ", chemslo_template[Column65], " ")</f>
        <v xml:space="preserve"> izoelektrický bod </v>
      </c>
      <c r="BN3" s="1" t="str" cm="1">
        <f t="array" ref="BN3">CONCATENATE(" ", chemslo_template[Column66], " ")</f>
        <v xml:space="preserve"> součinitel elektrické vodivosti </v>
      </c>
      <c r="BO3" s="1" t="str" cm="1">
        <f t="array" ref="BO3">CONCATENATE(" ", chemslo_template[Column67], " ")</f>
        <v xml:space="preserve"> součinitel tepelné vodivosti </v>
      </c>
      <c r="BP3" s="1" t="str" cm="1">
        <f t="array" ref="BP3">CONCATENATE(" ", chemslo_template[Column68], " ")</f>
        <v xml:space="preserve"> součinitel elektrického odporu </v>
      </c>
      <c r="BQ3" s="1" t="str" cm="1">
        <f t="array" ref="BQ3">CONCATENATE(" ", chemslo_template[Column69], " ")</f>
        <v xml:space="preserve"> součinitel délkové roztažnosti </v>
      </c>
      <c r="BR3" s="1" t="str" cm="1">
        <f t="array" ref="BR3">CONCATENATE(" ", chemslo_template[Column70], " ")</f>
        <v xml:space="preserve"> součinitel objemové roztažnosti </v>
      </c>
      <c r="BS3" s="1" t="str" cm="1">
        <f t="array" ref="BS3">CONCATENATE(" ", chemslo_template[Column71], " ")</f>
        <v xml:space="preserve"> měrná magnetická susceptibilita </v>
      </c>
      <c r="BT3" s="1" t="str" cm="1">
        <f t="array" ref="BT3">CONCATENATE(" ", chemslo_template[Column72], " ")</f>
        <v xml:space="preserve"> měrná vodivost </v>
      </c>
      <c r="BU3" s="1" t="str" cm="1">
        <f t="array" ref="BU3">CONCATENATE(" ", chemslo_template[Column73], " ")</f>
        <v xml:space="preserve"> měrný elektrický odpor </v>
      </c>
      <c r="BV3" s="1" t="str" cm="1">
        <f t="array" ref="BV3">CONCATENATE(" ", chemslo_template[Column74], " ")</f>
        <v xml:space="preserve"> ionizační energie </v>
      </c>
      <c r="BW3" s="1" t="str" cm="1">
        <f t="array" ref="BW3">CONCATENATE(" ", chemslo_template[Column75], " ")</f>
        <v xml:space="preserve"> povrchové napětí </v>
      </c>
      <c r="BX3" s="1" t="str" cm="1">
        <f t="array" ref="BX3">CONCATENATE(" ", chemslo_template[Column76], " ")</f>
        <v xml:space="preserve"> průměrný výskyt </v>
      </c>
      <c r="BY3" s="1" t="str" cm="1">
        <f t="array" ref="BY3">CONCATENATE(" ", chemslo_template[Column77], " ")</f>
        <v xml:space="preserve"> rychlost zvuku </v>
      </c>
      <c r="BZ3" s="1" t="str" cm="1">
        <f t="array" ref="BZ3">CONCATENATE(" ", chemslo_template[Column78], " ")</f>
        <v xml:space="preserve"> optická otáčivost </v>
      </c>
      <c r="CA3" s="1" t="str" cm="1">
        <f t="array" ref="CA3">CONCATENATE(" ", chemslo_template[Column79], " ")</f>
        <v xml:space="preserve"> krystalová struktura </v>
      </c>
      <c r="CB3" s="1" t="str" cm="1">
        <f t="array" ref="CB3">CONCATENATE(" ", chemslo_template[Column80], " ")</f>
        <v xml:space="preserve"> hrana mřížky </v>
      </c>
      <c r="CC3" s="1" t="str" cm="1">
        <f t="array" ref="CC3">CONCATENATE(" ", chemslo_template[Column81], " ")</f>
        <v xml:space="preserve"> koordinační geometrie </v>
      </c>
      <c r="CD3" s="1" t="str" cm="1">
        <f t="array" ref="CD3">CONCATENATE(" ", chemslo_template[Column82], " ")</f>
        <v xml:space="preserve"> tvar molekuly </v>
      </c>
      <c r="CE3" s="1" t="str" cm="1">
        <f t="array" ref="CE3">CONCATENATE(" ", chemslo_template[Column83], " ")</f>
        <v xml:space="preserve"> dipólový moment </v>
      </c>
      <c r="CF3" s="1" t="str" cm="1">
        <f t="array" ref="CF3">CONCATENATE(" ", chemslo_template[Column84], " ")</f>
        <v xml:space="preserve"> standardní slučovací entalpie </v>
      </c>
      <c r="CG3" s="1" t="str" cm="1">
        <f t="array" ref="CG3">CONCATENATE(" ", chemslo_template[Column85], " ")</f>
        <v xml:space="preserve"> standardní molární spalná entalpie </v>
      </c>
      <c r="CH3" s="1" t="str" cm="1">
        <f t="array" ref="CH3">CONCATENATE(" ", chemslo_template[Column86], " ")</f>
        <v xml:space="preserve"> entalpie tání </v>
      </c>
      <c r="CI3" s="1" t="str" cm="1">
        <f t="array" ref="CI3">CONCATENATE(" ", chemslo_template[Column87], " ")</f>
        <v xml:space="preserve"> entalpie varu </v>
      </c>
      <c r="CJ3" s="1" t="str" cm="1">
        <f t="array" ref="CJ3">CONCATENATE(" ", chemslo_template[Column88], " ")</f>
        <v xml:space="preserve"> entalpie rozpouštění </v>
      </c>
      <c r="CK3" s="1" t="str" cm="1">
        <f t="array" ref="CK3">CONCATENATE(" ", chemslo_template[Column89], " ")</f>
        <v xml:space="preserve"> entalpie sublimace </v>
      </c>
      <c r="CL3" s="1" t="str" cm="1">
        <f t="array" ref="CL3">CONCATENATE(" ", chemslo_template[Column90], " ")</f>
        <v xml:space="preserve"> entalpie změny modifikace </v>
      </c>
      <c r="CM3" s="1" t="str" cm="1">
        <f t="array" ref="CM3">CONCATENATE(" ", chemslo_template[Column91], " ")</f>
        <v xml:space="preserve"> standardní molární entropie </v>
      </c>
      <c r="CN3" s="1" t="str" cm="1">
        <f t="array" ref="CN3">CONCATENATE(" ", chemslo_template[Column92], " ")</f>
        <v xml:space="preserve"> standardní slučovací Gibbsova energie </v>
      </c>
      <c r="CO3" s="1" t="str" cm="1">
        <f t="array" ref="CO3">CONCATENATE(" ", chemslo_template[Column93], " ")</f>
        <v xml:space="preserve"> měrné teplo </v>
      </c>
      <c r="CP3" s="1" t="str" cm="1">
        <f t="array" ref="CP3">CONCATENATE(" ", chemslo_template[Column94], " ")</f>
        <v xml:space="preserve"> izobarické měrné teplo </v>
      </c>
      <c r="CQ3" s="1" t="str" cm="1">
        <f t="array" ref="CQ3">CONCATENATE(" ", chemslo_template[Column95], " ")</f>
        <v xml:space="preserve"> izochorické měrné teplo </v>
      </c>
      <c r="CR3" s="1" t="str" cm="1">
        <f t="array" ref="CR3">CONCATENATE(" ", chemslo_template[Column96], " ")</f>
        <v xml:space="preserve"> symboly nebezpečí GHS </v>
      </c>
      <c r="CS3" s="1" t="str" cm="1">
        <f t="array" ref="CS3">CONCATENATE(" ", chemslo_template[Column97], " ")</f>
        <v xml:space="preserve"> H-věty </v>
      </c>
      <c r="CT3" s="1" t="str" cm="1">
        <f t="array" ref="CT3">CONCATENATE(" ", chemslo_template[Column98], " ")</f>
        <v xml:space="preserve"> P-věty </v>
      </c>
      <c r="CU3" s="1" t="str" cm="1">
        <f t="array" ref="CU3">CONCATENATE(" ", chemslo_template[Column99], " ")</f>
        <v xml:space="preserve"> symboly nebezpečí </v>
      </c>
      <c r="CV3" s="1" t="str" cm="1">
        <f t="array" ref="CV3">CONCATENATE(" ", chemslo_template[Column100], " ")</f>
        <v xml:space="preserve"> R-věty </v>
      </c>
      <c r="CW3" s="1" t="str" cm="1">
        <f t="array" ref="CW3">CONCATENATE(" ", chemslo_template[Column101], " ")</f>
        <v xml:space="preserve"> S-věty </v>
      </c>
      <c r="CX3" s="1" t="str" cm="1">
        <f t="array" ref="CX3">CONCATENATE(" ", chemslo_template[Column102], " ")</f>
        <v xml:space="preserve"> NFPA 704 </v>
      </c>
      <c r="CY3" s="1" t="str" cm="1">
        <f t="array" ref="CY3">CONCATENATE(" ", chemslo_template[Column103], " ")</f>
        <v xml:space="preserve"> zdraví </v>
      </c>
      <c r="CZ3" s="1" t="str" cm="1">
        <f t="array" ref="CZ3">CONCATENATE(" ", chemslo_template[Column104], " ")</f>
        <v xml:space="preserve"> hořlavost </v>
      </c>
      <c r="DA3" s="1" t="str" cm="1">
        <f t="array" ref="DA3">CONCATENATE(" ", chemslo_template[Column105], " ")</f>
        <v xml:space="preserve"> reaktivita </v>
      </c>
      <c r="DB3" s="1" t="str" cm="1">
        <f t="array" ref="DB3">CONCATENATE(" ", chemslo_template[Column106], " ")</f>
        <v xml:space="preserve"> ostatní rizika </v>
      </c>
      <c r="DC3" s="1" t="str" cm="1">
        <f t="array" ref="DC3">CONCATENATE(" ", chemslo_template[Column107], " ")</f>
        <v xml:space="preserve"> teplota vzplanutí </v>
      </c>
      <c r="DD3" s="1" t="str" cm="1">
        <f t="array" ref="DD3">CONCATENATE(" ", chemslo_template[Column108], " ")</f>
        <v xml:space="preserve"> teplota hoření </v>
      </c>
      <c r="DE3" s="1" t="str" cm="1">
        <f t="array" ref="DE3">CONCATENATE(" ", chemslo_template[Column109], " ")</f>
        <v xml:space="preserve"> teplota vznícení </v>
      </c>
      <c r="DF3" s="1" t="str" cm="1">
        <f t="array" ref="DF3">CONCATENATE(" ", chemslo_template[Column110], " ")</f>
        <v xml:space="preserve"> meze výbušnosti </v>
      </c>
    </row>
    <row r="4" spans="1:110" x14ac:dyDescent="0.35">
      <c r="A4" t="str" cm="1">
        <f t="array" ref="A4">CONCATENATE(" ", chemslo_template[Column1])</f>
        <v xml:space="preserve"> název</v>
      </c>
      <c r="B4" t="str" cm="1">
        <f t="array" ref="B4">CONCATENATE(" ", chemslo_template[Column2])</f>
        <v xml:space="preserve"> obrázek</v>
      </c>
      <c r="C4" t="str" cm="1">
        <f t="array" ref="C4">CONCATENATE(" ", chemslo_template[Column3])</f>
        <v xml:space="preserve"> velikost obrázku</v>
      </c>
      <c r="D4" t="str" cm="1">
        <f t="array" ref="D4">CONCATENATE(" ", chemslo_template[Column4])</f>
        <v xml:space="preserve"> popisek</v>
      </c>
      <c r="E4" t="str" cm="1">
        <f t="array" ref="E4">CONCATENATE(" ", chemslo_template[Column5])</f>
        <v xml:space="preserve"> obrázek2</v>
      </c>
      <c r="F4" t="str" cm="1">
        <f t="array" ref="F4">CONCATENATE(" ", chemslo_template[Column6])</f>
        <v xml:space="preserve"> velikost obrázku2</v>
      </c>
      <c r="G4" t="str" cm="1">
        <f t="array" ref="G4">CONCATENATE(" ", chemslo_template[Column7])</f>
        <v xml:space="preserve"> popisek2</v>
      </c>
      <c r="H4" t="str" cm="1">
        <f t="array" ref="H4">CONCATENATE(" ", chemslo_template[Column8])</f>
        <v xml:space="preserve"> obrázek3</v>
      </c>
      <c r="I4" t="str" cm="1">
        <f t="array" ref="I4">CONCATENATE(" ", chemslo_template[Column9])</f>
        <v xml:space="preserve"> velikost obrázku3</v>
      </c>
      <c r="J4" t="str" cm="1">
        <f t="array" ref="J4">CONCATENATE(" ", chemslo_template[Column10])</f>
        <v xml:space="preserve"> popisek3</v>
      </c>
      <c r="K4" t="str" cm="1">
        <f t="array" ref="K4">CONCATENATE(" ", chemslo_template[Column11])</f>
        <v xml:space="preserve"> systematický název</v>
      </c>
      <c r="L4" t="str" cm="1">
        <f t="array" ref="L4">CONCATENATE(" ", chemslo_template[Column12])</f>
        <v xml:space="preserve"> triviální název</v>
      </c>
      <c r="M4" t="str" cm="1">
        <f t="array" ref="M4">CONCATENATE(" ", chemslo_template[Column13])</f>
        <v xml:space="preserve"> ostatní názvy</v>
      </c>
      <c r="N4" t="str" cm="1">
        <f t="array" ref="N4">CONCATENATE(" ", chemslo_template[Column14])</f>
        <v xml:space="preserve"> latinský název</v>
      </c>
      <c r="O4" t="str" cm="1">
        <f t="array" ref="O4">CONCATENATE(" ", chemslo_template[Column15])</f>
        <v xml:space="preserve"> anglický název</v>
      </c>
      <c r="P4" t="str" cm="1">
        <f t="array" ref="P4">CONCATENATE(" ", chemslo_template[Column16])</f>
        <v xml:space="preserve"> německý název</v>
      </c>
      <c r="Q4" t="str" cm="1">
        <f t="array" ref="Q4">CONCATENATE(" ", chemslo_template[Column17])</f>
        <v xml:space="preserve"> funkční vzorec</v>
      </c>
      <c r="R4" t="str" cm="1">
        <f t="array" ref="R4">CONCATENATE(" ", chemslo_template[Column18])</f>
        <v xml:space="preserve"> sumární vzorec</v>
      </c>
      <c r="S4" t="str" cm="1">
        <f t="array" ref="S4">CONCATENATE(" ", chemslo_template[Column19])</f>
        <v xml:space="preserve"> vzhled</v>
      </c>
      <c r="T4" t="str" cm="1">
        <f t="array" ref="T4">CONCATENATE(" ", chemslo_template[Column20])</f>
        <v xml:space="preserve"> číslo CAS</v>
      </c>
      <c r="U4" t="str" cm="1">
        <f t="array" ref="U4">CONCATENATE(" ", chemslo_template[Column21])</f>
        <v xml:space="preserve"> další čísla CAS</v>
      </c>
      <c r="V4" t="str" cm="1">
        <f t="array" ref="V4">CONCATENATE(" ", chemslo_template[Column22])</f>
        <v xml:space="preserve"> číslo EINECS</v>
      </c>
      <c r="W4" t="str" cm="1">
        <f t="array" ref="W4">CONCATENATE(" ", chemslo_template[Column23])</f>
        <v xml:space="preserve"> indexové číslo</v>
      </c>
      <c r="X4" t="str" cm="1">
        <f t="array" ref="X4">CONCATENATE(" ", chemslo_template[Column24])</f>
        <v xml:space="preserve"> číslo EC</v>
      </c>
      <c r="Y4" t="str" cm="1">
        <f t="array" ref="Y4">CONCATENATE(" ", chemslo_template[Column25])</f>
        <v xml:space="preserve"> PubChem</v>
      </c>
      <c r="Z4" t="str" cm="1">
        <f t="array" ref="Z4">CONCATENATE(" ", chemslo_template[Column26])</f>
        <v xml:space="preserve"> ChEBI</v>
      </c>
      <c r="AA4" t="str" cm="1">
        <f t="array" ref="AA4">CONCATENATE(" ", chemslo_template[Column27])</f>
        <v xml:space="preserve"> UN kód</v>
      </c>
      <c r="AB4" t="str" cm="1">
        <f t="array" ref="AB4">CONCATENATE(" ", chemslo_template[Column28])</f>
        <v xml:space="preserve"> SMILES</v>
      </c>
      <c r="AC4" t="str" cm="1">
        <f t="array" ref="AC4">CONCATENATE(" ", chemslo_template[Column29])</f>
        <v xml:space="preserve"> InChI</v>
      </c>
      <c r="AD4" t="str" cm="1">
        <f t="array" ref="AD4">CONCATENATE(" ", chemslo_template[Column30])</f>
        <v xml:space="preserve"> číslo RTECS</v>
      </c>
      <c r="AE4" t="str" cm="1">
        <f t="array" ref="AE4">CONCATENATE(" ", chemslo_template[Column31])</f>
        <v xml:space="preserve"> molární hmotnost</v>
      </c>
      <c r="AF4" t="str" cm="1">
        <f t="array" ref="AF4">CONCATENATE(" ", chemslo_template[Column32])</f>
        <v xml:space="preserve"> molární koncentrace</v>
      </c>
      <c r="AG4" t="str" cm="1">
        <f t="array" ref="AG4">CONCATENATE(" ", chemslo_template[Column33])</f>
        <v xml:space="preserve"> molární objem</v>
      </c>
      <c r="AH4" t="str" cm="1">
        <f t="array" ref="AH4">CONCATENATE(" ", chemslo_template[Column34])</f>
        <v xml:space="preserve"> teplota tání</v>
      </c>
      <c r="AI4" t="str" cm="1">
        <f t="array" ref="AI4">CONCATENATE(" ", chemslo_template[Column35])</f>
        <v xml:space="preserve"> teplota varu</v>
      </c>
      <c r="AJ4" t="str" cm="1">
        <f t="array" ref="AJ4">CONCATENATE(" ", chemslo_template[Column36])</f>
        <v xml:space="preserve"> teplota sublimace</v>
      </c>
      <c r="AK4" t="str" cm="1">
        <f t="array" ref="AK4">CONCATENATE(" ", chemslo_template[Column37])</f>
        <v xml:space="preserve"> teplota rozkladu</v>
      </c>
      <c r="AL4" t="str" cm="1">
        <f t="array" ref="AL4">CONCATENATE(" ", chemslo_template[Column38])</f>
        <v xml:space="preserve"> teplota změny modifikace</v>
      </c>
      <c r="AM4" t="str" cm="1">
        <f t="array" ref="AM4">CONCATENATE(" ", chemslo_template[Column39])</f>
        <v xml:space="preserve"> teplota skelného přechodu</v>
      </c>
      <c r="AN4" t="str" cm="1">
        <f t="array" ref="AN4">CONCATENATE(" ", chemslo_template[Column40])</f>
        <v xml:space="preserve"> teplota dehydratace</v>
      </c>
      <c r="AO4" t="str" cm="1">
        <f t="array" ref="AO4">CONCATENATE(" ", chemslo_template[Column41])</f>
        <v xml:space="preserve"> hustota</v>
      </c>
      <c r="AP4" t="str" cm="1">
        <f t="array" ref="AP4">CONCATENATE(" ", chemslo_template[Column42])</f>
        <v xml:space="preserve"> viskozita</v>
      </c>
      <c r="AQ4" t="str" cm="1">
        <f t="array" ref="AQ4">CONCATENATE(" ", chemslo_template[Column43])</f>
        <v xml:space="preserve"> dynamický viskozitní koeficient</v>
      </c>
      <c r="AR4" t="str" cm="1">
        <f t="array" ref="AR4">CONCATENATE(" ", chemslo_template[Column44])</f>
        <v xml:space="preserve"> kinematický viskozitní koeficient</v>
      </c>
      <c r="AS4" t="str" cm="1">
        <f t="array" ref="AS4">CONCATENATE(" ", chemslo_template[Column45])</f>
        <v xml:space="preserve"> index lomu</v>
      </c>
      <c r="AT4" t="str" cm="1">
        <f t="array" ref="AT4">CONCATENATE(" ", chemslo_template[Column46])</f>
        <v xml:space="preserve"> tvrdost</v>
      </c>
      <c r="AU4" t="str" cm="1">
        <f t="array" ref="AU4">CONCATENATE(" ", chemslo_template[Column47])</f>
        <v xml:space="preserve"> kritická teplota</v>
      </c>
      <c r="AV4" t="str" cm="1">
        <f t="array" ref="AV4">CONCATENATE(" ", chemslo_template[Column48])</f>
        <v xml:space="preserve"> kritický tlak</v>
      </c>
      <c r="AW4" t="str" cm="1">
        <f t="array" ref="AW4">CONCATENATE(" ", chemslo_template[Column49])</f>
        <v xml:space="preserve"> kritická hustota</v>
      </c>
      <c r="AX4" t="str" cm="1">
        <f t="array" ref="AX4">CONCATENATE(" ", chemslo_template[Column50])</f>
        <v xml:space="preserve"> teplota trojného bodu</v>
      </c>
      <c r="AY4" t="str" cm="1">
        <f t="array" ref="AY4">CONCATENATE(" ", chemslo_template[Column51])</f>
        <v xml:space="preserve"> tlak trojného bodu</v>
      </c>
      <c r="AZ4" t="str" cm="1">
        <f t="array" ref="AZ4">CONCATENATE(" ", chemslo_template[Column52])</f>
        <v xml:space="preserve"> pKa</v>
      </c>
      <c r="BA4" t="str" cm="1">
        <f t="array" ref="BA4">CONCATENATE(" ", chemslo_template[Column53])</f>
        <v xml:space="preserve"> pKb</v>
      </c>
      <c r="BB4" t="str" cm="1">
        <f t="array" ref="BB4">CONCATENATE(" ", chemslo_template[Column54])</f>
        <v xml:space="preserve"> autoionizační konstanta</v>
      </c>
      <c r="BC4" t="str" cm="1">
        <f t="array" ref="BC4">CONCATENATE(" ", chemslo_template[Column55])</f>
        <v xml:space="preserve"> rozpustnost</v>
      </c>
      <c r="BD4" t="str" cm="1">
        <f t="array" ref="BD4">CONCATENATE(" ", chemslo_template[Column56])</f>
        <v xml:space="preserve"> rozpustnost polární</v>
      </c>
      <c r="BE4" t="str" cm="1">
        <f t="array" ref="BE4">CONCATENATE(" ", chemslo_template[Column57])</f>
        <v xml:space="preserve"> rozpustnost nepolární</v>
      </c>
      <c r="BF4" t="str" cm="1">
        <f t="array" ref="BF4">CONCATENATE(" ", chemslo_template[Column58])</f>
        <v xml:space="preserve"> součin rozpustnosti</v>
      </c>
      <c r="BG4" t="str" cm="1">
        <f t="array" ref="BG4">CONCATENATE(" ", chemslo_template[Column59])</f>
        <v xml:space="preserve"> parametr rozpustnosti</v>
      </c>
      <c r="BH4" t="str" cm="1">
        <f t="array" ref="BH4">CONCATENATE(" ", chemslo_template[Column60])</f>
        <v xml:space="preserve"> ebulioskopická konstanta</v>
      </c>
      <c r="BI4" t="str" cm="1">
        <f t="array" ref="BI4">CONCATENATE(" ", chemslo_template[Column61])</f>
        <v xml:space="preserve"> kryoskopická konstanta</v>
      </c>
      <c r="BJ4" t="str" cm="1">
        <f t="array" ref="BJ4">CONCATENATE(" ", chemslo_template[Column62])</f>
        <v xml:space="preserve"> relativní permitivita</v>
      </c>
      <c r="BK4" t="str" cm="1">
        <f t="array" ref="BK4">CONCATENATE(" ", chemslo_template[Column63])</f>
        <v xml:space="preserve"> tlak páry</v>
      </c>
      <c r="BL4" t="str" cm="1">
        <f t="array" ref="BL4">CONCATENATE(" ", chemslo_template[Column64])</f>
        <v xml:space="preserve"> Van der Waalsovy konstanty</v>
      </c>
      <c r="BM4" t="str" cm="1">
        <f t="array" ref="BM4">CONCATENATE(" ", chemslo_template[Column65])</f>
        <v xml:space="preserve"> izoelektrický bod</v>
      </c>
      <c r="BN4" t="str" cm="1">
        <f t="array" ref="BN4">CONCATENATE(" ", chemslo_template[Column66])</f>
        <v xml:space="preserve"> součinitel elektrické vodivosti</v>
      </c>
      <c r="BO4" t="str" cm="1">
        <f t="array" ref="BO4">CONCATENATE(" ", chemslo_template[Column67])</f>
        <v xml:space="preserve"> součinitel tepelné vodivosti</v>
      </c>
      <c r="BP4" t="str" cm="1">
        <f t="array" ref="BP4">CONCATENATE(" ", chemslo_template[Column68])</f>
        <v xml:space="preserve"> součinitel elektrického odporu</v>
      </c>
      <c r="BQ4" t="str" cm="1">
        <f t="array" ref="BQ4">CONCATENATE(" ", chemslo_template[Column69])</f>
        <v xml:space="preserve"> součinitel délkové roztažnosti</v>
      </c>
      <c r="BR4" t="str" cm="1">
        <f t="array" ref="BR4">CONCATENATE(" ", chemslo_template[Column70])</f>
        <v xml:space="preserve"> součinitel objemové roztažnosti</v>
      </c>
      <c r="BS4" t="str" cm="1">
        <f t="array" ref="BS4">CONCATENATE(" ", chemslo_template[Column71])</f>
        <v xml:space="preserve"> měrná magnetická susceptibilita</v>
      </c>
      <c r="BT4" t="str" cm="1">
        <f t="array" ref="BT4">CONCATENATE(" ", chemslo_template[Column72])</f>
        <v xml:space="preserve"> měrná vodivost</v>
      </c>
      <c r="BU4" t="str" cm="1">
        <f t="array" ref="BU4">CONCATENATE(" ", chemslo_template[Column73])</f>
        <v xml:space="preserve"> měrný elektrický odpor</v>
      </c>
      <c r="BV4" t="str" cm="1">
        <f t="array" ref="BV4">CONCATENATE(" ", chemslo_template[Column74])</f>
        <v xml:space="preserve"> ionizační energie</v>
      </c>
      <c r="BW4" t="str" cm="1">
        <f t="array" ref="BW4">CONCATENATE(" ", chemslo_template[Column75])</f>
        <v xml:space="preserve"> povrchové napětí</v>
      </c>
      <c r="BX4" t="str" cm="1">
        <f t="array" ref="BX4">CONCATENATE(" ", chemslo_template[Column76])</f>
        <v xml:space="preserve"> průměrný výskyt</v>
      </c>
      <c r="BY4" t="str" cm="1">
        <f t="array" ref="BY4">CONCATENATE(" ", chemslo_template[Column77])</f>
        <v xml:space="preserve"> rychlost zvuku</v>
      </c>
      <c r="BZ4" t="str" cm="1">
        <f t="array" ref="BZ4">CONCATENATE(" ", chemslo_template[Column78])</f>
        <v xml:space="preserve"> optická otáčivost</v>
      </c>
      <c r="CA4" t="str" cm="1">
        <f t="array" ref="CA4">CONCATENATE(" ", chemslo_template[Column79])</f>
        <v xml:space="preserve"> krystalová struktura</v>
      </c>
      <c r="CB4" t="str" cm="1">
        <f t="array" ref="CB4">CONCATENATE(" ", chemslo_template[Column80])</f>
        <v xml:space="preserve"> hrana mřížky</v>
      </c>
      <c r="CC4" t="str" cm="1">
        <f t="array" ref="CC4">CONCATENATE(" ", chemslo_template[Column81])</f>
        <v xml:space="preserve"> koordinační geometrie</v>
      </c>
      <c r="CD4" t="str" cm="1">
        <f t="array" ref="CD4">CONCATENATE(" ", chemslo_template[Column82])</f>
        <v xml:space="preserve"> tvar molekuly</v>
      </c>
      <c r="CE4" t="str" cm="1">
        <f t="array" ref="CE4">CONCATENATE(" ", chemslo_template[Column83])</f>
        <v xml:space="preserve"> dipólový moment</v>
      </c>
      <c r="CF4" t="str" cm="1">
        <f t="array" ref="CF4">CONCATENATE(" ", chemslo_template[Column84])</f>
        <v xml:space="preserve"> standardní slučovací entalpie</v>
      </c>
      <c r="CG4" t="str" cm="1">
        <f t="array" ref="CG4">CONCATENATE(" ", chemslo_template[Column85])</f>
        <v xml:space="preserve"> standardní molární spalná entalpie</v>
      </c>
      <c r="CH4" t="str" cm="1">
        <f t="array" ref="CH4">CONCATENATE(" ", chemslo_template[Column86])</f>
        <v xml:space="preserve"> entalpie tání</v>
      </c>
      <c r="CI4" t="str" cm="1">
        <f t="array" ref="CI4">CONCATENATE(" ", chemslo_template[Column87])</f>
        <v xml:space="preserve"> entalpie varu</v>
      </c>
      <c r="CJ4" t="str" cm="1">
        <f t="array" ref="CJ4">CONCATENATE(" ", chemslo_template[Column88])</f>
        <v xml:space="preserve"> entalpie rozpouštění</v>
      </c>
      <c r="CK4" t="str" cm="1">
        <f t="array" ref="CK4">CONCATENATE(" ", chemslo_template[Column89])</f>
        <v xml:space="preserve"> entalpie sublimace</v>
      </c>
      <c r="CL4" t="str" cm="1">
        <f t="array" ref="CL4">CONCATENATE(" ", chemslo_template[Column90])</f>
        <v xml:space="preserve"> entalpie změny modifikace</v>
      </c>
      <c r="CM4" t="str" cm="1">
        <f t="array" ref="CM4">CONCATENATE(" ", chemslo_template[Column91])</f>
        <v xml:space="preserve"> standardní molární entropie</v>
      </c>
      <c r="CN4" t="str" cm="1">
        <f t="array" ref="CN4">CONCATENATE(" ", chemslo_template[Column92])</f>
        <v xml:space="preserve"> standardní slučovací Gibbsova energie</v>
      </c>
      <c r="CO4" t="str" cm="1">
        <f t="array" ref="CO4">CONCATENATE(" ", chemslo_template[Column93])</f>
        <v xml:space="preserve"> měrné teplo</v>
      </c>
      <c r="CP4" t="str" cm="1">
        <f t="array" ref="CP4">CONCATENATE(" ", chemslo_template[Column94])</f>
        <v xml:space="preserve"> izobarické měrné teplo</v>
      </c>
      <c r="CQ4" t="str" cm="1">
        <f t="array" ref="CQ4">CONCATENATE(" ", chemslo_template[Column95])</f>
        <v xml:space="preserve"> izochorické měrné teplo</v>
      </c>
      <c r="CR4" t="str" cm="1">
        <f t="array" ref="CR4">CONCATENATE(" ", chemslo_template[Column96])</f>
        <v xml:space="preserve"> symboly nebezpečí GHS</v>
      </c>
      <c r="CS4" t="str" cm="1">
        <f t="array" ref="CS4">CONCATENATE(" ", chemslo_template[Column97])</f>
        <v xml:space="preserve"> H-věty</v>
      </c>
      <c r="CT4" t="str" cm="1">
        <f t="array" ref="CT4">CONCATENATE(" ", chemslo_template[Column98])</f>
        <v xml:space="preserve"> P-věty</v>
      </c>
      <c r="CU4" t="str" cm="1">
        <f t="array" ref="CU4">CONCATENATE(" ", chemslo_template[Column99])</f>
        <v xml:space="preserve"> symboly nebezpečí</v>
      </c>
      <c r="CV4" t="str" cm="1">
        <f t="array" ref="CV4">CONCATENATE(" ", chemslo_template[Column100])</f>
        <v xml:space="preserve"> R-věty</v>
      </c>
      <c r="CW4" t="str" cm="1">
        <f t="array" ref="CW4">CONCATENATE(" ", chemslo_template[Column101])</f>
        <v xml:space="preserve"> S-věty</v>
      </c>
      <c r="CX4" t="str" cm="1">
        <f t="array" ref="CX4">CONCATENATE(" ", chemslo_template[Column102])</f>
        <v xml:space="preserve"> NFPA 704</v>
      </c>
      <c r="CY4" t="str" cm="1">
        <f t="array" ref="CY4">CONCATENATE(" ", chemslo_template[Column103])</f>
        <v xml:space="preserve"> zdraví</v>
      </c>
      <c r="CZ4" t="str" cm="1">
        <f t="array" ref="CZ4">CONCATENATE(" ", chemslo_template[Column104])</f>
        <v xml:space="preserve"> hořlavost</v>
      </c>
      <c r="DA4" t="str" cm="1">
        <f t="array" ref="DA4">CONCATENATE(" ", chemslo_template[Column105])</f>
        <v xml:space="preserve"> reaktivita</v>
      </c>
      <c r="DB4" t="str" cm="1">
        <f t="array" ref="DB4">CONCATENATE(" ", chemslo_template[Column106])</f>
        <v xml:space="preserve"> ostatní rizika</v>
      </c>
      <c r="DC4" t="str" cm="1">
        <f t="array" ref="DC4">CONCATENATE(" ", chemslo_template[Column107])</f>
        <v xml:space="preserve"> teplota vzplanutí</v>
      </c>
      <c r="DD4" t="str" cm="1">
        <f t="array" ref="DD4">CONCATENATE(" ", chemslo_template[Column108])</f>
        <v xml:space="preserve"> teplota hoření</v>
      </c>
      <c r="DE4" t="str" cm="1">
        <f t="array" ref="DE4">CONCATENATE(" ", chemslo_template[Column109])</f>
        <v xml:space="preserve"> teplota vznícení</v>
      </c>
      <c r="DF4" t="str" cm="1">
        <f t="array" ref="DF4">CONCATENATE(" ", chemslo_template[Column110])</f>
        <v xml:space="preserve"> meze výbušnosti</v>
      </c>
    </row>
    <row r="5" spans="1:110" x14ac:dyDescent="0.35">
      <c r="A5" t="str" cm="1">
        <f t="array" ref="A5">CONCATENATE(chemslo_template[Column1], " ")</f>
        <v xml:space="preserve">název </v>
      </c>
      <c r="B5" t="str" cm="1">
        <f t="array" ref="B5">CONCATENATE(chemslo_template[Column2], " ")</f>
        <v xml:space="preserve">obrázek </v>
      </c>
      <c r="C5" t="str" cm="1">
        <f t="array" ref="C5">CONCATENATE(chemslo_template[Column3], " ")</f>
        <v xml:space="preserve">velikost obrázku </v>
      </c>
      <c r="D5" t="str" cm="1">
        <f t="array" ref="D5">CONCATENATE(chemslo_template[Column4], " ")</f>
        <v xml:space="preserve">popisek </v>
      </c>
      <c r="E5" t="str" cm="1">
        <f t="array" ref="E5">CONCATENATE(chemslo_template[Column5], " ")</f>
        <v xml:space="preserve">obrázek2 </v>
      </c>
      <c r="F5" t="str" cm="1">
        <f t="array" ref="F5">CONCATENATE(chemslo_template[Column6], " ")</f>
        <v xml:space="preserve">velikost obrázku2 </v>
      </c>
      <c r="G5" t="str" cm="1">
        <f t="array" ref="G5">CONCATENATE(chemslo_template[Column7], " ")</f>
        <v xml:space="preserve">popisek2 </v>
      </c>
      <c r="H5" t="str" cm="1">
        <f t="array" ref="H5">CONCATENATE(chemslo_template[Column8], " ")</f>
        <v xml:space="preserve">obrázek3 </v>
      </c>
      <c r="I5" t="str" cm="1">
        <f t="array" ref="I5">CONCATENATE(chemslo_template[Column9], " ")</f>
        <v xml:space="preserve">velikost obrázku3 </v>
      </c>
      <c r="J5" t="str" cm="1">
        <f t="array" ref="J5">CONCATENATE(chemslo_template[Column10], " ")</f>
        <v xml:space="preserve">popisek3 </v>
      </c>
      <c r="K5" t="str" cm="1">
        <f t="array" ref="K5">CONCATENATE(chemslo_template[Column11], " ")</f>
        <v xml:space="preserve">systematický název </v>
      </c>
      <c r="L5" t="str" cm="1">
        <f t="array" ref="L5">CONCATENATE(chemslo_template[Column12], " ")</f>
        <v xml:space="preserve">triviální název </v>
      </c>
      <c r="M5" t="str" cm="1">
        <f t="array" ref="M5">CONCATENATE(chemslo_template[Column13], " ")</f>
        <v xml:space="preserve">ostatní názvy </v>
      </c>
      <c r="N5" t="str" cm="1">
        <f t="array" ref="N5">CONCATENATE(chemslo_template[Column14], " ")</f>
        <v xml:space="preserve">latinský název </v>
      </c>
      <c r="O5" t="str" cm="1">
        <f t="array" ref="O5">CONCATENATE(chemslo_template[Column15], " ")</f>
        <v xml:space="preserve">anglický název </v>
      </c>
      <c r="P5" t="str" cm="1">
        <f t="array" ref="P5">CONCATENATE(chemslo_template[Column16], " ")</f>
        <v xml:space="preserve">německý název </v>
      </c>
      <c r="Q5" t="str" cm="1">
        <f t="array" ref="Q5">CONCATENATE(chemslo_template[Column17], " ")</f>
        <v xml:space="preserve">funkční vzorec </v>
      </c>
      <c r="R5" t="str" cm="1">
        <f t="array" ref="R5">CONCATENATE(chemslo_template[Column18], " ")</f>
        <v xml:space="preserve">sumární vzorec </v>
      </c>
      <c r="S5" t="str" cm="1">
        <f t="array" ref="S5">CONCATENATE(chemslo_template[Column19], " ")</f>
        <v xml:space="preserve">vzhled </v>
      </c>
      <c r="T5" t="str" cm="1">
        <f t="array" ref="T5">CONCATENATE(chemslo_template[Column20], " ")</f>
        <v xml:space="preserve">číslo CAS </v>
      </c>
      <c r="U5" t="str" cm="1">
        <f t="array" ref="U5">CONCATENATE(chemslo_template[Column21], " ")</f>
        <v xml:space="preserve">další čísla CAS </v>
      </c>
      <c r="V5" t="str" cm="1">
        <f t="array" ref="V5">CONCATENATE(chemslo_template[Column22], " ")</f>
        <v xml:space="preserve">číslo EINECS </v>
      </c>
      <c r="W5" t="str" cm="1">
        <f t="array" ref="W5">CONCATENATE(chemslo_template[Column23], " ")</f>
        <v xml:space="preserve">indexové číslo </v>
      </c>
      <c r="X5" t="str" cm="1">
        <f t="array" ref="X5">CONCATENATE(chemslo_template[Column24], " ")</f>
        <v xml:space="preserve">číslo EC </v>
      </c>
      <c r="Y5" t="str" cm="1">
        <f t="array" ref="Y5">CONCATENATE(chemslo_template[Column25], " ")</f>
        <v xml:space="preserve">PubChem </v>
      </c>
      <c r="Z5" t="str" cm="1">
        <f t="array" ref="Z5">CONCATENATE(chemslo_template[Column26], " ")</f>
        <v xml:space="preserve">ChEBI </v>
      </c>
      <c r="AA5" t="str" cm="1">
        <f t="array" ref="AA5">CONCATENATE(chemslo_template[Column27], " ")</f>
        <v xml:space="preserve">UN kód </v>
      </c>
      <c r="AB5" t="str" cm="1">
        <f t="array" ref="AB5">CONCATENATE(chemslo_template[Column28], " ")</f>
        <v xml:space="preserve">SMILES </v>
      </c>
      <c r="AC5" t="str" cm="1">
        <f t="array" ref="AC5">CONCATENATE(chemslo_template[Column29], " ")</f>
        <v xml:space="preserve">InChI </v>
      </c>
      <c r="AD5" t="str" cm="1">
        <f t="array" ref="AD5">CONCATENATE(chemslo_template[Column30], " ")</f>
        <v xml:space="preserve">číslo RTECS </v>
      </c>
      <c r="AE5" t="str" cm="1">
        <f t="array" ref="AE5">CONCATENATE(chemslo_template[Column31], " ")</f>
        <v xml:space="preserve">molární hmotnost </v>
      </c>
      <c r="AF5" t="str" cm="1">
        <f t="array" ref="AF5">CONCATENATE(chemslo_template[Column32], " ")</f>
        <v xml:space="preserve">molární koncentrace </v>
      </c>
      <c r="AG5" t="str" cm="1">
        <f t="array" ref="AG5">CONCATENATE(chemslo_template[Column33], " ")</f>
        <v xml:space="preserve">molární objem </v>
      </c>
      <c r="AH5" t="str" cm="1">
        <f t="array" ref="AH5">CONCATENATE(chemslo_template[Column34], " ")</f>
        <v xml:space="preserve">teplota tání </v>
      </c>
      <c r="AI5" t="str" cm="1">
        <f t="array" ref="AI5">CONCATENATE(chemslo_template[Column35], " ")</f>
        <v xml:space="preserve">teplota varu </v>
      </c>
      <c r="AJ5" t="str" cm="1">
        <f t="array" ref="AJ5">CONCATENATE(chemslo_template[Column36], " ")</f>
        <v xml:space="preserve">teplota sublimace </v>
      </c>
      <c r="AK5" t="str" cm="1">
        <f t="array" ref="AK5">CONCATENATE(chemslo_template[Column37], " ")</f>
        <v xml:space="preserve">teplota rozkladu </v>
      </c>
      <c r="AL5" t="str" cm="1">
        <f t="array" ref="AL5">CONCATENATE(chemslo_template[Column38], " ")</f>
        <v xml:space="preserve">teplota změny modifikace </v>
      </c>
      <c r="AM5" t="str" cm="1">
        <f t="array" ref="AM5">CONCATENATE(chemslo_template[Column39], " ")</f>
        <v xml:space="preserve">teplota skelného přechodu </v>
      </c>
      <c r="AN5" t="str" cm="1">
        <f t="array" ref="AN5">CONCATENATE(chemslo_template[Column40], " ")</f>
        <v xml:space="preserve">teplota dehydratace </v>
      </c>
      <c r="AO5" t="str" cm="1">
        <f t="array" ref="AO5">CONCATENATE(chemslo_template[Column41], " ")</f>
        <v xml:space="preserve">hustota </v>
      </c>
      <c r="AP5" t="str" cm="1">
        <f t="array" ref="AP5">CONCATENATE(chemslo_template[Column42], " ")</f>
        <v xml:space="preserve">viskozita </v>
      </c>
      <c r="AQ5" t="str" cm="1">
        <f t="array" ref="AQ5">CONCATENATE(chemslo_template[Column43], " ")</f>
        <v xml:space="preserve">dynamický viskozitní koeficient </v>
      </c>
      <c r="AR5" t="str" cm="1">
        <f t="array" ref="AR5">CONCATENATE(chemslo_template[Column44], " ")</f>
        <v xml:space="preserve">kinematický viskozitní koeficient </v>
      </c>
      <c r="AS5" t="str" cm="1">
        <f t="array" ref="AS5">CONCATENATE(chemslo_template[Column45], " ")</f>
        <v xml:space="preserve">index lomu </v>
      </c>
      <c r="AT5" t="str" cm="1">
        <f t="array" ref="AT5">CONCATENATE(chemslo_template[Column46], " ")</f>
        <v xml:space="preserve">tvrdost </v>
      </c>
      <c r="AU5" t="str" cm="1">
        <f t="array" ref="AU5">CONCATENATE(chemslo_template[Column47], " ")</f>
        <v xml:space="preserve">kritická teplota </v>
      </c>
      <c r="AV5" t="str" cm="1">
        <f t="array" ref="AV5">CONCATENATE(chemslo_template[Column48], " ")</f>
        <v xml:space="preserve">kritický tlak </v>
      </c>
      <c r="AW5" t="str" cm="1">
        <f t="array" ref="AW5">CONCATENATE(chemslo_template[Column49], " ")</f>
        <v xml:space="preserve">kritická hustota </v>
      </c>
      <c r="AX5" t="str" cm="1">
        <f t="array" ref="AX5">CONCATENATE(chemslo_template[Column50], " ")</f>
        <v xml:space="preserve">teplota trojného bodu </v>
      </c>
      <c r="AY5" t="str" cm="1">
        <f t="array" ref="AY5">CONCATENATE(chemslo_template[Column51], " ")</f>
        <v xml:space="preserve">tlak trojného bodu </v>
      </c>
      <c r="AZ5" t="str" cm="1">
        <f t="array" ref="AZ5">CONCATENATE(chemslo_template[Column52], " ")</f>
        <v xml:space="preserve">pKa </v>
      </c>
      <c r="BA5" t="str" cm="1">
        <f t="array" ref="BA5">CONCATENATE(chemslo_template[Column53], " ")</f>
        <v xml:space="preserve">pKb </v>
      </c>
      <c r="BB5" t="str" cm="1">
        <f t="array" ref="BB5">CONCATENATE(chemslo_template[Column54], " ")</f>
        <v xml:space="preserve">autoionizační konstanta </v>
      </c>
      <c r="BC5" t="str" cm="1">
        <f t="array" ref="BC5">CONCATENATE(chemslo_template[Column55], " ")</f>
        <v xml:space="preserve">rozpustnost </v>
      </c>
      <c r="BD5" t="str" cm="1">
        <f t="array" ref="BD5">CONCATENATE(chemslo_template[Column56], " ")</f>
        <v xml:space="preserve">rozpustnost polární </v>
      </c>
      <c r="BE5" t="str" cm="1">
        <f t="array" ref="BE5">CONCATENATE(chemslo_template[Column57], " ")</f>
        <v xml:space="preserve">rozpustnost nepolární </v>
      </c>
      <c r="BF5" t="str" cm="1">
        <f t="array" ref="BF5">CONCATENATE(chemslo_template[Column58], " ")</f>
        <v xml:space="preserve">součin rozpustnosti </v>
      </c>
      <c r="BG5" t="str" cm="1">
        <f t="array" ref="BG5">CONCATENATE(chemslo_template[Column59], " ")</f>
        <v xml:space="preserve">parametr rozpustnosti </v>
      </c>
      <c r="BH5" t="str" cm="1">
        <f t="array" ref="BH5">CONCATENATE(chemslo_template[Column60], " ")</f>
        <v xml:space="preserve">ebulioskopická konstanta </v>
      </c>
      <c r="BI5" t="str" cm="1">
        <f t="array" ref="BI5">CONCATENATE(chemslo_template[Column61], " ")</f>
        <v xml:space="preserve">kryoskopická konstanta </v>
      </c>
      <c r="BJ5" t="str" cm="1">
        <f t="array" ref="BJ5">CONCATENATE(chemslo_template[Column62], " ")</f>
        <v xml:space="preserve">relativní permitivita </v>
      </c>
      <c r="BK5" t="str" cm="1">
        <f t="array" ref="BK5">CONCATENATE(chemslo_template[Column63], " ")</f>
        <v xml:space="preserve">tlak páry </v>
      </c>
      <c r="BL5" t="str" cm="1">
        <f t="array" ref="BL5">CONCATENATE(chemslo_template[Column64], " ")</f>
        <v xml:space="preserve">Van der Waalsovy konstanty </v>
      </c>
      <c r="BM5" t="str" cm="1">
        <f t="array" ref="BM5">CONCATENATE(chemslo_template[Column65], " ")</f>
        <v xml:space="preserve">izoelektrický bod </v>
      </c>
      <c r="BN5" t="str" cm="1">
        <f t="array" ref="BN5">CONCATENATE(chemslo_template[Column66], " ")</f>
        <v xml:space="preserve">součinitel elektrické vodivosti </v>
      </c>
      <c r="BO5" t="str" cm="1">
        <f t="array" ref="BO5">CONCATENATE(chemslo_template[Column67], " ")</f>
        <v xml:space="preserve">součinitel tepelné vodivosti </v>
      </c>
      <c r="BP5" t="str" cm="1">
        <f t="array" ref="BP5">CONCATENATE(chemslo_template[Column68], " ")</f>
        <v xml:space="preserve">součinitel elektrického odporu </v>
      </c>
      <c r="BQ5" t="str" cm="1">
        <f t="array" ref="BQ5">CONCATENATE(chemslo_template[Column69], " ")</f>
        <v xml:space="preserve">součinitel délkové roztažnosti </v>
      </c>
      <c r="BR5" t="str" cm="1">
        <f t="array" ref="BR5">CONCATENATE(chemslo_template[Column70], " ")</f>
        <v xml:space="preserve">součinitel objemové roztažnosti </v>
      </c>
      <c r="BS5" t="str" cm="1">
        <f t="array" ref="BS5">CONCATENATE(chemslo_template[Column71], " ")</f>
        <v xml:space="preserve">měrná magnetická susceptibilita </v>
      </c>
      <c r="BT5" t="str" cm="1">
        <f t="array" ref="BT5">CONCATENATE(chemslo_template[Column72], " ")</f>
        <v xml:space="preserve">měrná vodivost </v>
      </c>
      <c r="BU5" t="str" cm="1">
        <f t="array" ref="BU5">CONCATENATE(chemslo_template[Column73], " ")</f>
        <v xml:space="preserve">měrný elektrický odpor </v>
      </c>
      <c r="BV5" t="str" cm="1">
        <f t="array" ref="BV5">CONCATENATE(chemslo_template[Column74], " ")</f>
        <v xml:space="preserve">ionizační energie </v>
      </c>
      <c r="BW5" t="str" cm="1">
        <f t="array" ref="BW5">CONCATENATE(chemslo_template[Column75], " ")</f>
        <v xml:space="preserve">povrchové napětí </v>
      </c>
      <c r="BX5" t="str" cm="1">
        <f t="array" ref="BX5">CONCATENATE(chemslo_template[Column76], " ")</f>
        <v xml:space="preserve">průměrný výskyt </v>
      </c>
      <c r="BY5" t="str" cm="1">
        <f t="array" ref="BY5">CONCATENATE(chemslo_template[Column77], " ")</f>
        <v xml:space="preserve">rychlost zvuku </v>
      </c>
      <c r="BZ5" t="str" cm="1">
        <f t="array" ref="BZ5">CONCATENATE(chemslo_template[Column78], " ")</f>
        <v xml:space="preserve">optická otáčivost </v>
      </c>
      <c r="CA5" t="str" cm="1">
        <f t="array" ref="CA5">CONCATENATE(chemslo_template[Column79], " ")</f>
        <v xml:space="preserve">krystalová struktura </v>
      </c>
      <c r="CB5" t="str" cm="1">
        <f t="array" ref="CB5">CONCATENATE(chemslo_template[Column80], " ")</f>
        <v xml:space="preserve">hrana mřížky </v>
      </c>
      <c r="CC5" t="str" cm="1">
        <f t="array" ref="CC5">CONCATENATE(chemslo_template[Column81], " ")</f>
        <v xml:space="preserve">koordinační geometrie </v>
      </c>
      <c r="CD5" t="str" cm="1">
        <f t="array" ref="CD5">CONCATENATE(chemslo_template[Column82], " ")</f>
        <v xml:space="preserve">tvar molekuly </v>
      </c>
      <c r="CE5" t="str" cm="1">
        <f t="array" ref="CE5">CONCATENATE(chemslo_template[Column83], " ")</f>
        <v xml:space="preserve">dipólový moment </v>
      </c>
      <c r="CF5" t="str" cm="1">
        <f t="array" ref="CF5">CONCATENATE(chemslo_template[Column84], " ")</f>
        <v xml:space="preserve">standardní slučovací entalpie </v>
      </c>
      <c r="CG5" t="str" cm="1">
        <f t="array" ref="CG5">CONCATENATE(chemslo_template[Column85], " ")</f>
        <v xml:space="preserve">standardní molární spalná entalpie </v>
      </c>
      <c r="CH5" t="str" cm="1">
        <f t="array" ref="CH5">CONCATENATE(chemslo_template[Column86], " ")</f>
        <v xml:space="preserve">entalpie tání </v>
      </c>
      <c r="CI5" t="str" cm="1">
        <f t="array" ref="CI5">CONCATENATE(chemslo_template[Column87], " ")</f>
        <v xml:space="preserve">entalpie varu </v>
      </c>
      <c r="CJ5" t="str" cm="1">
        <f t="array" ref="CJ5">CONCATENATE(chemslo_template[Column88], " ")</f>
        <v xml:space="preserve">entalpie rozpouštění </v>
      </c>
      <c r="CK5" t="str" cm="1">
        <f t="array" ref="CK5">CONCATENATE(chemslo_template[Column89], " ")</f>
        <v xml:space="preserve">entalpie sublimace </v>
      </c>
      <c r="CL5" t="str" cm="1">
        <f t="array" ref="CL5">CONCATENATE(chemslo_template[Column90], " ")</f>
        <v xml:space="preserve">entalpie změny modifikace </v>
      </c>
      <c r="CM5" t="str" cm="1">
        <f t="array" ref="CM5">CONCATENATE(chemslo_template[Column91], " ")</f>
        <v xml:space="preserve">standardní molární entropie </v>
      </c>
      <c r="CN5" t="str" cm="1">
        <f t="array" ref="CN5">CONCATENATE(chemslo_template[Column92], " ")</f>
        <v xml:space="preserve">standardní slučovací Gibbsova energie </v>
      </c>
      <c r="CO5" t="str" cm="1">
        <f t="array" ref="CO5">CONCATENATE(chemslo_template[Column93], " ")</f>
        <v xml:space="preserve">měrné teplo </v>
      </c>
      <c r="CP5" t="str" cm="1">
        <f t="array" ref="CP5">CONCATENATE(chemslo_template[Column94], " ")</f>
        <v xml:space="preserve">izobarické měrné teplo </v>
      </c>
      <c r="CQ5" t="str" cm="1">
        <f t="array" ref="CQ5">CONCATENATE(chemslo_template[Column95], " ")</f>
        <v xml:space="preserve">izochorické měrné teplo </v>
      </c>
      <c r="CR5" t="str" cm="1">
        <f t="array" ref="CR5">CONCATENATE(chemslo_template[Column96], " ")</f>
        <v xml:space="preserve">symboly nebezpečí GHS </v>
      </c>
      <c r="CS5" t="str" cm="1">
        <f t="array" ref="CS5">CONCATENATE(chemslo_template[Column97], " ")</f>
        <v xml:space="preserve">H-věty </v>
      </c>
      <c r="CT5" t="str" cm="1">
        <f t="array" ref="CT5">CONCATENATE(chemslo_template[Column98], " ")</f>
        <v xml:space="preserve">P-věty </v>
      </c>
      <c r="CU5" t="str" cm="1">
        <f t="array" ref="CU5">CONCATENATE(chemslo_template[Column99], " ")</f>
        <v xml:space="preserve">symboly nebezpečí </v>
      </c>
      <c r="CV5" t="str" cm="1">
        <f t="array" ref="CV5">CONCATENATE(chemslo_template[Column100], " ")</f>
        <v xml:space="preserve">R-věty </v>
      </c>
      <c r="CW5" t="str" cm="1">
        <f t="array" ref="CW5">CONCATENATE(chemslo_template[Column101], " ")</f>
        <v xml:space="preserve">S-věty </v>
      </c>
      <c r="CX5" t="str" cm="1">
        <f t="array" ref="CX5">CONCATENATE(chemslo_template[Column102], " ")</f>
        <v xml:space="preserve">NFPA 704 </v>
      </c>
      <c r="CY5" t="str" cm="1">
        <f t="array" ref="CY5">CONCATENATE(chemslo_template[Column103], " ")</f>
        <v xml:space="preserve">zdraví </v>
      </c>
      <c r="CZ5" t="str" cm="1">
        <f t="array" ref="CZ5">CONCATENATE(chemslo_template[Column104], " ")</f>
        <v xml:space="preserve">hořlavost </v>
      </c>
      <c r="DA5" t="str" cm="1">
        <f t="array" ref="DA5">CONCATENATE(chemslo_template[Column105], " ")</f>
        <v xml:space="preserve">reaktivita </v>
      </c>
      <c r="DB5" t="str" cm="1">
        <f t="array" ref="DB5">CONCATENATE(chemslo_template[Column106], " ")</f>
        <v xml:space="preserve">ostatní rizika </v>
      </c>
      <c r="DC5" t="str" cm="1">
        <f t="array" ref="DC5">CONCATENATE(chemslo_template[Column107], " ")</f>
        <v xml:space="preserve">teplota vzplanutí </v>
      </c>
      <c r="DD5" t="str" cm="1">
        <f t="array" ref="DD5">CONCATENATE(chemslo_template[Column108], " ")</f>
        <v xml:space="preserve">teplota hoření </v>
      </c>
      <c r="DE5" t="str" cm="1">
        <f t="array" ref="DE5">CONCATENATE(chemslo_template[Column109], " ")</f>
        <v xml:space="preserve">teplota vznícení </v>
      </c>
      <c r="DF5" t="str" cm="1">
        <f t="array" ref="DF5">CONCATENATE(chemslo_template[Column110], " ")</f>
        <v xml:space="preserve">meze výbušnosti </v>
      </c>
    </row>
    <row r="8" spans="1:110" x14ac:dyDescent="0.35">
      <c r="A8" t="str" cm="1">
        <f t="array" ref="A8">CONCATENATE("'",chemslo_template[Column1],"'",", ")</f>
        <v xml:space="preserve">'název', </v>
      </c>
      <c r="B8" t="str" cm="1">
        <f t="array" ref="B8">CONCATENATE("'",chemslo_template[Column2],"'",", ")</f>
        <v xml:space="preserve">'obrázek', </v>
      </c>
      <c r="C8" t="str" cm="1">
        <f t="array" ref="C8">CONCATENATE("'",chemslo_template[Column3],"'",", ")</f>
        <v xml:space="preserve">'velikost obrázku', </v>
      </c>
      <c r="D8" t="str" cm="1">
        <f t="array" ref="D8">CONCATENATE("'",chemslo_template[Column4],"'",", ")</f>
        <v xml:space="preserve">'popisek', </v>
      </c>
      <c r="E8" t="str" cm="1">
        <f t="array" ref="E8">CONCATENATE("'",chemslo_template[Column5],"'",", ")</f>
        <v xml:space="preserve">'obrázek2', </v>
      </c>
      <c r="F8" t="str" cm="1">
        <f t="array" ref="F8">CONCATENATE("'",chemslo_template[Column6],"'",", ")</f>
        <v xml:space="preserve">'velikost obrázku2', </v>
      </c>
      <c r="G8" t="str" cm="1">
        <f t="array" ref="G8">CONCATENATE("'",chemslo_template[Column7],"'",", ")</f>
        <v xml:space="preserve">'popisek2', </v>
      </c>
      <c r="H8" t="str" cm="1">
        <f t="array" ref="H8">CONCATENATE("'",chemslo_template[Column8],"'",", ")</f>
        <v xml:space="preserve">'obrázek3', </v>
      </c>
      <c r="I8" t="str" cm="1">
        <f t="array" ref="I8">CONCATENATE("'",chemslo_template[Column9],"'",", ")</f>
        <v xml:space="preserve">'velikost obrázku3', </v>
      </c>
      <c r="J8" t="str" cm="1">
        <f t="array" ref="J8">CONCATENATE("'",chemslo_template[Column10],"'",", ")</f>
        <v xml:space="preserve">'popisek3', </v>
      </c>
      <c r="K8" t="str" cm="1">
        <f t="array" ref="K8">CONCATENATE("'",chemslo_template[Column11],"'",", ")</f>
        <v xml:space="preserve">'systematický název', </v>
      </c>
      <c r="L8" t="str" cm="1">
        <f t="array" ref="L8">CONCATENATE("'",chemslo_template[Column12],"'",", ")</f>
        <v xml:space="preserve">'triviální název', </v>
      </c>
      <c r="M8" t="str" cm="1">
        <f t="array" ref="M8">CONCATENATE("'",chemslo_template[Column13],"'",", ")</f>
        <v xml:space="preserve">'ostatní názvy', </v>
      </c>
      <c r="N8" t="str" cm="1">
        <f t="array" ref="N8">CONCATENATE("'",chemslo_template[Column14],"'",", ")</f>
        <v xml:space="preserve">'latinský název', </v>
      </c>
      <c r="O8" t="str" cm="1">
        <f t="array" ref="O8">CONCATENATE("'",chemslo_template[Column15],"'",", ")</f>
        <v xml:space="preserve">'anglický název', </v>
      </c>
      <c r="P8" t="str" cm="1">
        <f t="array" ref="P8">CONCATENATE("'",chemslo_template[Column16],"'",", ")</f>
        <v xml:space="preserve">'německý název', </v>
      </c>
      <c r="Q8" t="str" cm="1">
        <f t="array" ref="Q8">CONCATENATE("'",chemslo_template[Column17],"'",", ")</f>
        <v xml:space="preserve">'funkční vzorec', </v>
      </c>
      <c r="R8" t="str" cm="1">
        <f t="array" ref="R8">CONCATENATE("'",chemslo_template[Column18],"'",", ")</f>
        <v xml:space="preserve">'sumární vzorec', </v>
      </c>
      <c r="S8" t="str" cm="1">
        <f t="array" ref="S8">CONCATENATE("'",chemslo_template[Column19],"'",", ")</f>
        <v xml:space="preserve">'vzhled', </v>
      </c>
      <c r="T8" t="str" cm="1">
        <f t="array" ref="T8">CONCATENATE("'",chemslo_template[Column20],"'",", ")</f>
        <v xml:space="preserve">'číslo CAS', </v>
      </c>
      <c r="U8" t="str" cm="1">
        <f t="array" ref="U8">CONCATENATE("'",chemslo_template[Column21],"'",", ")</f>
        <v xml:space="preserve">'další čísla CAS', </v>
      </c>
      <c r="V8" t="str" cm="1">
        <f t="array" ref="V8">CONCATENATE("'",chemslo_template[Column22],"'",", ")</f>
        <v xml:space="preserve">'číslo EINECS', </v>
      </c>
      <c r="W8" t="str" cm="1">
        <f t="array" ref="W8">CONCATENATE("'",chemslo_template[Column23],"'",", ")</f>
        <v xml:space="preserve">'indexové číslo', </v>
      </c>
      <c r="X8" t="str" cm="1">
        <f t="array" ref="X8">CONCATENATE("'",chemslo_template[Column24],"'",", ")</f>
        <v xml:space="preserve">'číslo EC', </v>
      </c>
      <c r="Y8" t="str" cm="1">
        <f t="array" ref="Y8">CONCATENATE("'",chemslo_template[Column25],"'",", ")</f>
        <v xml:space="preserve">'PubChem', </v>
      </c>
      <c r="Z8" t="str" cm="1">
        <f t="array" ref="Z8">CONCATENATE("'",chemslo_template[Column26],"'",", ")</f>
        <v xml:space="preserve">'ChEBI', </v>
      </c>
      <c r="AA8" t="str" cm="1">
        <f t="array" ref="AA8">CONCATENATE("'",chemslo_template[Column27],"'",", ")</f>
        <v xml:space="preserve">'UN kód', </v>
      </c>
      <c r="AB8" t="str" cm="1">
        <f t="array" ref="AB8">CONCATENATE("'",chemslo_template[Column28],"'",", ")</f>
        <v xml:space="preserve">'SMILES', </v>
      </c>
      <c r="AC8" t="str" cm="1">
        <f t="array" ref="AC8">CONCATENATE("'",chemslo_template[Column29],"'",", ")</f>
        <v xml:space="preserve">'InChI', </v>
      </c>
      <c r="AD8" t="str" cm="1">
        <f t="array" ref="AD8">CONCATENATE("'",chemslo_template[Column30],"'",", ")</f>
        <v xml:space="preserve">'číslo RTECS', </v>
      </c>
      <c r="AE8" t="str" cm="1">
        <f t="array" ref="AE8">CONCATENATE("'",chemslo_template[Column31],"'",", ")</f>
        <v xml:space="preserve">'molární hmotnost', </v>
      </c>
      <c r="AF8" t="str" cm="1">
        <f t="array" ref="AF8">CONCATENATE("'",chemslo_template[Column32],"'",", ")</f>
        <v xml:space="preserve">'molární koncentrace', </v>
      </c>
      <c r="AG8" t="str" cm="1">
        <f t="array" ref="AG8">CONCATENATE("'",chemslo_template[Column33],"'",", ")</f>
        <v xml:space="preserve">'molární objem', </v>
      </c>
      <c r="AH8" t="str" cm="1">
        <f t="array" ref="AH8">CONCATENATE("'",chemslo_template[Column34],"'",", ")</f>
        <v xml:space="preserve">'teplota tání', </v>
      </c>
      <c r="AI8" t="str" cm="1">
        <f t="array" ref="AI8">CONCATENATE("'",chemslo_template[Column35],"'",", ")</f>
        <v xml:space="preserve">'teplota varu', </v>
      </c>
      <c r="AJ8" t="str" cm="1">
        <f t="array" ref="AJ8">CONCATENATE("'",chemslo_template[Column36],"'",", ")</f>
        <v xml:space="preserve">'teplota sublimace', </v>
      </c>
      <c r="AK8" t="str" cm="1">
        <f t="array" ref="AK8">CONCATENATE("'",chemslo_template[Column37],"'",", ")</f>
        <v xml:space="preserve">'teplota rozkladu', </v>
      </c>
      <c r="AL8" t="str" cm="1">
        <f t="array" ref="AL8">CONCATENATE("'",chemslo_template[Column38],"'",", ")</f>
        <v xml:space="preserve">'teplota změny modifikace', </v>
      </c>
      <c r="AM8" t="str" cm="1">
        <f t="array" ref="AM8">CONCATENATE("'",chemslo_template[Column39],"'",", ")</f>
        <v xml:space="preserve">'teplota skelného přechodu', </v>
      </c>
      <c r="AN8" t="str" cm="1">
        <f t="array" ref="AN8">CONCATENATE("'",chemslo_template[Column40],"'",", ")</f>
        <v xml:space="preserve">'teplota dehydratace', </v>
      </c>
      <c r="AO8" t="str" cm="1">
        <f t="array" ref="AO8">CONCATENATE("'",chemslo_template[Column41],"'",", ")</f>
        <v xml:space="preserve">'hustota', </v>
      </c>
      <c r="AP8" t="str" cm="1">
        <f t="array" ref="AP8">CONCATENATE("'",chemslo_template[Column42],"'",", ")</f>
        <v xml:space="preserve">'viskozita', </v>
      </c>
      <c r="AQ8" t="str" cm="1">
        <f t="array" ref="AQ8">CONCATENATE("'",chemslo_template[Column43],"'",", ")</f>
        <v xml:space="preserve">'dynamický viskozitní koeficient', </v>
      </c>
      <c r="AR8" t="str" cm="1">
        <f t="array" ref="AR8">CONCATENATE("'",chemslo_template[Column44],"'",", ")</f>
        <v xml:space="preserve">'kinematický viskozitní koeficient', </v>
      </c>
      <c r="AS8" t="str" cm="1">
        <f t="array" ref="AS8">CONCATENATE("'",chemslo_template[Column45],"'",", ")</f>
        <v xml:space="preserve">'index lomu', </v>
      </c>
      <c r="AT8" t="str" cm="1">
        <f t="array" ref="AT8">CONCATENATE("'",chemslo_template[Column46],"'",", ")</f>
        <v xml:space="preserve">'tvrdost', </v>
      </c>
      <c r="AU8" t="str" cm="1">
        <f t="array" ref="AU8">CONCATENATE("'",chemslo_template[Column47],"'",", ")</f>
        <v xml:space="preserve">'kritická teplota', </v>
      </c>
      <c r="AV8" t="str" cm="1">
        <f t="array" ref="AV8">CONCATENATE("'",chemslo_template[Column48],"'",", ")</f>
        <v xml:space="preserve">'kritický tlak', </v>
      </c>
      <c r="AW8" t="str" cm="1">
        <f t="array" ref="AW8">CONCATENATE("'",chemslo_template[Column49],"'",", ")</f>
        <v xml:space="preserve">'kritická hustota', </v>
      </c>
      <c r="AX8" t="str" cm="1">
        <f t="array" ref="AX8">CONCATENATE("'",chemslo_template[Column50],"'",", ")</f>
        <v xml:space="preserve">'teplota trojného bodu', </v>
      </c>
      <c r="AY8" t="str" cm="1">
        <f t="array" ref="AY8">CONCATENATE("'",chemslo_template[Column51],"'",", ")</f>
        <v xml:space="preserve">'tlak trojného bodu', </v>
      </c>
      <c r="AZ8" t="str" cm="1">
        <f t="array" ref="AZ8">CONCATENATE("'",chemslo_template[Column52],"'",", ")</f>
        <v xml:space="preserve">'pKa', </v>
      </c>
      <c r="BA8" t="str" cm="1">
        <f t="array" ref="BA8">CONCATENATE("'",chemslo_template[Column53],"'",", ")</f>
        <v xml:space="preserve">'pKb', </v>
      </c>
      <c r="BB8" t="str" cm="1">
        <f t="array" ref="BB8">CONCATENATE("'",chemslo_template[Column54],"'",", ")</f>
        <v xml:space="preserve">'autoionizační konstanta', </v>
      </c>
      <c r="BC8" t="str" cm="1">
        <f t="array" ref="BC8">CONCATENATE("'",chemslo_template[Column55],"'",", ")</f>
        <v xml:space="preserve">'rozpustnost', </v>
      </c>
      <c r="BD8" t="str" cm="1">
        <f t="array" ref="BD8">CONCATENATE("'",chemslo_template[Column56],"'",", ")</f>
        <v xml:space="preserve">'rozpustnost polární', </v>
      </c>
      <c r="BE8" t="str" cm="1">
        <f t="array" ref="BE8">CONCATENATE("'",chemslo_template[Column57],"'",", ")</f>
        <v xml:space="preserve">'rozpustnost nepolární', </v>
      </c>
      <c r="BF8" t="str" cm="1">
        <f t="array" ref="BF8">CONCATENATE("'",chemslo_template[Column58],"'",", ")</f>
        <v xml:space="preserve">'součin rozpustnosti', </v>
      </c>
      <c r="BG8" t="str" cm="1">
        <f t="array" ref="BG8">CONCATENATE("'",chemslo_template[Column59],"'",", ")</f>
        <v xml:space="preserve">'parametr rozpustnosti', </v>
      </c>
      <c r="BH8" t="str" cm="1">
        <f t="array" ref="BH8">CONCATENATE("'",chemslo_template[Column60],"'",", ")</f>
        <v xml:space="preserve">'ebulioskopická konstanta', </v>
      </c>
      <c r="BI8" t="str" cm="1">
        <f t="array" ref="BI8">CONCATENATE("'",chemslo_template[Column61],"'",", ")</f>
        <v xml:space="preserve">'kryoskopická konstanta', </v>
      </c>
      <c r="BJ8" t="str" cm="1">
        <f t="array" ref="BJ8">CONCATENATE("'",chemslo_template[Column62],"'",", ")</f>
        <v xml:space="preserve">'relativní permitivita', </v>
      </c>
      <c r="BK8" t="str" cm="1">
        <f t="array" ref="BK8">CONCATENATE("'",chemslo_template[Column63],"'",", ")</f>
        <v xml:space="preserve">'tlak páry', </v>
      </c>
      <c r="BL8" t="str" cm="1">
        <f t="array" ref="BL8">CONCATENATE("'",chemslo_template[Column64],"'",", ")</f>
        <v xml:space="preserve">'Van der Waalsovy konstanty', </v>
      </c>
      <c r="BM8" t="str" cm="1">
        <f t="array" ref="BM8">CONCATENATE("'",chemslo_template[Column65],"'",", ")</f>
        <v xml:space="preserve">'izoelektrický bod', </v>
      </c>
      <c r="BN8" t="str" cm="1">
        <f t="array" ref="BN8">CONCATENATE("'",chemslo_template[Column66],"'",", ")</f>
        <v xml:space="preserve">'součinitel elektrické vodivosti', </v>
      </c>
      <c r="BO8" t="str" cm="1">
        <f t="array" ref="BO8">CONCATENATE("'",chemslo_template[Column67],"'",", ")</f>
        <v xml:space="preserve">'součinitel tepelné vodivosti', </v>
      </c>
      <c r="BP8" t="str" cm="1">
        <f t="array" ref="BP8">CONCATENATE("'",chemslo_template[Column68],"'",", ")</f>
        <v xml:space="preserve">'součinitel elektrického odporu', </v>
      </c>
      <c r="BQ8" t="str" cm="1">
        <f t="array" ref="BQ8">CONCATENATE("'",chemslo_template[Column69],"'",", ")</f>
        <v xml:space="preserve">'součinitel délkové roztažnosti', </v>
      </c>
      <c r="BR8" t="str" cm="1">
        <f t="array" ref="BR8">CONCATENATE("'",chemslo_template[Column70],"'",", ")</f>
        <v xml:space="preserve">'součinitel objemové roztažnosti', </v>
      </c>
      <c r="BS8" t="str" cm="1">
        <f t="array" ref="BS8">CONCATENATE("'",chemslo_template[Column71],"'",", ")</f>
        <v xml:space="preserve">'měrná magnetická susceptibilita', </v>
      </c>
      <c r="BT8" t="str" cm="1">
        <f t="array" ref="BT8">CONCATENATE("'",chemslo_template[Column72],"'",", ")</f>
        <v xml:space="preserve">'měrná vodivost', </v>
      </c>
      <c r="BU8" t="str" cm="1">
        <f t="array" ref="BU8">CONCATENATE("'",chemslo_template[Column73],"'",", ")</f>
        <v xml:space="preserve">'měrný elektrický odpor', </v>
      </c>
      <c r="BV8" t="str" cm="1">
        <f t="array" ref="BV8">CONCATENATE("'",chemslo_template[Column74],"'",", ")</f>
        <v xml:space="preserve">'ionizační energie', </v>
      </c>
      <c r="BW8" t="str" cm="1">
        <f t="array" ref="BW8">CONCATENATE("'",chemslo_template[Column75],"'",", ")</f>
        <v xml:space="preserve">'povrchové napětí', </v>
      </c>
      <c r="BX8" t="str" cm="1">
        <f t="array" ref="BX8">CONCATENATE("'",chemslo_template[Column76],"'",", ")</f>
        <v xml:space="preserve">'průměrný výskyt', </v>
      </c>
      <c r="BY8" t="str" cm="1">
        <f t="array" ref="BY8">CONCATENATE("'",chemslo_template[Column77],"'",", ")</f>
        <v xml:space="preserve">'rychlost zvuku', </v>
      </c>
      <c r="BZ8" t="str" cm="1">
        <f t="array" ref="BZ8">CONCATENATE("'",chemslo_template[Column78],"'",", ")</f>
        <v xml:space="preserve">'optická otáčivost', </v>
      </c>
      <c r="CA8" t="str" cm="1">
        <f t="array" ref="CA8">CONCATENATE("'",chemslo_template[Column79],"'",", ")</f>
        <v xml:space="preserve">'krystalová struktura', </v>
      </c>
      <c r="CB8" t="str" cm="1">
        <f t="array" ref="CB8">CONCATENATE("'",chemslo_template[Column80],"'",", ")</f>
        <v xml:space="preserve">'hrana mřížky', </v>
      </c>
      <c r="CC8" t="str" cm="1">
        <f t="array" ref="CC8">CONCATENATE("'",chemslo_template[Column81],"'",", ")</f>
        <v xml:space="preserve">'koordinační geometrie', </v>
      </c>
      <c r="CD8" t="str" cm="1">
        <f t="array" ref="CD8">CONCATENATE("'",chemslo_template[Column82],"'",", ")</f>
        <v xml:space="preserve">'tvar molekuly', </v>
      </c>
      <c r="CE8" t="str" cm="1">
        <f t="array" ref="CE8">CONCATENATE("'",chemslo_template[Column83],"'",", ")</f>
        <v xml:space="preserve">'dipólový moment', </v>
      </c>
      <c r="CF8" t="str" cm="1">
        <f t="array" ref="CF8">CONCATENATE("'",chemslo_template[Column84],"'",", ")</f>
        <v xml:space="preserve">'standardní slučovací entalpie', </v>
      </c>
      <c r="CG8" t="str" cm="1">
        <f t="array" ref="CG8">CONCATENATE("'",chemslo_template[Column85],"'",", ")</f>
        <v xml:space="preserve">'standardní molární spalná entalpie', </v>
      </c>
      <c r="CH8" t="str" cm="1">
        <f t="array" ref="CH8">CONCATENATE("'",chemslo_template[Column86],"'",", ")</f>
        <v xml:space="preserve">'entalpie tání', </v>
      </c>
      <c r="CI8" t="str" cm="1">
        <f t="array" ref="CI8">CONCATENATE("'",chemslo_template[Column87],"'",", ")</f>
        <v xml:space="preserve">'entalpie varu', </v>
      </c>
      <c r="CJ8" t="str" cm="1">
        <f t="array" ref="CJ8">CONCATENATE("'",chemslo_template[Column88],"'",", ")</f>
        <v xml:space="preserve">'entalpie rozpouštění', </v>
      </c>
      <c r="CK8" t="str" cm="1">
        <f t="array" ref="CK8">CONCATENATE("'",chemslo_template[Column89],"'",", ")</f>
        <v xml:space="preserve">'entalpie sublimace', </v>
      </c>
      <c r="CL8" t="str" cm="1">
        <f t="array" ref="CL8">CONCATENATE("'",chemslo_template[Column90],"'",", ")</f>
        <v xml:space="preserve">'entalpie změny modifikace', </v>
      </c>
      <c r="CM8" t="str" cm="1">
        <f t="array" ref="CM8">CONCATENATE("'",chemslo_template[Column91],"'",", ")</f>
        <v xml:space="preserve">'standardní molární entropie', </v>
      </c>
      <c r="CN8" t="str" cm="1">
        <f t="array" ref="CN8">CONCATENATE("'",chemslo_template[Column92],"'",", ")</f>
        <v xml:space="preserve">'standardní slučovací Gibbsova energie', </v>
      </c>
      <c r="CO8" t="str" cm="1">
        <f t="array" ref="CO8">CONCATENATE("'",chemslo_template[Column93],"'",", ")</f>
        <v xml:space="preserve">'měrné teplo', </v>
      </c>
      <c r="CP8" t="str" cm="1">
        <f t="array" ref="CP8">CONCATENATE("'",chemslo_template[Column94],"'",", ")</f>
        <v xml:space="preserve">'izobarické měrné teplo', </v>
      </c>
      <c r="CQ8" t="str" cm="1">
        <f t="array" ref="CQ8">CONCATENATE("'",chemslo_template[Column95],"'",", ")</f>
        <v xml:space="preserve">'izochorické měrné teplo', </v>
      </c>
      <c r="CR8" t="str" cm="1">
        <f t="array" ref="CR8">CONCATENATE("'",chemslo_template[Column96],"'",", ")</f>
        <v xml:space="preserve">'symboly nebezpečí GHS', </v>
      </c>
      <c r="CS8" t="str" cm="1">
        <f t="array" ref="CS8">CONCATENATE("'",chemslo_template[Column97],"'",", ")</f>
        <v xml:space="preserve">'H-věty', </v>
      </c>
      <c r="CT8" t="str" cm="1">
        <f t="array" ref="CT8">CONCATENATE("'",chemslo_template[Column98],"'",", ")</f>
        <v xml:space="preserve">'P-věty', </v>
      </c>
      <c r="CU8" t="str" cm="1">
        <f t="array" ref="CU8">CONCATENATE("'",chemslo_template[Column99],"'",", ")</f>
        <v xml:space="preserve">'symboly nebezpečí', </v>
      </c>
      <c r="CV8" t="str" cm="1">
        <f t="array" ref="CV8">CONCATENATE("'",chemslo_template[Column100],"'",", ")</f>
        <v xml:space="preserve">'R-věty', </v>
      </c>
      <c r="CW8" t="str" cm="1">
        <f t="array" ref="CW8">CONCATENATE("'",chemslo_template[Column101],"'",", ")</f>
        <v xml:space="preserve">'S-věty', </v>
      </c>
      <c r="CX8" t="str" cm="1">
        <f t="array" ref="CX8">CONCATENATE("'",chemslo_template[Column102],"'",", ")</f>
        <v xml:space="preserve">'NFPA 704', </v>
      </c>
      <c r="CY8" t="str" cm="1">
        <f t="array" ref="CY8">CONCATENATE("'",chemslo_template[Column103],"'",", ")</f>
        <v xml:space="preserve">'zdraví', </v>
      </c>
      <c r="CZ8" t="str" cm="1">
        <f t="array" ref="CZ8">CONCATENATE("'",chemslo_template[Column104],"'",", ")</f>
        <v xml:space="preserve">'hořlavost', </v>
      </c>
      <c r="DA8" t="str" cm="1">
        <f t="array" ref="DA8">CONCATENATE("'",chemslo_template[Column105],"'",", ")</f>
        <v xml:space="preserve">'reaktivita', </v>
      </c>
      <c r="DB8" t="str" cm="1">
        <f t="array" ref="DB8">CONCATENATE("'",chemslo_template[Column106],"'",", ")</f>
        <v xml:space="preserve">'ostatní rizika', </v>
      </c>
      <c r="DC8" t="str" cm="1">
        <f t="array" ref="DC8">CONCATENATE("'",chemslo_template[Column107],"'",", ")</f>
        <v xml:space="preserve">'teplota vzplanutí', </v>
      </c>
      <c r="DD8" t="str" cm="1">
        <f t="array" ref="DD8">CONCATENATE("'",chemslo_template[Column108],"'",", ")</f>
        <v xml:space="preserve">'teplota hoření', </v>
      </c>
      <c r="DE8" t="str" cm="1">
        <f t="array" ref="DE8">CONCATENATE("'",chemslo_template[Column109],"'",", ")</f>
        <v xml:space="preserve">'teplota vznícení', </v>
      </c>
      <c r="DF8" t="str" cm="1">
        <f t="array" ref="DF8">CONCATENATE("'",chemslo_template[Column110],"'",", ")</f>
        <v xml:space="preserve">'meze výbušnosti', </v>
      </c>
    </row>
    <row r="9" spans="1:110" x14ac:dyDescent="0.35">
      <c r="A9" t="str">
        <f>CONCATENATE("'",chemslo_template[[#Totals],[Column1]],"'",", ")</f>
        <v xml:space="preserve">' název ', </v>
      </c>
      <c r="B9" t="str">
        <f>CONCATENATE("'",chemslo_template[[#Totals],[Column2]],"'",", ")</f>
        <v xml:space="preserve">' obrázek ', </v>
      </c>
      <c r="C9" t="str">
        <f>CONCATENATE("'",chemslo_template[[#Totals],[Column3]],"'",", ")</f>
        <v xml:space="preserve">' velikost obrázku ', </v>
      </c>
      <c r="D9" t="str">
        <f>CONCATENATE("'",chemslo_template[[#Totals],[Column4]],"'",", ")</f>
        <v xml:space="preserve">' popisek ', </v>
      </c>
      <c r="E9" t="str">
        <f>CONCATENATE("'",chemslo_template[[#Totals],[Column5]],"'",", ")</f>
        <v xml:space="preserve">' obrázek2 ', </v>
      </c>
      <c r="F9" t="str">
        <f>CONCATENATE("'",chemslo_template[[#Totals],[Column6]],"'",", ")</f>
        <v xml:space="preserve">' velikost obrázku2 ', </v>
      </c>
      <c r="G9" t="str">
        <f>CONCATENATE("'",chemslo_template[[#Totals],[Column7]],"'",", ")</f>
        <v xml:space="preserve">' popisek2 ', </v>
      </c>
      <c r="H9" t="str">
        <f>CONCATENATE("'",chemslo_template[[#Totals],[Column8]],"'",", ")</f>
        <v xml:space="preserve">' obrázek3 ', </v>
      </c>
      <c r="I9" t="str">
        <f>CONCATENATE("'",chemslo_template[[#Totals],[Column9]],"'",", ")</f>
        <v xml:space="preserve">' velikost obrázku3 ', </v>
      </c>
      <c r="J9" t="str">
        <f>CONCATENATE("'",chemslo_template[[#Totals],[Column10]],"'",", ")</f>
        <v xml:space="preserve">' popisek3 ', </v>
      </c>
      <c r="K9" t="str">
        <f>CONCATENATE("'",chemslo_template[[#Totals],[Column11]],"'",", ")</f>
        <v xml:space="preserve">' systematický název ', </v>
      </c>
      <c r="L9" t="str">
        <f>CONCATENATE("'",chemslo_template[[#Totals],[Column12]],"'",", ")</f>
        <v xml:space="preserve">' triviální název ', </v>
      </c>
      <c r="M9" t="str">
        <f>CONCATENATE("'",chemslo_template[[#Totals],[Column13]],"'",", ")</f>
        <v xml:space="preserve">' ostatní názvy ', </v>
      </c>
      <c r="N9" t="str">
        <f>CONCATENATE("'",chemslo_template[[#Totals],[Column14]],"'",", ")</f>
        <v xml:space="preserve">' latinský název ', </v>
      </c>
      <c r="O9" t="str">
        <f>CONCATENATE("'",chemslo_template[[#Totals],[Column15]],"'",", ")</f>
        <v xml:space="preserve">' anglický název ', </v>
      </c>
      <c r="P9" t="str">
        <f>CONCATENATE("'",chemslo_template[[#Totals],[Column16]],"'",", ")</f>
        <v xml:space="preserve">' německý název ', </v>
      </c>
      <c r="Q9" t="str">
        <f>CONCATENATE("'",chemslo_template[[#Totals],[Column17]],"'",", ")</f>
        <v xml:space="preserve">' funkční vzorec ', </v>
      </c>
      <c r="R9" t="str">
        <f>CONCATENATE("'",chemslo_template[[#Totals],[Column18]],"'",", ")</f>
        <v xml:space="preserve">' sumární vzorec ', </v>
      </c>
      <c r="S9" t="str">
        <f>CONCATENATE("'",chemslo_template[[#Totals],[Column19]],"'",", ")</f>
        <v xml:space="preserve">' vzhled ', </v>
      </c>
      <c r="T9" t="str">
        <f>CONCATENATE("'",chemslo_template[[#Totals],[Column20]],"'",", ")</f>
        <v xml:space="preserve">' číslo CAS ', </v>
      </c>
      <c r="U9" t="str">
        <f>CONCATENATE("'",chemslo_template[[#Totals],[Column21]],"'",", ")</f>
        <v xml:space="preserve">' další čísla CAS ', </v>
      </c>
      <c r="V9" t="str">
        <f>CONCATENATE("'",chemslo_template[[#Totals],[Column22]],"'",", ")</f>
        <v xml:space="preserve">' číslo EINECS ', </v>
      </c>
      <c r="W9" t="str">
        <f>CONCATENATE("'",chemslo_template[[#Totals],[Column23]],"'",", ")</f>
        <v xml:space="preserve">' indexové číslo ', </v>
      </c>
      <c r="X9" t="str">
        <f>CONCATENATE("'",chemslo_template[[#Totals],[Column24]],"'",", ")</f>
        <v xml:space="preserve">' číslo EC ', </v>
      </c>
      <c r="Y9" t="str">
        <f>CONCATENATE("'",chemslo_template[[#Totals],[Column25]],"'",", ")</f>
        <v xml:space="preserve">' PubChem ', </v>
      </c>
      <c r="Z9" t="str">
        <f>CONCATENATE("'",chemslo_template[[#Totals],[Column26]],"'",", ")</f>
        <v xml:space="preserve">' ChEBI ', </v>
      </c>
      <c r="AA9" t="str">
        <f>CONCATENATE("'",chemslo_template[[#Totals],[Column27]],"'",", ")</f>
        <v xml:space="preserve">' UN kód ', </v>
      </c>
      <c r="AB9" t="str">
        <f>CONCATENATE("'",chemslo_template[[#Totals],[Column28]],"'",", ")</f>
        <v xml:space="preserve">' SMILES ', </v>
      </c>
      <c r="AC9" t="str">
        <f>CONCATENATE("'",chemslo_template[[#Totals],[Column29]],"'",", ")</f>
        <v xml:space="preserve">' InChI ', </v>
      </c>
      <c r="AD9" t="str">
        <f>CONCATENATE("'",chemslo_template[[#Totals],[Column30]],"'",", ")</f>
        <v xml:space="preserve">' číslo RTECS ', </v>
      </c>
      <c r="AE9" t="str">
        <f>CONCATENATE("'",chemslo_template[[#Totals],[Column31]],"'",", ")</f>
        <v xml:space="preserve">' molární hmotnost ', </v>
      </c>
      <c r="AF9" t="str">
        <f>CONCATENATE("'",chemslo_template[[#Totals],[Column32]],"'",", ")</f>
        <v xml:space="preserve">' molární koncentrace ', </v>
      </c>
      <c r="AG9" t="str">
        <f>CONCATENATE("'",chemslo_template[[#Totals],[Column33]],"'",", ")</f>
        <v xml:space="preserve">' molární objem ', </v>
      </c>
      <c r="AH9" t="str">
        <f>CONCATENATE("'",chemslo_template[[#Totals],[Column34]],"'",", ")</f>
        <v xml:space="preserve">' teplota tání ', </v>
      </c>
      <c r="AI9" t="str">
        <f>CONCATENATE("'",chemslo_template[[#Totals],[Column35]],"'",", ")</f>
        <v xml:space="preserve">' teplota varu ', </v>
      </c>
      <c r="AJ9" t="str">
        <f>CONCATENATE("'",chemslo_template[[#Totals],[Column36]],"'",", ")</f>
        <v xml:space="preserve">' teplota sublimace ', </v>
      </c>
      <c r="AK9" t="str">
        <f>CONCATENATE("'",chemslo_template[[#Totals],[Column37]],"'",", ")</f>
        <v xml:space="preserve">' teplota rozkladu ', </v>
      </c>
      <c r="AL9" t="str">
        <f>CONCATENATE("'",chemslo_template[[#Totals],[Column38]],"'",", ")</f>
        <v xml:space="preserve">' teplota změny modifikace ', </v>
      </c>
      <c r="AM9" t="str">
        <f>CONCATENATE("'",chemslo_template[[#Totals],[Column39]],"'",", ")</f>
        <v xml:space="preserve">' teplota skelného přechodu ', </v>
      </c>
      <c r="AN9" t="str">
        <f>CONCATENATE("'",chemslo_template[[#Totals],[Column40]],"'",", ")</f>
        <v xml:space="preserve">' teplota dehydratace ', </v>
      </c>
      <c r="AO9" t="str">
        <f>CONCATENATE("'",chemslo_template[[#Totals],[Column41]],"'",", ")</f>
        <v xml:space="preserve">' hustota ', </v>
      </c>
      <c r="AP9" t="str">
        <f>CONCATENATE("'",chemslo_template[[#Totals],[Column42]],"'",", ")</f>
        <v xml:space="preserve">' viskozita ', </v>
      </c>
      <c r="AQ9" t="str">
        <f>CONCATENATE("'",chemslo_template[[#Totals],[Column43]],"'",", ")</f>
        <v xml:space="preserve">' dynamický viskozitní koeficient ', </v>
      </c>
      <c r="AR9" t="str">
        <f>CONCATENATE("'",chemslo_template[[#Totals],[Column44]],"'",", ")</f>
        <v xml:space="preserve">' kinematický viskozitní koeficient ', </v>
      </c>
      <c r="AS9" t="str">
        <f>CONCATENATE("'",chemslo_template[[#Totals],[Column45]],"'",", ")</f>
        <v xml:space="preserve">' index lomu ', </v>
      </c>
      <c r="AT9" t="str">
        <f>CONCATENATE("'",chemslo_template[[#Totals],[Column46]],"'",", ")</f>
        <v xml:space="preserve">' tvrdost ', </v>
      </c>
      <c r="AU9" t="str">
        <f>CONCATENATE("'",chemslo_template[[#Totals],[Column47]],"'",", ")</f>
        <v xml:space="preserve">' kritická teplota ', </v>
      </c>
      <c r="AV9" t="str">
        <f>CONCATENATE("'",chemslo_template[[#Totals],[Column48]],"'",", ")</f>
        <v xml:space="preserve">' kritický tlak ', </v>
      </c>
      <c r="AW9" t="str">
        <f>CONCATENATE("'",chemslo_template[[#Totals],[Column49]],"'",", ")</f>
        <v xml:space="preserve">' kritická hustota ', </v>
      </c>
      <c r="AX9" t="str">
        <f>CONCATENATE("'",chemslo_template[[#Totals],[Column50]],"'",", ")</f>
        <v xml:space="preserve">' teplota trojného bodu ', </v>
      </c>
      <c r="AY9" t="str">
        <f>CONCATENATE("'",chemslo_template[[#Totals],[Column51]],"'",", ")</f>
        <v xml:space="preserve">' tlak trojného bodu ', </v>
      </c>
      <c r="AZ9" t="str">
        <f>CONCATENATE("'",chemslo_template[[#Totals],[Column52]],"'",", ")</f>
        <v xml:space="preserve">' pKa ', </v>
      </c>
      <c r="BA9" t="str">
        <f>CONCATENATE("'",chemslo_template[[#Totals],[Column53]],"'",", ")</f>
        <v xml:space="preserve">' pKb ', </v>
      </c>
      <c r="BB9" t="str">
        <f>CONCATENATE("'",chemslo_template[[#Totals],[Column54]],"'",", ")</f>
        <v xml:space="preserve">' autoionizační konstanta ', </v>
      </c>
      <c r="BC9" t="str">
        <f>CONCATENATE("'",chemslo_template[[#Totals],[Column55]],"'",", ")</f>
        <v xml:space="preserve">' rozpustnost ', </v>
      </c>
      <c r="BD9" t="str">
        <f>CONCATENATE("'",chemslo_template[[#Totals],[Column56]],"'",", ")</f>
        <v xml:space="preserve">' rozpustnost polární ', </v>
      </c>
      <c r="BE9" t="str">
        <f>CONCATENATE("'",chemslo_template[[#Totals],[Column57]],"'",", ")</f>
        <v xml:space="preserve">' rozpustnost nepolární ', </v>
      </c>
      <c r="BF9" t="str">
        <f>CONCATENATE("'",chemslo_template[[#Totals],[Column58]],"'",", ")</f>
        <v xml:space="preserve">' součin rozpustnosti ', </v>
      </c>
      <c r="BG9" t="str">
        <f>CONCATENATE("'",chemslo_template[[#Totals],[Column59]],"'",", ")</f>
        <v xml:space="preserve">' parametr rozpustnosti ', </v>
      </c>
      <c r="BH9" t="str">
        <f>CONCATENATE("'",chemslo_template[[#Totals],[Column60]],"'",", ")</f>
        <v xml:space="preserve">' ebulioskopická konstanta ', </v>
      </c>
      <c r="BI9" t="str">
        <f>CONCATENATE("'",chemslo_template[[#Totals],[Column61]],"'",", ")</f>
        <v xml:space="preserve">' kryoskopická konstanta ', </v>
      </c>
      <c r="BJ9" t="str">
        <f>CONCATENATE("'",chemslo_template[[#Totals],[Column62]],"'",", ")</f>
        <v xml:space="preserve">' relativní permitivita ', </v>
      </c>
      <c r="BK9" t="str">
        <f>CONCATENATE("'",chemslo_template[[#Totals],[Column63]],"'",", ")</f>
        <v xml:space="preserve">' tlak páry ', </v>
      </c>
      <c r="BL9" t="str">
        <f>CONCATENATE("'",chemslo_template[[#Totals],[Column64]],"'",", ")</f>
        <v xml:space="preserve">' Van der Waalsovy konstanty ', </v>
      </c>
      <c r="BM9" t="str">
        <f>CONCATENATE("'",chemslo_template[[#Totals],[Column65]],"'",", ")</f>
        <v xml:space="preserve">' izoelektrický bod ', </v>
      </c>
      <c r="BN9" t="str">
        <f>CONCATENATE("'",chemslo_template[[#Totals],[Column66]],"'",", ")</f>
        <v xml:space="preserve">' součinitel elektrické vodivosti ', </v>
      </c>
      <c r="BO9" t="str">
        <f>CONCATENATE("'",chemslo_template[[#Totals],[Column67]],"'",", ")</f>
        <v xml:space="preserve">' součinitel tepelné vodivosti ', </v>
      </c>
      <c r="BP9" t="str">
        <f>CONCATENATE("'",chemslo_template[[#Totals],[Column68]],"'",", ")</f>
        <v xml:space="preserve">' součinitel elektrického odporu ', </v>
      </c>
      <c r="BQ9" t="str">
        <f>CONCATENATE("'",chemslo_template[[#Totals],[Column69]],"'",", ")</f>
        <v xml:space="preserve">' součinitel délkové roztažnosti ', </v>
      </c>
      <c r="BR9" t="str">
        <f>CONCATENATE("'",chemslo_template[[#Totals],[Column70]],"'",", ")</f>
        <v xml:space="preserve">' součinitel objemové roztažnosti ', </v>
      </c>
      <c r="BS9" t="str">
        <f>CONCATENATE("'",chemslo_template[[#Totals],[Column71]],"'",", ")</f>
        <v xml:space="preserve">' měrná magnetická susceptibilita ', </v>
      </c>
      <c r="BT9" t="str">
        <f>CONCATENATE("'",chemslo_template[[#Totals],[Column72]],"'",", ")</f>
        <v xml:space="preserve">' měrná vodivost ', </v>
      </c>
      <c r="BU9" t="str">
        <f>CONCATENATE("'",chemslo_template[[#Totals],[Column73]],"'",", ")</f>
        <v xml:space="preserve">' měrný elektrický odpor ', </v>
      </c>
      <c r="BV9" t="str">
        <f>CONCATENATE("'",chemslo_template[[#Totals],[Column74]],"'",", ")</f>
        <v xml:space="preserve">' ionizační energie ', </v>
      </c>
      <c r="BW9" t="str">
        <f>CONCATENATE("'",chemslo_template[[#Totals],[Column75]],"'",", ")</f>
        <v xml:space="preserve">' povrchové napětí ', </v>
      </c>
      <c r="BX9" t="str">
        <f>CONCATENATE("'",chemslo_template[[#Totals],[Column76]],"'",", ")</f>
        <v xml:space="preserve">' průměrný výskyt ', </v>
      </c>
      <c r="BY9" t="str">
        <f>CONCATENATE("'",chemslo_template[[#Totals],[Column77]],"'",", ")</f>
        <v xml:space="preserve">' rychlost zvuku ', </v>
      </c>
      <c r="BZ9" t="str">
        <f>CONCATENATE("'",chemslo_template[[#Totals],[Column78]],"'",", ")</f>
        <v xml:space="preserve">' optická otáčivost ', </v>
      </c>
      <c r="CA9" t="str">
        <f>CONCATENATE("'",chemslo_template[[#Totals],[Column79]],"'",", ")</f>
        <v xml:space="preserve">' krystalová struktura ', </v>
      </c>
      <c r="CB9" t="str">
        <f>CONCATENATE("'",chemslo_template[[#Totals],[Column80]],"'",", ")</f>
        <v xml:space="preserve">' hrana mřížky ', </v>
      </c>
      <c r="CC9" t="str">
        <f>CONCATENATE("'",chemslo_template[[#Totals],[Column81]],"'",", ")</f>
        <v xml:space="preserve">' koordinační geometrie ', </v>
      </c>
      <c r="CD9" t="str">
        <f>CONCATENATE("'",chemslo_template[[#Totals],[Column82]],"'",", ")</f>
        <v xml:space="preserve">' tvar molekuly ', </v>
      </c>
      <c r="CE9" t="str">
        <f>CONCATENATE("'",chemslo_template[[#Totals],[Column83]],"'",", ")</f>
        <v xml:space="preserve">' dipólový moment ', </v>
      </c>
      <c r="CF9" t="str">
        <f>CONCATENATE("'",chemslo_template[[#Totals],[Column84]],"'",", ")</f>
        <v xml:space="preserve">' standardní slučovací entalpie ', </v>
      </c>
      <c r="CG9" t="str">
        <f>CONCATENATE("'",chemslo_template[[#Totals],[Column85]],"'",", ")</f>
        <v xml:space="preserve">' standardní molární spalná entalpie ', </v>
      </c>
      <c r="CH9" t="str">
        <f>CONCATENATE("'",chemslo_template[[#Totals],[Column86]],"'",", ")</f>
        <v xml:space="preserve">' entalpie tání ', </v>
      </c>
      <c r="CI9" t="str">
        <f>CONCATENATE("'",chemslo_template[[#Totals],[Column87]],"'",", ")</f>
        <v xml:space="preserve">' entalpie varu ', </v>
      </c>
      <c r="CJ9" t="str">
        <f>CONCATENATE("'",chemslo_template[[#Totals],[Column88]],"'",", ")</f>
        <v xml:space="preserve">' entalpie rozpouštění ', </v>
      </c>
      <c r="CK9" t="str">
        <f>CONCATENATE("'",chemslo_template[[#Totals],[Column89]],"'",", ")</f>
        <v xml:space="preserve">' entalpie sublimace ', </v>
      </c>
      <c r="CL9" t="str">
        <f>CONCATENATE("'",chemslo_template[[#Totals],[Column90]],"'",", ")</f>
        <v xml:space="preserve">' entalpie změny modifikace ', </v>
      </c>
      <c r="CM9" t="str">
        <f>CONCATENATE("'",chemslo_template[[#Totals],[Column91]],"'",", ")</f>
        <v xml:space="preserve">' standardní molární entropie ', </v>
      </c>
      <c r="CN9" t="str">
        <f>CONCATENATE("'",chemslo_template[[#Totals],[Column92]],"'",", ")</f>
        <v xml:space="preserve">' standardní slučovací Gibbsova energie ', </v>
      </c>
      <c r="CO9" t="str">
        <f>CONCATENATE("'",chemslo_template[[#Totals],[Column93]],"'",", ")</f>
        <v xml:space="preserve">' měrné teplo ', </v>
      </c>
      <c r="CP9" t="str">
        <f>CONCATENATE("'",chemslo_template[[#Totals],[Column94]],"'",", ")</f>
        <v xml:space="preserve">' izobarické měrné teplo ', </v>
      </c>
      <c r="CQ9" t="str">
        <f>CONCATENATE("'",chemslo_template[[#Totals],[Column95]],"'",", ")</f>
        <v xml:space="preserve">' izochorické měrné teplo ', </v>
      </c>
      <c r="CR9" t="str">
        <f>CONCATENATE("'",chemslo_template[[#Totals],[Column96]],"'",", ")</f>
        <v xml:space="preserve">' symboly nebezpečí GHS ', </v>
      </c>
      <c r="CS9" t="str">
        <f>CONCATENATE("'",chemslo_template[[#Totals],[Column97]],"'",", ")</f>
        <v xml:space="preserve">' H-věty ', </v>
      </c>
      <c r="CT9" t="str">
        <f>CONCATENATE("'",chemslo_template[[#Totals],[Column98]],"'",", ")</f>
        <v xml:space="preserve">' P-věty ', </v>
      </c>
      <c r="CU9" t="str">
        <f>CONCATENATE("'",chemslo_template[[#Totals],[Column99]],"'",", ")</f>
        <v xml:space="preserve">' symboly nebezpečí ', </v>
      </c>
      <c r="CV9" t="str">
        <f>CONCATENATE("'",chemslo_template[[#Totals],[Column100]],"'",", ")</f>
        <v xml:space="preserve">' R-věty ', </v>
      </c>
      <c r="CW9" t="str">
        <f>CONCATENATE("'",chemslo_template[[#Totals],[Column101]],"'",", ")</f>
        <v xml:space="preserve">' S-věty ', </v>
      </c>
      <c r="CX9" t="str">
        <f>CONCATENATE("'",chemslo_template[[#Totals],[Column102]],"'",", ")</f>
        <v xml:space="preserve">' NFPA 704 ', </v>
      </c>
      <c r="CY9" t="str">
        <f>CONCATENATE("'",chemslo_template[[#Totals],[Column103]],"'",", ")</f>
        <v xml:space="preserve">' zdraví ', </v>
      </c>
      <c r="CZ9" t="str">
        <f>CONCATENATE("'",chemslo_template[[#Totals],[Column104]],"'",", ")</f>
        <v xml:space="preserve">' hořlavost ', </v>
      </c>
      <c r="DA9" t="str">
        <f>CONCATENATE("'",chemslo_template[[#Totals],[Column105]],"'",", ")</f>
        <v xml:space="preserve">' reaktivita ', </v>
      </c>
      <c r="DB9" t="str">
        <f>CONCATENATE("'",chemslo_template[[#Totals],[Column106]],"'",", ")</f>
        <v xml:space="preserve">' ostatní rizika ', </v>
      </c>
      <c r="DC9" t="str">
        <f>CONCATENATE("'",chemslo_template[[#Totals],[Column107]],"'",", ")</f>
        <v xml:space="preserve">' teplota vzplanutí ', </v>
      </c>
      <c r="DD9" t="str">
        <f>CONCATENATE("'",chemslo_template[[#Totals],[Column108]],"'",", ")</f>
        <v xml:space="preserve">' teplota hoření ', </v>
      </c>
      <c r="DE9" t="str">
        <f>CONCATENATE("'",chemslo_template[[#Totals],[Column109]],"'",", ")</f>
        <v xml:space="preserve">' teplota vznícení ', </v>
      </c>
      <c r="DF9" t="str">
        <f>CONCATENATE("'",chemslo_template[[#Totals],[Column110]],"'",", ")</f>
        <v xml:space="preserve">' meze výbušnosti ', </v>
      </c>
    </row>
    <row r="10" spans="1:110" x14ac:dyDescent="0.35">
      <c r="A10" t="str">
        <f>CONCATENATE("'",A4,"'",", ")</f>
        <v xml:space="preserve">' název', </v>
      </c>
      <c r="B10" t="str">
        <f t="shared" ref="B10:BM10" si="0">CONCATENATE("'",B4,"'",", ")</f>
        <v xml:space="preserve">' obrázek', </v>
      </c>
      <c r="C10" t="str">
        <f t="shared" si="0"/>
        <v xml:space="preserve">' velikost obrázku', </v>
      </c>
      <c r="D10" t="str">
        <f t="shared" si="0"/>
        <v xml:space="preserve">' popisek', </v>
      </c>
      <c r="E10" t="str">
        <f t="shared" si="0"/>
        <v xml:space="preserve">' obrázek2', </v>
      </c>
      <c r="F10" t="str">
        <f t="shared" si="0"/>
        <v xml:space="preserve">' velikost obrázku2', </v>
      </c>
      <c r="G10" t="str">
        <f t="shared" si="0"/>
        <v xml:space="preserve">' popisek2', </v>
      </c>
      <c r="H10" t="str">
        <f t="shared" si="0"/>
        <v xml:space="preserve">' obrázek3', </v>
      </c>
      <c r="I10" t="str">
        <f t="shared" si="0"/>
        <v xml:space="preserve">' velikost obrázku3', </v>
      </c>
      <c r="J10" t="str">
        <f t="shared" si="0"/>
        <v xml:space="preserve">' popisek3', </v>
      </c>
      <c r="K10" t="str">
        <f t="shared" si="0"/>
        <v xml:space="preserve">' systematický název', </v>
      </c>
      <c r="L10" t="str">
        <f t="shared" si="0"/>
        <v xml:space="preserve">' triviální název', </v>
      </c>
      <c r="M10" t="str">
        <f t="shared" si="0"/>
        <v xml:space="preserve">' ostatní názvy', </v>
      </c>
      <c r="N10" t="str">
        <f t="shared" si="0"/>
        <v xml:space="preserve">' latinský název', </v>
      </c>
      <c r="O10" t="str">
        <f t="shared" si="0"/>
        <v xml:space="preserve">' anglický název', </v>
      </c>
      <c r="P10" t="str">
        <f t="shared" si="0"/>
        <v xml:space="preserve">' německý název', </v>
      </c>
      <c r="Q10" t="str">
        <f t="shared" si="0"/>
        <v xml:space="preserve">' funkční vzorec', </v>
      </c>
      <c r="R10" t="str">
        <f t="shared" si="0"/>
        <v xml:space="preserve">' sumární vzorec', </v>
      </c>
      <c r="S10" t="str">
        <f t="shared" si="0"/>
        <v xml:space="preserve">' vzhled', </v>
      </c>
      <c r="T10" t="str">
        <f t="shared" si="0"/>
        <v xml:space="preserve">' číslo CAS', </v>
      </c>
      <c r="U10" t="str">
        <f t="shared" si="0"/>
        <v xml:space="preserve">' další čísla CAS', </v>
      </c>
      <c r="V10" t="str">
        <f t="shared" si="0"/>
        <v xml:space="preserve">' číslo EINECS', </v>
      </c>
      <c r="W10" t="str">
        <f t="shared" si="0"/>
        <v xml:space="preserve">' indexové číslo', </v>
      </c>
      <c r="X10" t="str">
        <f t="shared" si="0"/>
        <v xml:space="preserve">' číslo EC', </v>
      </c>
      <c r="Y10" t="str">
        <f t="shared" si="0"/>
        <v xml:space="preserve">' PubChem', </v>
      </c>
      <c r="Z10" t="str">
        <f t="shared" si="0"/>
        <v xml:space="preserve">' ChEBI', </v>
      </c>
      <c r="AA10" t="str">
        <f t="shared" si="0"/>
        <v xml:space="preserve">' UN kód', </v>
      </c>
      <c r="AB10" t="str">
        <f t="shared" si="0"/>
        <v xml:space="preserve">' SMILES', </v>
      </c>
      <c r="AC10" t="str">
        <f t="shared" si="0"/>
        <v xml:space="preserve">' InChI', </v>
      </c>
      <c r="AD10" t="str">
        <f t="shared" si="0"/>
        <v xml:space="preserve">' číslo RTECS', </v>
      </c>
      <c r="AE10" t="str">
        <f t="shared" si="0"/>
        <v xml:space="preserve">' molární hmotnost', </v>
      </c>
      <c r="AF10" t="str">
        <f t="shared" si="0"/>
        <v xml:space="preserve">' molární koncentrace', </v>
      </c>
      <c r="AG10" t="str">
        <f t="shared" si="0"/>
        <v xml:space="preserve">' molární objem', </v>
      </c>
      <c r="AH10" t="str">
        <f t="shared" si="0"/>
        <v xml:space="preserve">' teplota tání', </v>
      </c>
      <c r="AI10" t="str">
        <f t="shared" si="0"/>
        <v xml:space="preserve">' teplota varu', </v>
      </c>
      <c r="AJ10" t="str">
        <f t="shared" si="0"/>
        <v xml:space="preserve">' teplota sublimace', </v>
      </c>
      <c r="AK10" t="str">
        <f t="shared" si="0"/>
        <v xml:space="preserve">' teplota rozkladu', </v>
      </c>
      <c r="AL10" t="str">
        <f t="shared" si="0"/>
        <v xml:space="preserve">' teplota změny modifikace', </v>
      </c>
      <c r="AM10" t="str">
        <f t="shared" si="0"/>
        <v xml:space="preserve">' teplota skelného přechodu', </v>
      </c>
      <c r="AN10" t="str">
        <f t="shared" si="0"/>
        <v xml:space="preserve">' teplota dehydratace', </v>
      </c>
      <c r="AO10" t="str">
        <f t="shared" si="0"/>
        <v xml:space="preserve">' hustota', </v>
      </c>
      <c r="AP10" t="str">
        <f t="shared" si="0"/>
        <v xml:space="preserve">' viskozita', </v>
      </c>
      <c r="AQ10" t="str">
        <f t="shared" si="0"/>
        <v xml:space="preserve">' dynamický viskozitní koeficient', </v>
      </c>
      <c r="AR10" t="str">
        <f t="shared" si="0"/>
        <v xml:space="preserve">' kinematický viskozitní koeficient', </v>
      </c>
      <c r="AS10" t="str">
        <f t="shared" si="0"/>
        <v xml:space="preserve">' index lomu', </v>
      </c>
      <c r="AT10" t="str">
        <f t="shared" si="0"/>
        <v xml:space="preserve">' tvrdost', </v>
      </c>
      <c r="AU10" t="str">
        <f t="shared" si="0"/>
        <v xml:space="preserve">' kritická teplota', </v>
      </c>
      <c r="AV10" t="str">
        <f t="shared" si="0"/>
        <v xml:space="preserve">' kritický tlak', </v>
      </c>
      <c r="AW10" t="str">
        <f t="shared" si="0"/>
        <v xml:space="preserve">' kritická hustota', </v>
      </c>
      <c r="AX10" t="str">
        <f t="shared" si="0"/>
        <v xml:space="preserve">' teplota trojného bodu', </v>
      </c>
      <c r="AY10" t="str">
        <f t="shared" si="0"/>
        <v xml:space="preserve">' tlak trojného bodu', </v>
      </c>
      <c r="AZ10" t="str">
        <f t="shared" si="0"/>
        <v xml:space="preserve">' pKa', </v>
      </c>
      <c r="BA10" t="str">
        <f t="shared" si="0"/>
        <v xml:space="preserve">' pKb', </v>
      </c>
      <c r="BB10" t="str">
        <f t="shared" si="0"/>
        <v xml:space="preserve">' autoionizační konstanta', </v>
      </c>
      <c r="BC10" t="str">
        <f t="shared" si="0"/>
        <v xml:space="preserve">' rozpustnost', </v>
      </c>
      <c r="BD10" t="str">
        <f t="shared" si="0"/>
        <v xml:space="preserve">' rozpustnost polární', </v>
      </c>
      <c r="BE10" t="str">
        <f t="shared" si="0"/>
        <v xml:space="preserve">' rozpustnost nepolární', </v>
      </c>
      <c r="BF10" t="str">
        <f t="shared" si="0"/>
        <v xml:space="preserve">' součin rozpustnosti', </v>
      </c>
      <c r="BG10" t="str">
        <f t="shared" si="0"/>
        <v xml:space="preserve">' parametr rozpustnosti', </v>
      </c>
      <c r="BH10" t="str">
        <f t="shared" si="0"/>
        <v xml:space="preserve">' ebulioskopická konstanta', </v>
      </c>
      <c r="BI10" t="str">
        <f t="shared" si="0"/>
        <v xml:space="preserve">' kryoskopická konstanta', </v>
      </c>
      <c r="BJ10" t="str">
        <f t="shared" si="0"/>
        <v xml:space="preserve">' relativní permitivita', </v>
      </c>
      <c r="BK10" t="str">
        <f t="shared" si="0"/>
        <v xml:space="preserve">' tlak páry', </v>
      </c>
      <c r="BL10" t="str">
        <f t="shared" si="0"/>
        <v xml:space="preserve">' Van der Waalsovy konstanty', </v>
      </c>
      <c r="BM10" t="str">
        <f t="shared" si="0"/>
        <v xml:space="preserve">' izoelektrický bod', </v>
      </c>
      <c r="BN10" t="str">
        <f t="shared" ref="BN10:DF10" si="1">CONCATENATE("'",BN4,"'",", ")</f>
        <v xml:space="preserve">' součinitel elektrické vodivosti', </v>
      </c>
      <c r="BO10" t="str">
        <f t="shared" si="1"/>
        <v xml:space="preserve">' součinitel tepelné vodivosti', </v>
      </c>
      <c r="BP10" t="str">
        <f t="shared" si="1"/>
        <v xml:space="preserve">' součinitel elektrického odporu', </v>
      </c>
      <c r="BQ10" t="str">
        <f t="shared" si="1"/>
        <v xml:space="preserve">' součinitel délkové roztažnosti', </v>
      </c>
      <c r="BR10" t="str">
        <f t="shared" si="1"/>
        <v xml:space="preserve">' součinitel objemové roztažnosti', </v>
      </c>
      <c r="BS10" t="str">
        <f t="shared" si="1"/>
        <v xml:space="preserve">' měrná magnetická susceptibilita', </v>
      </c>
      <c r="BT10" t="str">
        <f t="shared" si="1"/>
        <v xml:space="preserve">' měrná vodivost', </v>
      </c>
      <c r="BU10" t="str">
        <f t="shared" si="1"/>
        <v xml:space="preserve">' měrný elektrický odpor', </v>
      </c>
      <c r="BV10" t="str">
        <f t="shared" si="1"/>
        <v xml:space="preserve">' ionizační energie', </v>
      </c>
      <c r="BW10" t="str">
        <f t="shared" si="1"/>
        <v xml:space="preserve">' povrchové napětí', </v>
      </c>
      <c r="BX10" t="str">
        <f t="shared" si="1"/>
        <v xml:space="preserve">' průměrný výskyt', </v>
      </c>
      <c r="BY10" t="str">
        <f t="shared" si="1"/>
        <v xml:space="preserve">' rychlost zvuku', </v>
      </c>
      <c r="BZ10" t="str">
        <f t="shared" si="1"/>
        <v xml:space="preserve">' optická otáčivost', </v>
      </c>
      <c r="CA10" t="str">
        <f t="shared" si="1"/>
        <v xml:space="preserve">' krystalová struktura', </v>
      </c>
      <c r="CB10" t="str">
        <f t="shared" si="1"/>
        <v xml:space="preserve">' hrana mřížky', </v>
      </c>
      <c r="CC10" t="str">
        <f t="shared" si="1"/>
        <v xml:space="preserve">' koordinační geometrie', </v>
      </c>
      <c r="CD10" t="str">
        <f t="shared" si="1"/>
        <v xml:space="preserve">' tvar molekuly', </v>
      </c>
      <c r="CE10" t="str">
        <f t="shared" si="1"/>
        <v xml:space="preserve">' dipólový moment', </v>
      </c>
      <c r="CF10" t="str">
        <f t="shared" si="1"/>
        <v xml:space="preserve">' standardní slučovací entalpie', </v>
      </c>
      <c r="CG10" t="str">
        <f t="shared" si="1"/>
        <v xml:space="preserve">' standardní molární spalná entalpie', </v>
      </c>
      <c r="CH10" t="str">
        <f t="shared" si="1"/>
        <v xml:space="preserve">' entalpie tání', </v>
      </c>
      <c r="CI10" t="str">
        <f t="shared" si="1"/>
        <v xml:space="preserve">' entalpie varu', </v>
      </c>
      <c r="CJ10" t="str">
        <f t="shared" si="1"/>
        <v xml:space="preserve">' entalpie rozpouštění', </v>
      </c>
      <c r="CK10" t="str">
        <f t="shared" si="1"/>
        <v xml:space="preserve">' entalpie sublimace', </v>
      </c>
      <c r="CL10" t="str">
        <f t="shared" si="1"/>
        <v xml:space="preserve">' entalpie změny modifikace', </v>
      </c>
      <c r="CM10" t="str">
        <f t="shared" si="1"/>
        <v xml:space="preserve">' standardní molární entropie', </v>
      </c>
      <c r="CN10" t="str">
        <f t="shared" si="1"/>
        <v xml:space="preserve">' standardní slučovací Gibbsova energie', </v>
      </c>
      <c r="CO10" t="str">
        <f t="shared" si="1"/>
        <v xml:space="preserve">' měrné teplo', </v>
      </c>
      <c r="CP10" t="str">
        <f t="shared" si="1"/>
        <v xml:space="preserve">' izobarické měrné teplo', </v>
      </c>
      <c r="CQ10" t="str">
        <f t="shared" si="1"/>
        <v xml:space="preserve">' izochorické měrné teplo', </v>
      </c>
      <c r="CR10" t="str">
        <f t="shared" si="1"/>
        <v xml:space="preserve">' symboly nebezpečí GHS', </v>
      </c>
      <c r="CS10" t="str">
        <f t="shared" si="1"/>
        <v xml:space="preserve">' H-věty', </v>
      </c>
      <c r="CT10" t="str">
        <f t="shared" si="1"/>
        <v xml:space="preserve">' P-věty', </v>
      </c>
      <c r="CU10" t="str">
        <f t="shared" si="1"/>
        <v xml:space="preserve">' symboly nebezpečí', </v>
      </c>
      <c r="CV10" t="str">
        <f t="shared" si="1"/>
        <v xml:space="preserve">' R-věty', </v>
      </c>
      <c r="CW10" t="str">
        <f t="shared" si="1"/>
        <v xml:space="preserve">' S-věty', </v>
      </c>
      <c r="CX10" t="str">
        <f t="shared" si="1"/>
        <v xml:space="preserve">' NFPA 704', </v>
      </c>
      <c r="CY10" t="str">
        <f t="shared" si="1"/>
        <v xml:space="preserve">' zdraví', </v>
      </c>
      <c r="CZ10" t="str">
        <f t="shared" si="1"/>
        <v xml:space="preserve">' hořlavost', </v>
      </c>
      <c r="DA10" t="str">
        <f t="shared" si="1"/>
        <v xml:space="preserve">' reaktivita', </v>
      </c>
      <c r="DB10" t="str">
        <f t="shared" si="1"/>
        <v xml:space="preserve">' ostatní rizika', </v>
      </c>
      <c r="DC10" t="str">
        <f t="shared" si="1"/>
        <v xml:space="preserve">' teplota vzplanutí', </v>
      </c>
      <c r="DD10" t="str">
        <f t="shared" si="1"/>
        <v xml:space="preserve">' teplota hoření', </v>
      </c>
      <c r="DE10" t="str">
        <f t="shared" si="1"/>
        <v xml:space="preserve">' teplota vznícení', </v>
      </c>
      <c r="DF10" t="str">
        <f t="shared" si="1"/>
        <v xml:space="preserve">' meze výbušnosti', </v>
      </c>
    </row>
    <row r="11" spans="1:110" x14ac:dyDescent="0.35">
      <c r="A11" t="str">
        <f>CONCATENATE("'",A5,"'",", ")</f>
        <v xml:space="preserve">'název ', </v>
      </c>
      <c r="B11" t="str">
        <f t="shared" ref="B11:BM11" si="2">CONCATENATE("'",B5,"'",", ")</f>
        <v xml:space="preserve">'obrázek ', </v>
      </c>
      <c r="C11" t="str">
        <f t="shared" si="2"/>
        <v xml:space="preserve">'velikost obrázku ', </v>
      </c>
      <c r="D11" t="str">
        <f t="shared" si="2"/>
        <v xml:space="preserve">'popisek ', </v>
      </c>
      <c r="E11" t="str">
        <f t="shared" si="2"/>
        <v xml:space="preserve">'obrázek2 ', </v>
      </c>
      <c r="F11" t="str">
        <f t="shared" si="2"/>
        <v xml:space="preserve">'velikost obrázku2 ', </v>
      </c>
      <c r="G11" t="str">
        <f t="shared" si="2"/>
        <v xml:space="preserve">'popisek2 ', </v>
      </c>
      <c r="H11" t="str">
        <f t="shared" si="2"/>
        <v xml:space="preserve">'obrázek3 ', </v>
      </c>
      <c r="I11" t="str">
        <f t="shared" si="2"/>
        <v xml:space="preserve">'velikost obrázku3 ', </v>
      </c>
      <c r="J11" t="str">
        <f t="shared" si="2"/>
        <v xml:space="preserve">'popisek3 ', </v>
      </c>
      <c r="K11" t="str">
        <f t="shared" si="2"/>
        <v xml:space="preserve">'systematický název ', </v>
      </c>
      <c r="L11" t="str">
        <f t="shared" si="2"/>
        <v xml:space="preserve">'triviální název ', </v>
      </c>
      <c r="M11" t="str">
        <f t="shared" si="2"/>
        <v xml:space="preserve">'ostatní názvy ', </v>
      </c>
      <c r="N11" t="str">
        <f t="shared" si="2"/>
        <v xml:space="preserve">'latinský název ', </v>
      </c>
      <c r="O11" t="str">
        <f t="shared" si="2"/>
        <v xml:space="preserve">'anglický název ', </v>
      </c>
      <c r="P11" t="str">
        <f t="shared" si="2"/>
        <v xml:space="preserve">'německý název ', </v>
      </c>
      <c r="Q11" t="str">
        <f t="shared" si="2"/>
        <v xml:space="preserve">'funkční vzorec ', </v>
      </c>
      <c r="R11" t="str">
        <f t="shared" si="2"/>
        <v xml:space="preserve">'sumární vzorec ', </v>
      </c>
      <c r="S11" t="str">
        <f t="shared" si="2"/>
        <v xml:space="preserve">'vzhled ', </v>
      </c>
      <c r="T11" t="str">
        <f t="shared" si="2"/>
        <v xml:space="preserve">'číslo CAS ', </v>
      </c>
      <c r="U11" t="str">
        <f t="shared" si="2"/>
        <v xml:space="preserve">'další čísla CAS ', </v>
      </c>
      <c r="V11" t="str">
        <f t="shared" si="2"/>
        <v xml:space="preserve">'číslo EINECS ', </v>
      </c>
      <c r="W11" t="str">
        <f t="shared" si="2"/>
        <v xml:space="preserve">'indexové číslo ', </v>
      </c>
      <c r="X11" t="str">
        <f t="shared" si="2"/>
        <v xml:space="preserve">'číslo EC ', </v>
      </c>
      <c r="Y11" t="str">
        <f t="shared" si="2"/>
        <v xml:space="preserve">'PubChem ', </v>
      </c>
      <c r="Z11" t="str">
        <f t="shared" si="2"/>
        <v xml:space="preserve">'ChEBI ', </v>
      </c>
      <c r="AA11" t="str">
        <f t="shared" si="2"/>
        <v xml:space="preserve">'UN kód ', </v>
      </c>
      <c r="AB11" t="str">
        <f t="shared" si="2"/>
        <v xml:space="preserve">'SMILES ', </v>
      </c>
      <c r="AC11" t="str">
        <f t="shared" si="2"/>
        <v xml:space="preserve">'InChI ', </v>
      </c>
      <c r="AD11" t="str">
        <f t="shared" si="2"/>
        <v xml:space="preserve">'číslo RTECS ', </v>
      </c>
      <c r="AE11" t="str">
        <f t="shared" si="2"/>
        <v xml:space="preserve">'molární hmotnost ', </v>
      </c>
      <c r="AF11" t="str">
        <f t="shared" si="2"/>
        <v xml:space="preserve">'molární koncentrace ', </v>
      </c>
      <c r="AG11" t="str">
        <f t="shared" si="2"/>
        <v xml:space="preserve">'molární objem ', </v>
      </c>
      <c r="AH11" t="str">
        <f t="shared" si="2"/>
        <v xml:space="preserve">'teplota tání ', </v>
      </c>
      <c r="AI11" t="str">
        <f t="shared" si="2"/>
        <v xml:space="preserve">'teplota varu ', </v>
      </c>
      <c r="AJ11" t="str">
        <f t="shared" si="2"/>
        <v xml:space="preserve">'teplota sublimace ', </v>
      </c>
      <c r="AK11" t="str">
        <f t="shared" si="2"/>
        <v xml:space="preserve">'teplota rozkladu ', </v>
      </c>
      <c r="AL11" t="str">
        <f t="shared" si="2"/>
        <v xml:space="preserve">'teplota změny modifikace ', </v>
      </c>
      <c r="AM11" t="str">
        <f t="shared" si="2"/>
        <v xml:space="preserve">'teplota skelného přechodu ', </v>
      </c>
      <c r="AN11" t="str">
        <f t="shared" si="2"/>
        <v xml:space="preserve">'teplota dehydratace ', </v>
      </c>
      <c r="AO11" t="str">
        <f t="shared" si="2"/>
        <v xml:space="preserve">'hustota ', </v>
      </c>
      <c r="AP11" t="str">
        <f t="shared" si="2"/>
        <v xml:space="preserve">'viskozita ', </v>
      </c>
      <c r="AQ11" t="str">
        <f t="shared" si="2"/>
        <v xml:space="preserve">'dynamický viskozitní koeficient ', </v>
      </c>
      <c r="AR11" t="str">
        <f t="shared" si="2"/>
        <v xml:space="preserve">'kinematický viskozitní koeficient ', </v>
      </c>
      <c r="AS11" t="str">
        <f t="shared" si="2"/>
        <v xml:space="preserve">'index lomu ', </v>
      </c>
      <c r="AT11" t="str">
        <f t="shared" si="2"/>
        <v xml:space="preserve">'tvrdost ', </v>
      </c>
      <c r="AU11" t="str">
        <f t="shared" si="2"/>
        <v xml:space="preserve">'kritická teplota ', </v>
      </c>
      <c r="AV11" t="str">
        <f t="shared" si="2"/>
        <v xml:space="preserve">'kritický tlak ', </v>
      </c>
      <c r="AW11" t="str">
        <f t="shared" si="2"/>
        <v xml:space="preserve">'kritická hustota ', </v>
      </c>
      <c r="AX11" t="str">
        <f t="shared" si="2"/>
        <v xml:space="preserve">'teplota trojného bodu ', </v>
      </c>
      <c r="AY11" t="str">
        <f t="shared" si="2"/>
        <v xml:space="preserve">'tlak trojného bodu ', </v>
      </c>
      <c r="AZ11" t="str">
        <f t="shared" si="2"/>
        <v xml:space="preserve">'pKa ', </v>
      </c>
      <c r="BA11" t="str">
        <f t="shared" si="2"/>
        <v xml:space="preserve">'pKb ', </v>
      </c>
      <c r="BB11" t="str">
        <f t="shared" si="2"/>
        <v xml:space="preserve">'autoionizační konstanta ', </v>
      </c>
      <c r="BC11" t="str">
        <f t="shared" si="2"/>
        <v xml:space="preserve">'rozpustnost ', </v>
      </c>
      <c r="BD11" t="str">
        <f t="shared" si="2"/>
        <v xml:space="preserve">'rozpustnost polární ', </v>
      </c>
      <c r="BE11" t="str">
        <f t="shared" si="2"/>
        <v xml:space="preserve">'rozpustnost nepolární ', </v>
      </c>
      <c r="BF11" t="str">
        <f t="shared" si="2"/>
        <v xml:space="preserve">'součin rozpustnosti ', </v>
      </c>
      <c r="BG11" t="str">
        <f t="shared" si="2"/>
        <v xml:space="preserve">'parametr rozpustnosti ', </v>
      </c>
      <c r="BH11" t="str">
        <f t="shared" si="2"/>
        <v xml:space="preserve">'ebulioskopická konstanta ', </v>
      </c>
      <c r="BI11" t="str">
        <f t="shared" si="2"/>
        <v xml:space="preserve">'kryoskopická konstanta ', </v>
      </c>
      <c r="BJ11" t="str">
        <f t="shared" si="2"/>
        <v xml:space="preserve">'relativní permitivita ', </v>
      </c>
      <c r="BK11" t="str">
        <f t="shared" si="2"/>
        <v xml:space="preserve">'tlak páry ', </v>
      </c>
      <c r="BL11" t="str">
        <f t="shared" si="2"/>
        <v xml:space="preserve">'Van der Waalsovy konstanty ', </v>
      </c>
      <c r="BM11" t="str">
        <f t="shared" si="2"/>
        <v xml:space="preserve">'izoelektrický bod ', </v>
      </c>
      <c r="BN11" t="str">
        <f t="shared" ref="BN11:DF11" si="3">CONCATENATE("'",BN5,"'",", ")</f>
        <v xml:space="preserve">'součinitel elektrické vodivosti ', </v>
      </c>
      <c r="BO11" t="str">
        <f t="shared" si="3"/>
        <v xml:space="preserve">'součinitel tepelné vodivosti ', </v>
      </c>
      <c r="BP11" t="str">
        <f t="shared" si="3"/>
        <v xml:space="preserve">'součinitel elektrického odporu ', </v>
      </c>
      <c r="BQ11" t="str">
        <f t="shared" si="3"/>
        <v xml:space="preserve">'součinitel délkové roztažnosti ', </v>
      </c>
      <c r="BR11" t="str">
        <f t="shared" si="3"/>
        <v xml:space="preserve">'součinitel objemové roztažnosti ', </v>
      </c>
      <c r="BS11" t="str">
        <f t="shared" si="3"/>
        <v xml:space="preserve">'měrná magnetická susceptibilita ', </v>
      </c>
      <c r="BT11" t="str">
        <f t="shared" si="3"/>
        <v xml:space="preserve">'měrná vodivost ', </v>
      </c>
      <c r="BU11" t="str">
        <f t="shared" si="3"/>
        <v xml:space="preserve">'měrný elektrický odpor ', </v>
      </c>
      <c r="BV11" t="str">
        <f t="shared" si="3"/>
        <v xml:space="preserve">'ionizační energie ', </v>
      </c>
      <c r="BW11" t="str">
        <f t="shared" si="3"/>
        <v xml:space="preserve">'povrchové napětí ', </v>
      </c>
      <c r="BX11" t="str">
        <f t="shared" si="3"/>
        <v xml:space="preserve">'průměrný výskyt ', </v>
      </c>
      <c r="BY11" t="str">
        <f t="shared" si="3"/>
        <v xml:space="preserve">'rychlost zvuku ', </v>
      </c>
      <c r="BZ11" t="str">
        <f t="shared" si="3"/>
        <v xml:space="preserve">'optická otáčivost ', </v>
      </c>
      <c r="CA11" t="str">
        <f t="shared" si="3"/>
        <v xml:space="preserve">'krystalová struktura ', </v>
      </c>
      <c r="CB11" t="str">
        <f t="shared" si="3"/>
        <v xml:space="preserve">'hrana mřížky ', </v>
      </c>
      <c r="CC11" t="str">
        <f t="shared" si="3"/>
        <v xml:space="preserve">'koordinační geometrie ', </v>
      </c>
      <c r="CD11" t="str">
        <f t="shared" si="3"/>
        <v xml:space="preserve">'tvar molekuly ', </v>
      </c>
      <c r="CE11" t="str">
        <f t="shared" si="3"/>
        <v xml:space="preserve">'dipólový moment ', </v>
      </c>
      <c r="CF11" t="str">
        <f t="shared" si="3"/>
        <v xml:space="preserve">'standardní slučovací entalpie ', </v>
      </c>
      <c r="CG11" t="str">
        <f t="shared" si="3"/>
        <v xml:space="preserve">'standardní molární spalná entalpie ', </v>
      </c>
      <c r="CH11" t="str">
        <f t="shared" si="3"/>
        <v xml:space="preserve">'entalpie tání ', </v>
      </c>
      <c r="CI11" t="str">
        <f t="shared" si="3"/>
        <v xml:space="preserve">'entalpie varu ', </v>
      </c>
      <c r="CJ11" t="str">
        <f t="shared" si="3"/>
        <v xml:space="preserve">'entalpie rozpouštění ', </v>
      </c>
      <c r="CK11" t="str">
        <f t="shared" si="3"/>
        <v xml:space="preserve">'entalpie sublimace ', </v>
      </c>
      <c r="CL11" t="str">
        <f t="shared" si="3"/>
        <v xml:space="preserve">'entalpie změny modifikace ', </v>
      </c>
      <c r="CM11" t="str">
        <f t="shared" si="3"/>
        <v xml:space="preserve">'standardní molární entropie ', </v>
      </c>
      <c r="CN11" t="str">
        <f t="shared" si="3"/>
        <v xml:space="preserve">'standardní slučovací Gibbsova energie ', </v>
      </c>
      <c r="CO11" t="str">
        <f t="shared" si="3"/>
        <v xml:space="preserve">'měrné teplo ', </v>
      </c>
      <c r="CP11" t="str">
        <f t="shared" si="3"/>
        <v xml:space="preserve">'izobarické měrné teplo ', </v>
      </c>
      <c r="CQ11" t="str">
        <f t="shared" si="3"/>
        <v xml:space="preserve">'izochorické měrné teplo ', </v>
      </c>
      <c r="CR11" t="str">
        <f t="shared" si="3"/>
        <v xml:space="preserve">'symboly nebezpečí GHS ', </v>
      </c>
      <c r="CS11" t="str">
        <f t="shared" si="3"/>
        <v xml:space="preserve">'H-věty ', </v>
      </c>
      <c r="CT11" t="str">
        <f t="shared" si="3"/>
        <v xml:space="preserve">'P-věty ', </v>
      </c>
      <c r="CU11" t="str">
        <f t="shared" si="3"/>
        <v xml:space="preserve">'symboly nebezpečí ', </v>
      </c>
      <c r="CV11" t="str">
        <f t="shared" si="3"/>
        <v xml:space="preserve">'R-věty ', </v>
      </c>
      <c r="CW11" t="str">
        <f t="shared" si="3"/>
        <v xml:space="preserve">'S-věty ', </v>
      </c>
      <c r="CX11" t="str">
        <f t="shared" si="3"/>
        <v xml:space="preserve">'NFPA 704 ', </v>
      </c>
      <c r="CY11" t="str">
        <f t="shared" si="3"/>
        <v xml:space="preserve">'zdraví ', </v>
      </c>
      <c r="CZ11" t="str">
        <f t="shared" si="3"/>
        <v xml:space="preserve">'hořlavost ', </v>
      </c>
      <c r="DA11" t="str">
        <f t="shared" si="3"/>
        <v xml:space="preserve">'reaktivita ', </v>
      </c>
      <c r="DB11" t="str">
        <f t="shared" si="3"/>
        <v xml:space="preserve">'ostatní rizika ', </v>
      </c>
      <c r="DC11" t="str">
        <f t="shared" si="3"/>
        <v xml:space="preserve">'teplota vzplanutí ', </v>
      </c>
      <c r="DD11" t="str">
        <f t="shared" si="3"/>
        <v xml:space="preserve">'teplota hoření ', </v>
      </c>
      <c r="DE11" t="str">
        <f t="shared" si="3"/>
        <v xml:space="preserve">'teplota vznícení ', </v>
      </c>
      <c r="DF11" t="str">
        <f>CONCATENATE("'",DF5,"'",)</f>
        <v>'meze výbušnosti '</v>
      </c>
    </row>
    <row r="13" spans="1:110" x14ac:dyDescent="0.35">
      <c r="A13" t="str">
        <f>_xlfn.CONCAT(A8:A11)</f>
        <v xml:space="preserve">'název', ' název ', ' název', 'název ', </v>
      </c>
      <c r="B13" t="str">
        <f t="shared" ref="B13:BM13" si="4">_xlfn.CONCAT(B8:B11)</f>
        <v xml:space="preserve">'obrázek', ' obrázek ', ' obrázek', 'obrázek ', </v>
      </c>
      <c r="C13" t="str">
        <f t="shared" si="4"/>
        <v xml:space="preserve">'velikost obrázku', ' velikost obrázku ', ' velikost obrázku', 'velikost obrázku ', </v>
      </c>
      <c r="D13" t="str">
        <f t="shared" si="4"/>
        <v xml:space="preserve">'popisek', ' popisek ', ' popisek', 'popisek ', </v>
      </c>
      <c r="E13" t="str">
        <f t="shared" si="4"/>
        <v xml:space="preserve">'obrázek2', ' obrázek2 ', ' obrázek2', 'obrázek2 ', </v>
      </c>
      <c r="F13" t="str">
        <f t="shared" si="4"/>
        <v xml:space="preserve">'velikost obrázku2', ' velikost obrázku2 ', ' velikost obrázku2', 'velikost obrázku2 ', </v>
      </c>
      <c r="G13" t="str">
        <f t="shared" si="4"/>
        <v xml:space="preserve">'popisek2', ' popisek2 ', ' popisek2', 'popisek2 ', </v>
      </c>
      <c r="H13" t="str">
        <f t="shared" si="4"/>
        <v xml:space="preserve">'obrázek3', ' obrázek3 ', ' obrázek3', 'obrázek3 ', </v>
      </c>
      <c r="I13" t="str">
        <f t="shared" si="4"/>
        <v xml:space="preserve">'velikost obrázku3', ' velikost obrázku3 ', ' velikost obrázku3', 'velikost obrázku3 ', </v>
      </c>
      <c r="J13" t="str">
        <f t="shared" si="4"/>
        <v xml:space="preserve">'popisek3', ' popisek3 ', ' popisek3', 'popisek3 ', </v>
      </c>
      <c r="K13" t="str">
        <f t="shared" si="4"/>
        <v xml:space="preserve">'systematický název', ' systematický název ', ' systematický název', 'systematický název ', </v>
      </c>
      <c r="L13" t="str">
        <f t="shared" si="4"/>
        <v xml:space="preserve">'triviální název', ' triviální název ', ' triviální název', 'triviální název ', </v>
      </c>
      <c r="M13" t="str">
        <f t="shared" si="4"/>
        <v xml:space="preserve">'ostatní názvy', ' ostatní názvy ', ' ostatní názvy', 'ostatní názvy ', </v>
      </c>
      <c r="N13" t="str">
        <f t="shared" si="4"/>
        <v xml:space="preserve">'latinský název', ' latinský název ', ' latinský název', 'latinský název ', </v>
      </c>
      <c r="O13" t="str">
        <f t="shared" si="4"/>
        <v xml:space="preserve">'anglický název', ' anglický název ', ' anglický název', 'anglický název ', </v>
      </c>
      <c r="P13" t="str">
        <f t="shared" si="4"/>
        <v xml:space="preserve">'německý název', ' německý název ', ' německý název', 'německý název ', </v>
      </c>
      <c r="Q13" t="str">
        <f t="shared" si="4"/>
        <v xml:space="preserve">'funkční vzorec', ' funkční vzorec ', ' funkční vzorec', 'funkční vzorec ', </v>
      </c>
      <c r="R13" t="str">
        <f t="shared" si="4"/>
        <v xml:space="preserve">'sumární vzorec', ' sumární vzorec ', ' sumární vzorec', 'sumární vzorec ', </v>
      </c>
      <c r="S13" t="str">
        <f t="shared" si="4"/>
        <v xml:space="preserve">'vzhled', ' vzhled ', ' vzhled', 'vzhled ', </v>
      </c>
      <c r="T13" t="str">
        <f t="shared" si="4"/>
        <v xml:space="preserve">'číslo CAS', ' číslo CAS ', ' číslo CAS', 'číslo CAS ', </v>
      </c>
      <c r="U13" t="str">
        <f t="shared" si="4"/>
        <v xml:space="preserve">'další čísla CAS', ' další čísla CAS ', ' další čísla CAS', 'další čísla CAS ', </v>
      </c>
      <c r="V13" t="str">
        <f t="shared" si="4"/>
        <v xml:space="preserve">'číslo EINECS', ' číslo EINECS ', ' číslo EINECS', 'číslo EINECS ', </v>
      </c>
      <c r="W13" t="str">
        <f t="shared" si="4"/>
        <v xml:space="preserve">'indexové číslo', ' indexové číslo ', ' indexové číslo', 'indexové číslo ', </v>
      </c>
      <c r="X13" t="str">
        <f t="shared" si="4"/>
        <v xml:space="preserve">'číslo EC', ' číslo EC ', ' číslo EC', 'číslo EC ', </v>
      </c>
      <c r="Y13" t="str">
        <f t="shared" si="4"/>
        <v xml:space="preserve">'PubChem', ' PubChem ', ' PubChem', 'PubChem ', </v>
      </c>
      <c r="Z13" t="str">
        <f t="shared" si="4"/>
        <v xml:space="preserve">'ChEBI', ' ChEBI ', ' ChEBI', 'ChEBI ', </v>
      </c>
      <c r="AA13" t="str">
        <f t="shared" si="4"/>
        <v xml:space="preserve">'UN kód', ' UN kód ', ' UN kód', 'UN kód ', </v>
      </c>
      <c r="AB13" t="str">
        <f t="shared" si="4"/>
        <v xml:space="preserve">'SMILES', ' SMILES ', ' SMILES', 'SMILES ', </v>
      </c>
      <c r="AC13" t="str">
        <f t="shared" si="4"/>
        <v xml:space="preserve">'InChI', ' InChI ', ' InChI', 'InChI ', </v>
      </c>
      <c r="AD13" t="str">
        <f t="shared" si="4"/>
        <v xml:space="preserve">'číslo RTECS', ' číslo RTECS ', ' číslo RTECS', 'číslo RTECS ', </v>
      </c>
      <c r="AE13" t="str">
        <f t="shared" si="4"/>
        <v xml:space="preserve">'molární hmotnost', ' molární hmotnost ', ' molární hmotnost', 'molární hmotnost ', </v>
      </c>
      <c r="AF13" t="str">
        <f t="shared" si="4"/>
        <v xml:space="preserve">'molární koncentrace', ' molární koncentrace ', ' molární koncentrace', 'molární koncentrace ', </v>
      </c>
      <c r="AG13" t="str">
        <f t="shared" si="4"/>
        <v xml:space="preserve">'molární objem', ' molární objem ', ' molární objem', 'molární objem ', </v>
      </c>
      <c r="AH13" t="str">
        <f t="shared" si="4"/>
        <v xml:space="preserve">'teplota tání', ' teplota tání ', ' teplota tání', 'teplota tání ', </v>
      </c>
      <c r="AI13" t="str">
        <f t="shared" si="4"/>
        <v xml:space="preserve">'teplota varu', ' teplota varu ', ' teplota varu', 'teplota varu ', </v>
      </c>
      <c r="AJ13" t="str">
        <f t="shared" si="4"/>
        <v xml:space="preserve">'teplota sublimace', ' teplota sublimace ', ' teplota sublimace', 'teplota sublimace ', </v>
      </c>
      <c r="AK13" t="str">
        <f t="shared" si="4"/>
        <v xml:space="preserve">'teplota rozkladu', ' teplota rozkladu ', ' teplota rozkladu', 'teplota rozkladu ', </v>
      </c>
      <c r="AL13" t="str">
        <f t="shared" si="4"/>
        <v xml:space="preserve">'teplota změny modifikace', ' teplota změny modifikace ', ' teplota změny modifikace', 'teplota změny modifikace ', </v>
      </c>
      <c r="AM13" t="str">
        <f t="shared" si="4"/>
        <v xml:space="preserve">'teplota skelného přechodu', ' teplota skelného přechodu ', ' teplota skelného přechodu', 'teplota skelného přechodu ', </v>
      </c>
      <c r="AN13" t="str">
        <f t="shared" si="4"/>
        <v xml:space="preserve">'teplota dehydratace', ' teplota dehydratace ', ' teplota dehydratace', 'teplota dehydratace ', </v>
      </c>
      <c r="AO13" t="str">
        <f t="shared" si="4"/>
        <v xml:space="preserve">'hustota', ' hustota ', ' hustota', 'hustota ', </v>
      </c>
      <c r="AP13" t="str">
        <f t="shared" si="4"/>
        <v xml:space="preserve">'viskozita', ' viskozita ', ' viskozita', 'viskozita ', </v>
      </c>
      <c r="AQ13" t="str">
        <f t="shared" si="4"/>
        <v xml:space="preserve">'dynamický viskozitní koeficient', ' dynamický viskozitní koeficient ', ' dynamický viskozitní koeficient', 'dynamický viskozitní koeficient ', </v>
      </c>
      <c r="AR13" t="str">
        <f t="shared" si="4"/>
        <v xml:space="preserve">'kinematický viskozitní koeficient', ' kinematický viskozitní koeficient ', ' kinematický viskozitní koeficient', 'kinematický viskozitní koeficient ', </v>
      </c>
      <c r="AS13" t="str">
        <f t="shared" si="4"/>
        <v xml:space="preserve">'index lomu', ' index lomu ', ' index lomu', 'index lomu ', </v>
      </c>
      <c r="AT13" t="str">
        <f t="shared" si="4"/>
        <v xml:space="preserve">'tvrdost', ' tvrdost ', ' tvrdost', 'tvrdost ', </v>
      </c>
      <c r="AU13" t="str">
        <f t="shared" si="4"/>
        <v xml:space="preserve">'kritická teplota', ' kritická teplota ', ' kritická teplota', 'kritická teplota ', </v>
      </c>
      <c r="AV13" t="str">
        <f t="shared" si="4"/>
        <v xml:space="preserve">'kritický tlak', ' kritický tlak ', ' kritický tlak', 'kritický tlak ', </v>
      </c>
      <c r="AW13" t="str">
        <f t="shared" si="4"/>
        <v xml:space="preserve">'kritická hustota', ' kritická hustota ', ' kritická hustota', 'kritická hustota ', </v>
      </c>
      <c r="AX13" t="str">
        <f t="shared" si="4"/>
        <v xml:space="preserve">'teplota trojného bodu', ' teplota trojného bodu ', ' teplota trojného bodu', 'teplota trojného bodu ', </v>
      </c>
      <c r="AY13" t="str">
        <f t="shared" si="4"/>
        <v xml:space="preserve">'tlak trojného bodu', ' tlak trojného bodu ', ' tlak trojného bodu', 'tlak trojného bodu ', </v>
      </c>
      <c r="AZ13" t="str">
        <f t="shared" si="4"/>
        <v xml:space="preserve">'pKa', ' pKa ', ' pKa', 'pKa ', </v>
      </c>
      <c r="BA13" t="str">
        <f t="shared" si="4"/>
        <v xml:space="preserve">'pKb', ' pKb ', ' pKb', 'pKb ', </v>
      </c>
      <c r="BB13" t="str">
        <f t="shared" si="4"/>
        <v xml:space="preserve">'autoionizační konstanta', ' autoionizační konstanta ', ' autoionizační konstanta', 'autoionizační konstanta ', </v>
      </c>
      <c r="BC13" t="str">
        <f t="shared" si="4"/>
        <v xml:space="preserve">'rozpustnost', ' rozpustnost ', ' rozpustnost', 'rozpustnost ', </v>
      </c>
      <c r="BD13" t="str">
        <f t="shared" si="4"/>
        <v xml:space="preserve">'rozpustnost polární', ' rozpustnost polární ', ' rozpustnost polární', 'rozpustnost polární ', </v>
      </c>
      <c r="BE13" t="str">
        <f t="shared" si="4"/>
        <v xml:space="preserve">'rozpustnost nepolární', ' rozpustnost nepolární ', ' rozpustnost nepolární', 'rozpustnost nepolární ', </v>
      </c>
      <c r="BF13" t="str">
        <f t="shared" si="4"/>
        <v xml:space="preserve">'součin rozpustnosti', ' součin rozpustnosti ', ' součin rozpustnosti', 'součin rozpustnosti ', </v>
      </c>
      <c r="BG13" t="str">
        <f t="shared" si="4"/>
        <v xml:space="preserve">'parametr rozpustnosti', ' parametr rozpustnosti ', ' parametr rozpustnosti', 'parametr rozpustnosti ', </v>
      </c>
      <c r="BH13" t="str">
        <f t="shared" si="4"/>
        <v xml:space="preserve">'ebulioskopická konstanta', ' ebulioskopická konstanta ', ' ebulioskopická konstanta', 'ebulioskopická konstanta ', </v>
      </c>
      <c r="BI13" t="str">
        <f t="shared" si="4"/>
        <v xml:space="preserve">'kryoskopická konstanta', ' kryoskopická konstanta ', ' kryoskopická konstanta', 'kryoskopická konstanta ', </v>
      </c>
      <c r="BJ13" t="str">
        <f t="shared" si="4"/>
        <v xml:space="preserve">'relativní permitivita', ' relativní permitivita ', ' relativní permitivita', 'relativní permitivita ', </v>
      </c>
      <c r="BK13" t="str">
        <f t="shared" si="4"/>
        <v xml:space="preserve">'tlak páry', ' tlak páry ', ' tlak páry', 'tlak páry ', </v>
      </c>
      <c r="BL13" t="str">
        <f t="shared" si="4"/>
        <v xml:space="preserve">'Van der Waalsovy konstanty', ' Van der Waalsovy konstanty ', ' Van der Waalsovy konstanty', 'Van der Waalsovy konstanty ', </v>
      </c>
      <c r="BM13" t="str">
        <f t="shared" si="4"/>
        <v xml:space="preserve">'izoelektrický bod', ' izoelektrický bod ', ' izoelektrický bod', 'izoelektrický bod ', </v>
      </c>
      <c r="BN13" t="str">
        <f t="shared" ref="BN13:DF13" si="5">_xlfn.CONCAT(BN8:BN11)</f>
        <v xml:space="preserve">'součinitel elektrické vodivosti', ' součinitel elektrické vodivosti ', ' součinitel elektrické vodivosti', 'součinitel elektrické vodivosti ', </v>
      </c>
      <c r="BO13" t="str">
        <f t="shared" si="5"/>
        <v xml:space="preserve">'součinitel tepelné vodivosti', ' součinitel tepelné vodivosti ', ' součinitel tepelné vodivosti', 'součinitel tepelné vodivosti ', </v>
      </c>
      <c r="BP13" t="str">
        <f t="shared" si="5"/>
        <v xml:space="preserve">'součinitel elektrického odporu', ' součinitel elektrického odporu ', ' součinitel elektrického odporu', 'součinitel elektrického odporu ', </v>
      </c>
      <c r="BQ13" t="str">
        <f t="shared" si="5"/>
        <v xml:space="preserve">'součinitel délkové roztažnosti', ' součinitel délkové roztažnosti ', ' součinitel délkové roztažnosti', 'součinitel délkové roztažnosti ', </v>
      </c>
      <c r="BR13" t="str">
        <f t="shared" si="5"/>
        <v xml:space="preserve">'součinitel objemové roztažnosti', ' součinitel objemové roztažnosti ', ' součinitel objemové roztažnosti', 'součinitel objemové roztažnosti ', </v>
      </c>
      <c r="BS13" t="str">
        <f t="shared" si="5"/>
        <v xml:space="preserve">'měrná magnetická susceptibilita', ' měrná magnetická susceptibilita ', ' měrná magnetická susceptibilita', 'měrná magnetická susceptibilita ', </v>
      </c>
      <c r="BT13" t="str">
        <f t="shared" si="5"/>
        <v xml:space="preserve">'měrná vodivost', ' měrná vodivost ', ' měrná vodivost', 'měrná vodivost ', </v>
      </c>
      <c r="BU13" t="str">
        <f t="shared" si="5"/>
        <v xml:space="preserve">'měrný elektrický odpor', ' měrný elektrický odpor ', ' měrný elektrický odpor', 'měrný elektrický odpor ', </v>
      </c>
      <c r="BV13" t="str">
        <f t="shared" si="5"/>
        <v xml:space="preserve">'ionizační energie', ' ionizační energie ', ' ionizační energie', 'ionizační energie ', </v>
      </c>
      <c r="BW13" t="str">
        <f t="shared" si="5"/>
        <v xml:space="preserve">'povrchové napětí', ' povrchové napětí ', ' povrchové napětí', 'povrchové napětí ', </v>
      </c>
      <c r="BX13" t="str">
        <f t="shared" si="5"/>
        <v xml:space="preserve">'průměrný výskyt', ' průměrný výskyt ', ' průměrný výskyt', 'průměrný výskyt ', </v>
      </c>
      <c r="BY13" t="str">
        <f t="shared" si="5"/>
        <v xml:space="preserve">'rychlost zvuku', ' rychlost zvuku ', ' rychlost zvuku', 'rychlost zvuku ', </v>
      </c>
      <c r="BZ13" t="str">
        <f t="shared" si="5"/>
        <v xml:space="preserve">'optická otáčivost', ' optická otáčivost ', ' optická otáčivost', 'optická otáčivost ', </v>
      </c>
      <c r="CA13" t="str">
        <f t="shared" si="5"/>
        <v xml:space="preserve">'krystalová struktura', ' krystalová struktura ', ' krystalová struktura', 'krystalová struktura ', </v>
      </c>
      <c r="CB13" t="str">
        <f t="shared" si="5"/>
        <v xml:space="preserve">'hrana mřížky', ' hrana mřížky ', ' hrana mřížky', 'hrana mřížky ', </v>
      </c>
      <c r="CC13" t="str">
        <f t="shared" si="5"/>
        <v xml:space="preserve">'koordinační geometrie', ' koordinační geometrie ', ' koordinační geometrie', 'koordinační geometrie ', </v>
      </c>
      <c r="CD13" t="str">
        <f t="shared" si="5"/>
        <v xml:space="preserve">'tvar molekuly', ' tvar molekuly ', ' tvar molekuly', 'tvar molekuly ', </v>
      </c>
      <c r="CE13" t="str">
        <f t="shared" si="5"/>
        <v xml:space="preserve">'dipólový moment', ' dipólový moment ', ' dipólový moment', 'dipólový moment ', </v>
      </c>
      <c r="CF13" t="str">
        <f t="shared" si="5"/>
        <v xml:space="preserve">'standardní slučovací entalpie', ' standardní slučovací entalpie ', ' standardní slučovací entalpie', 'standardní slučovací entalpie ', </v>
      </c>
      <c r="CG13" t="str">
        <f t="shared" si="5"/>
        <v xml:space="preserve">'standardní molární spalná entalpie', ' standardní molární spalná entalpie ', ' standardní molární spalná entalpie', 'standardní molární spalná entalpie ', </v>
      </c>
      <c r="CH13" t="str">
        <f t="shared" si="5"/>
        <v xml:space="preserve">'entalpie tání', ' entalpie tání ', ' entalpie tání', 'entalpie tání ', </v>
      </c>
      <c r="CI13" t="str">
        <f t="shared" si="5"/>
        <v xml:space="preserve">'entalpie varu', ' entalpie varu ', ' entalpie varu', 'entalpie varu ', </v>
      </c>
      <c r="CJ13" t="str">
        <f t="shared" si="5"/>
        <v xml:space="preserve">'entalpie rozpouštění', ' entalpie rozpouštění ', ' entalpie rozpouštění', 'entalpie rozpouštění ', </v>
      </c>
      <c r="CK13" t="str">
        <f t="shared" si="5"/>
        <v xml:space="preserve">'entalpie sublimace', ' entalpie sublimace ', ' entalpie sublimace', 'entalpie sublimace ', </v>
      </c>
      <c r="CL13" t="str">
        <f t="shared" si="5"/>
        <v xml:space="preserve">'entalpie změny modifikace', ' entalpie změny modifikace ', ' entalpie změny modifikace', 'entalpie změny modifikace ', </v>
      </c>
      <c r="CM13" t="str">
        <f t="shared" si="5"/>
        <v xml:space="preserve">'standardní molární entropie', ' standardní molární entropie ', ' standardní molární entropie', 'standardní molární entropie ', </v>
      </c>
      <c r="CN13" t="str">
        <f t="shared" si="5"/>
        <v xml:space="preserve">'standardní slučovací Gibbsova energie', ' standardní slučovací Gibbsova energie ', ' standardní slučovací Gibbsova energie', 'standardní slučovací Gibbsova energie ', </v>
      </c>
      <c r="CO13" t="str">
        <f t="shared" si="5"/>
        <v xml:space="preserve">'měrné teplo', ' měrné teplo ', ' měrné teplo', 'měrné teplo ', </v>
      </c>
      <c r="CP13" t="str">
        <f t="shared" si="5"/>
        <v xml:space="preserve">'izobarické měrné teplo', ' izobarické měrné teplo ', ' izobarické měrné teplo', 'izobarické měrné teplo ', </v>
      </c>
      <c r="CQ13" t="str">
        <f t="shared" si="5"/>
        <v xml:space="preserve">'izochorické měrné teplo', ' izochorické měrné teplo ', ' izochorické měrné teplo', 'izochorické měrné teplo ', </v>
      </c>
      <c r="CR13" t="str">
        <f t="shared" si="5"/>
        <v xml:space="preserve">'symboly nebezpečí GHS', ' symboly nebezpečí GHS ', ' symboly nebezpečí GHS', 'symboly nebezpečí GHS ', </v>
      </c>
      <c r="CS13" t="str">
        <f t="shared" si="5"/>
        <v xml:space="preserve">'H-věty', ' H-věty ', ' H-věty', 'H-věty ', </v>
      </c>
      <c r="CT13" t="str">
        <f t="shared" si="5"/>
        <v xml:space="preserve">'P-věty', ' P-věty ', ' P-věty', 'P-věty ', </v>
      </c>
      <c r="CU13" t="str">
        <f t="shared" si="5"/>
        <v xml:space="preserve">'symboly nebezpečí', ' symboly nebezpečí ', ' symboly nebezpečí', 'symboly nebezpečí ', </v>
      </c>
      <c r="CV13" t="str">
        <f t="shared" si="5"/>
        <v xml:space="preserve">'R-věty', ' R-věty ', ' R-věty', 'R-věty ', </v>
      </c>
      <c r="CW13" t="str">
        <f t="shared" si="5"/>
        <v xml:space="preserve">'S-věty', ' S-věty ', ' S-věty', 'S-věty ', </v>
      </c>
      <c r="CX13" t="str">
        <f t="shared" si="5"/>
        <v xml:space="preserve">'NFPA 704', ' NFPA 704 ', ' NFPA 704', 'NFPA 704 ', </v>
      </c>
      <c r="CY13" t="str">
        <f t="shared" si="5"/>
        <v xml:space="preserve">'zdraví', ' zdraví ', ' zdraví', 'zdraví ', </v>
      </c>
      <c r="CZ13" t="str">
        <f t="shared" si="5"/>
        <v xml:space="preserve">'hořlavost', ' hořlavost ', ' hořlavost', 'hořlavost ', </v>
      </c>
      <c r="DA13" t="str">
        <f t="shared" si="5"/>
        <v xml:space="preserve">'reaktivita', ' reaktivita ', ' reaktivita', 'reaktivita ', </v>
      </c>
      <c r="DB13" t="str">
        <f t="shared" si="5"/>
        <v xml:space="preserve">'ostatní rizika', ' ostatní rizika ', ' ostatní rizika', 'ostatní rizika ', </v>
      </c>
      <c r="DC13" t="str">
        <f t="shared" si="5"/>
        <v xml:space="preserve">'teplota vzplanutí', ' teplota vzplanutí ', ' teplota vzplanutí', 'teplota vzplanutí ', </v>
      </c>
      <c r="DD13" t="str">
        <f t="shared" si="5"/>
        <v xml:space="preserve">'teplota hoření', ' teplota hoření ', ' teplota hoření', 'teplota hoření ', </v>
      </c>
      <c r="DE13" t="str">
        <f t="shared" si="5"/>
        <v xml:space="preserve">'teplota vznícení', ' teplota vznícení ', ' teplota vznícení', 'teplota vznícení ', </v>
      </c>
      <c r="DF13" t="str">
        <f t="shared" si="5"/>
        <v>'meze výbušnosti', ' meze výbušnosti ', ' meze výbušnosti', 'meze výbušnosti '</v>
      </c>
    </row>
    <row r="15" spans="1:110" x14ac:dyDescent="0.35">
      <c r="A15" t="str">
        <f>_xlfn.CONCAT(A13:DF13)</f>
        <v>'název', ' název ', ' název', 'název ', 'obrázek', ' obrázek ', ' obrázek', 'obrázek ', 'velikost obrázku', ' velikost obrázku ', ' velikost obrázku', 'velikost obrázku ', 'popisek', ' popisek ', ' popisek', 'popisek ', 'obrázek2', ' obrázek2 ', ' obrázek2', 'obrázek2 ', 'velikost obrázku2', ' velikost obrázku2 ', ' velikost obrázku2', 'velikost obrázku2 ', 'popisek2', ' popisek2 ', ' popisek2', 'popisek2 ', 'obrázek3', ' obrázek3 ', ' obrázek3', 'obrázek3 ', 'velikost obrázku3', ' velikost obrázku3 ', ' velikost obrázku3', 'velikost obrázku3 ', 'popisek3', ' popisek3 ', ' popisek3', 'popisek3 ', 'systematický název', ' systematický název ', ' systematický název', 'systematický název ', 'triviální název', ' triviální název ', ' triviální název', 'triviální název ', 'ostatní názvy', ' ostatní názvy ', ' ostatní názvy', 'ostatní názvy ', 'latinský název', ' latinský název ', ' latinský název', 'latinský název ', 'anglický název', ' anglický název ', ' anglický název', 'anglický název ', 'německý název', ' německý název ', ' německý název', 'německý název ', 'funkční vzorec', ' funkční vzorec ', ' funkční vzorec', 'funkční vzorec ', 'sumární vzorec', ' sumární vzorec ', ' sumární vzorec', 'sumární vzorec ', 'vzhled', ' vzhled ', ' vzhled', 'vzhled ', 'číslo CAS', ' číslo CAS ', ' číslo CAS', 'číslo CAS ', 'další čísla CAS', ' další čísla CAS ', ' další čísla CAS', 'další čísla CAS ', 'číslo EINECS', ' číslo EINECS ', ' číslo EINECS', 'číslo EINECS ', 'indexové číslo', ' indexové číslo ', ' indexové číslo', 'indexové číslo ', 'číslo EC', ' číslo EC ', ' číslo EC', 'číslo EC ', 'PubChem', ' PubChem ', ' PubChem', 'PubChem ', 'ChEBI', ' ChEBI ', ' ChEBI', 'ChEBI ', 'UN kód', ' UN kód ', ' UN kód', 'UN kód ', 'SMILES', ' SMILES ', ' SMILES', 'SMILES ', 'InChI', ' InChI ', ' InChI', 'InChI ', 'číslo RTECS', ' číslo RTECS ', ' číslo RTECS', 'číslo RTECS ', 'molární hmotnost', ' molární hmotnost ', ' molární hmotnost', 'molární hmotnost ', 'molární koncentrace', ' molární koncentrace ', ' molární koncentrace', 'molární koncentrace ', 'molární objem', ' molární objem ', ' molární objem', 'molární objem ', 'teplota tání', ' teplota tání ', ' teplota tání', 'teplota tání ', 'teplota varu', ' teplota varu ', ' teplota varu', 'teplota varu ', 'teplota sublimace', ' teplota sublimace ', ' teplota sublimace', 'teplota sublimace ', 'teplota rozkladu', ' teplota rozkladu ', ' teplota rozkladu', 'teplota rozkladu ', 'teplota změny modifikace', ' teplota změny modifikace ', ' teplota změny modifikace', 'teplota změny modifikace ', 'teplota skelného přechodu', ' teplota skelného přechodu ', ' teplota skelného přechodu', 'teplota skelného přechodu ', 'teplota dehydratace', ' teplota dehydratace ', ' teplota dehydratace', 'teplota dehydratace ', 'hustota', ' hustota ', ' hustota', 'hustota ', 'viskozita', ' viskozita ', ' viskozita', 'viskozita ', 'dynamický viskozitní koeficient', ' dynamický viskozitní koeficient ', ' dynamický viskozitní koeficient', 'dynamický viskozitní koeficient ', 'kinematický viskozitní koeficient', ' kinematický viskozitní koeficient ', ' kinematický viskozitní koeficient', 'kinematický viskozitní koeficient ', 'index lomu', ' index lomu ', ' index lomu', 'index lomu ', 'tvrdost', ' tvrdost ', ' tvrdost', 'tvrdost ', 'kritická teplota', ' kritická teplota ', ' kritická teplota', 'kritická teplota ', 'kritický tlak', ' kritický tlak ', ' kritický tlak', 'kritický tlak ', 'kritická hustota', ' kritická hustota ', ' kritická hustota', 'kritická hustota ', 'teplota trojného bodu', ' teplota trojného bodu ', ' teplota trojného bodu', 'teplota trojného bodu ', 'tlak trojného bodu', ' tlak trojného bodu ', ' tlak trojného bodu', 'tlak trojného bodu ', 'pKa', ' pKa ', ' pKa', 'pKa ', 'pKb', ' pKb ', ' pKb', 'pKb ', 'autoionizační konstanta', ' autoionizační konstanta ', ' autoionizační konstanta', 'autoionizační konstanta ', 'rozpustnost', ' rozpustnost ', ' rozpustnost', 'rozpustnost ', 'rozpustnost polární', ' rozpustnost polární ', ' rozpustnost polární', 'rozpustnost polární ', 'rozpustnost nepolární', ' rozpustnost nepolární ', ' rozpustnost nepolární', 'rozpustnost nepolární ', 'součin rozpustnosti', ' součin rozpustnosti ', ' součin rozpustnosti', 'součin rozpustnosti ', 'parametr rozpustnosti', ' parametr rozpustnosti ', ' parametr rozpustnosti', 'parametr rozpustnosti ', 'ebulioskopická konstanta', ' ebulioskopická konstanta ', ' ebulioskopická konstanta', 'ebulioskopická konstanta ', 'kryoskopická konstanta', ' kryoskopická konstanta ', ' kryoskopická konstanta', 'kryoskopická konstanta ', 'relativní permitivita', ' relativní permitivita ', ' relativní permitivita', 'relativní permitivita ', 'tlak páry', ' tlak páry ', ' tlak páry', 'tlak páry ', 'Van der Waalsovy konstanty', ' Van der Waalsovy konstanty ', ' Van der Waalsovy konstanty', 'Van der Waalsovy konstanty ', 'izoelektrický bod', ' izoelektrický bod ', ' izoelektrický bod', 'izoelektrický bod ', 'součinitel elektrické vodivosti', ' součinitel elektrické vodivosti ', ' součinitel elektrické vodivosti', 'součinitel elektrické vodivosti ', 'součinitel tepelné vodivosti', ' součinitel tepelné vodivosti ', ' součinitel tepelné vodivosti', 'součinitel tepelné vodivosti ', 'součinitel elektrického odporu', ' součinitel elektrického odporu ', ' součinitel elektrického odporu', 'součinitel elektrického odporu ', 'součinitel délkové roztažnosti', ' součinitel délkové roztažnosti ', ' součinitel délkové roztažnosti', 'součinitel délkové roztažnosti ', 'součinitel objemové roztažnosti', ' součinitel objemové roztažnosti ', ' součinitel objemové roztažnosti', 'součinitel objemové roztažnosti ', 'měrná magnetická susceptibilita', ' měrná magnetická susceptibilita ', ' měrná magnetická susceptibilita', 'měrná magnetická susceptibilita ', 'měrná vodivost', ' měrná vodivost ', ' měrná vodivost', 'měrná vodivost ', 'měrný elektrický odpor', ' měrný elektrický odpor ', ' měrný elektrický odpor', 'měrný elektrický odpor ', 'ionizační energie', ' ionizační energie ', ' ionizační energie', 'ionizační energie ', 'povrchové napětí', ' povrchové napětí ', ' povrchové napětí', 'povrchové napětí ', 'průměrný výskyt', ' průměrný výskyt ', ' průměrný výskyt', 'průměrný výskyt ', 'rychlost zvuku', ' rychlost zvuku ', ' rychlost zvuku', 'rychlost zvuku ', 'optická otáčivost', ' optická otáčivost ', ' optická otáčivost', 'optická otáčivost ', 'krystalová struktura', ' krystalová struktura ', ' krystalová struktura', 'krystalová struktura ', 'hrana mřížky', ' hrana mřížky ', ' hrana mřížky', 'hrana mřížky ', 'koordinační geometrie', ' koordinační geometrie ', ' koordinační geometrie', 'koordinační geometrie ', 'tvar molekuly', ' tvar molekuly ', ' tvar molekuly', 'tvar molekuly ', 'dipólový moment', ' dipólový moment ', ' dipólový moment', 'dipólový moment ', 'standardní slučovací entalpie', ' standardní slučovací entalpie ', ' standardní slučovací entalpie', 'standardní slučovací entalpie ', 'standardní molární spalná entalpie', ' standardní molární spalná entalpie ', ' standardní molární spalná entalpie', 'standardní molární spalná entalpie ', 'entalpie tání', ' entalpie tání ', ' entalpie tání', 'entalpie tání ', 'entalpie varu', ' entalpie varu ', ' entalpie varu', 'entalpie varu ', 'entalpie rozpouštění', ' entalpie rozpouštění ', ' entalpie rozpouštění', 'entalpie rozpouštění ', 'entalpie sublimace', ' entalpie sublimace ', ' entalpie sublimace', 'entalpie sublimace ', 'entalpie změny modifikace', ' entalpie změny modifikace ', ' entalpie změny modifikace', 'entalpie změny modifikace ', 'standardní molární entropie', ' standardní molární entropie ', ' standardní molární entropie', 'standardní molární entropie ', 'standardní slučovací Gibbsova energie', ' standardní slučovací Gibbsova energie ', ' standardní slučovací Gibbsova energie', 'standardní slučovací Gibbsova energie ', 'měrné teplo', ' měrné teplo ', ' měrné teplo', 'měrné teplo ', 'izobarické měrné teplo', ' izobarické měrné teplo ', ' izobarické měrné teplo', 'izobarické měrné teplo ', 'izochorické měrné teplo', ' izochorické měrné teplo ', ' izochorické měrné teplo', 'izochorické měrné teplo ', 'symboly nebezpečí GHS', ' symboly nebezpečí GHS ', ' symboly nebezpečí GHS', 'symboly nebezpečí GHS ', 'H-věty', ' H-věty ', ' H-věty', 'H-věty ', 'P-věty', ' P-věty ', ' P-věty', 'P-věty ', 'symboly nebezpečí', ' symboly nebezpečí ', ' symboly nebezpečí', 'symboly nebezpečí ', 'R-věty', ' R-věty ', ' R-věty', 'R-věty ', 'S-věty', ' S-věty ', ' S-věty', 'S-věty ', 'NFPA 704', ' NFPA 704 ', ' NFPA 704', 'NFPA 704 ', 'zdraví', ' zdraví ', ' zdraví', 'zdraví ', 'hořlavost', ' hořlavost ', ' hořlavost', 'hořlavost ', 'reaktivita', ' reaktivita ', ' reaktivita', 'reaktivita ', 'ostatní rizika', ' ostatní rizika ', ' ostatní rizika', 'ostatní rizika ', 'teplota vzplanutí', ' teplota vzplanutí ', ' teplota vzplanutí', 'teplota vzplanutí ', 'teplota hoření', ' teplota hoření ', ' teplota hoření', 'teplota hoření ', 'teplota vznícení', ' teplota vznícení ', ' teplota vznícení', 'teplota vznícení ', 'meze výbušnosti', ' meze výbušnosti ', ' meze výbušnosti', 'meze výbušnosti '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D454-1C0B-4CA8-8205-4CB832133B4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EE5933-2DED-45BA-A41B-259C955335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Polreich</dc:creator>
  <cp:lastModifiedBy>Martin Polreich</cp:lastModifiedBy>
  <dcterms:created xsi:type="dcterms:W3CDTF">2020-01-31T09:50:01Z</dcterms:created>
  <dcterms:modified xsi:type="dcterms:W3CDTF">2020-01-31T09:59:22Z</dcterms:modified>
</cp:coreProperties>
</file>