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C\EXCEL\"/>
    </mc:Choice>
  </mc:AlternateContent>
  <xr:revisionPtr revIDLastSave="0" documentId="13_ncr:1_{A51C08BC-51EB-4ADF-B849-0F57F618A40A}" xr6:coauthVersionLast="47" xr6:coauthVersionMax="47" xr10:uidLastSave="{00000000-0000-0000-0000-000000000000}"/>
  <bookViews>
    <workbookView xWindow="-120" yWindow="-120" windowWidth="38640" windowHeight="21240" activeTab="4" xr2:uid="{86844C88-13D8-4CDF-88FE-86D8F96DA3A5}"/>
    <workbookView xWindow="-120" yWindow="-120" windowWidth="38640" windowHeight="21240" activeTab="8" xr2:uid="{6E859BF5-725E-4738-8DE8-4466733C45EB}"/>
    <workbookView xWindow="40335" yWindow="3960" windowWidth="18180" windowHeight="6240" activeTab="2" xr2:uid="{211D955A-9E6F-45E2-B4F6-7997C338ED13}"/>
  </bookViews>
  <sheets>
    <sheet name="TBH" sheetId="1" r:id="rId1"/>
    <sheet name="Standard" sheetId="2" r:id="rId2"/>
    <sheet name="LSTWLD" sheetId="3" r:id="rId3"/>
    <sheet name="Detailtext" sheetId="10" r:id="rId4"/>
    <sheet name="CATA" sheetId="5" r:id="rId5"/>
    <sheet name="DRWGNUM" sheetId="12" r:id="rId6"/>
    <sheet name="Codes" sheetId="6" r:id="rId7"/>
    <sheet name="Texts" sheetId="8" r:id="rId8"/>
    <sheet name="CATE+SCOM_131" sheetId="9" r:id="rId9"/>
    <sheet name="CATE+SCOM_132" sheetId="11" r:id="rId10"/>
    <sheet name="Rohrklasse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5" i="10" l="1"/>
  <c r="J579" i="3"/>
  <c r="K579" i="3"/>
  <c r="J580" i="3"/>
  <c r="K580" i="3"/>
  <c r="J581" i="3"/>
  <c r="K581" i="3"/>
  <c r="J582" i="3"/>
  <c r="K582" i="3"/>
  <c r="J583" i="3"/>
  <c r="K583" i="3"/>
  <c r="J584" i="3"/>
  <c r="K584" i="3"/>
  <c r="J585" i="3"/>
  <c r="K585" i="3"/>
  <c r="J586" i="3"/>
  <c r="K586" i="3"/>
  <c r="J587" i="3"/>
  <c r="K587" i="3"/>
  <c r="J588" i="3"/>
  <c r="K588" i="3"/>
  <c r="J589" i="3"/>
  <c r="K589" i="3"/>
  <c r="J590" i="3"/>
  <c r="K590" i="3"/>
  <c r="J591" i="3"/>
  <c r="K591" i="3"/>
  <c r="J592" i="3"/>
  <c r="K592" i="3"/>
  <c r="J593" i="3"/>
  <c r="K593" i="3"/>
  <c r="J594" i="3"/>
  <c r="K594" i="3"/>
  <c r="J595" i="3"/>
  <c r="K595" i="3"/>
  <c r="J596" i="3"/>
  <c r="K596" i="3"/>
  <c r="J597" i="3"/>
  <c r="K597" i="3"/>
  <c r="J598" i="3"/>
  <c r="K598" i="3"/>
  <c r="J599" i="3"/>
  <c r="K599" i="3"/>
  <c r="J600" i="3"/>
  <c r="K600" i="3"/>
  <c r="J601" i="3"/>
  <c r="K601" i="3"/>
  <c r="J578" i="3"/>
  <c r="K578" i="3"/>
  <c r="I578" i="3"/>
  <c r="I579" i="3"/>
  <c r="I580" i="3"/>
  <c r="I581" i="3"/>
  <c r="I582" i="3"/>
  <c r="I583" i="3"/>
  <c r="I584" i="3"/>
  <c r="I585" i="3"/>
  <c r="I586" i="3"/>
  <c r="I587" i="3"/>
  <c r="I588" i="3"/>
  <c r="I589" i="3"/>
  <c r="I590" i="3"/>
  <c r="I591" i="3"/>
  <c r="I592" i="3"/>
  <c r="I593" i="3"/>
  <c r="I594" i="3"/>
  <c r="I595" i="3"/>
  <c r="I596" i="3"/>
  <c r="I597" i="3"/>
  <c r="I598" i="3"/>
  <c r="I599" i="3"/>
  <c r="I600" i="3"/>
  <c r="I601" i="3"/>
  <c r="F579" i="3"/>
  <c r="G579" i="3"/>
  <c r="H579" i="3"/>
  <c r="F580" i="3"/>
  <c r="G580" i="3"/>
  <c r="H580" i="3"/>
  <c r="F581" i="3"/>
  <c r="G581" i="3"/>
  <c r="H581" i="3"/>
  <c r="F582" i="3"/>
  <c r="G582" i="3"/>
  <c r="H582" i="3"/>
  <c r="F583" i="3"/>
  <c r="G583" i="3"/>
  <c r="H583" i="3"/>
  <c r="F584" i="3"/>
  <c r="G584" i="3"/>
  <c r="H584" i="3"/>
  <c r="F585" i="3"/>
  <c r="G585" i="3"/>
  <c r="H585" i="3"/>
  <c r="F586" i="3"/>
  <c r="G586" i="3"/>
  <c r="H586" i="3"/>
  <c r="G578" i="3"/>
  <c r="H578" i="3"/>
  <c r="F578" i="3"/>
  <c r="U90" i="3"/>
  <c r="U91" i="3"/>
  <c r="U92" i="3"/>
  <c r="U93" i="3"/>
  <c r="U94" i="3"/>
  <c r="U95" i="3"/>
  <c r="U96" i="3"/>
  <c r="U97" i="3"/>
  <c r="U98" i="3"/>
  <c r="U99" i="3"/>
  <c r="U100" i="3"/>
  <c r="U101" i="3"/>
  <c r="U102" i="3"/>
  <c r="U103" i="3"/>
  <c r="U104" i="3"/>
  <c r="U105" i="3"/>
  <c r="U106" i="3"/>
  <c r="U107" i="3"/>
  <c r="U108" i="3"/>
  <c r="U109" i="3"/>
  <c r="U110" i="3"/>
  <c r="U111" i="3"/>
  <c r="U112" i="3"/>
  <c r="U113" i="3"/>
  <c r="AQ146" i="3"/>
  <c r="AQ147" i="3"/>
  <c r="AQ148" i="3"/>
  <c r="AQ149" i="3"/>
  <c r="AQ150" i="3"/>
  <c r="AQ151" i="3"/>
  <c r="AQ152" i="3"/>
  <c r="AQ153" i="3"/>
  <c r="AQ154" i="3"/>
  <c r="AQ155" i="3"/>
  <c r="AQ156" i="3"/>
  <c r="AQ157" i="3"/>
  <c r="AQ158" i="3"/>
  <c r="AQ159" i="3"/>
  <c r="AQ160" i="3"/>
  <c r="AQ161" i="3"/>
  <c r="AQ162" i="3"/>
  <c r="AQ163" i="3"/>
  <c r="AQ164" i="3"/>
  <c r="AQ165" i="3"/>
  <c r="AQ166" i="3"/>
  <c r="AQ167" i="3"/>
  <c r="AQ168" i="3"/>
  <c r="AQ169" i="3"/>
  <c r="AS154" i="3"/>
  <c r="AS155" i="3"/>
  <c r="AS156" i="3"/>
  <c r="AS157" i="3"/>
  <c r="AS158" i="3"/>
  <c r="AS159" i="3"/>
  <c r="AS160" i="3"/>
  <c r="AS161" i="3"/>
  <c r="AS162" i="3"/>
  <c r="AS163" i="3"/>
  <c r="AS164" i="3"/>
  <c r="AS165" i="3"/>
  <c r="AS166" i="3"/>
  <c r="AS167" i="3"/>
  <c r="AS168" i="3"/>
  <c r="AS169" i="3"/>
  <c r="AN146" i="3"/>
  <c r="AS146" i="3" s="1"/>
  <c r="AN147" i="3"/>
  <c r="AS147" i="3" s="1"/>
  <c r="AN148" i="3"/>
  <c r="AS148" i="3" s="1"/>
  <c r="AN149" i="3"/>
  <c r="AS149" i="3" s="1"/>
  <c r="AN150" i="3"/>
  <c r="AS150" i="3" s="1"/>
  <c r="AN151" i="3"/>
  <c r="AS151" i="3" s="1"/>
  <c r="AN152" i="3"/>
  <c r="AS152" i="3" s="1"/>
  <c r="AN153" i="3"/>
  <c r="AS153" i="3" s="1"/>
  <c r="AN154" i="3"/>
  <c r="Q63" i="3"/>
  <c r="Q64" i="3"/>
  <c r="Q65" i="3"/>
  <c r="Q66" i="3"/>
  <c r="Q67" i="3"/>
  <c r="Q68" i="3"/>
  <c r="Q69" i="3"/>
  <c r="Q70" i="3"/>
  <c r="Q71" i="3"/>
  <c r="Q72" i="3"/>
  <c r="Q73" i="3"/>
  <c r="Q74" i="3"/>
  <c r="Q75" i="3"/>
  <c r="Q76" i="3"/>
  <c r="Q77" i="3"/>
  <c r="Q78" i="3"/>
  <c r="Q79" i="3"/>
  <c r="Q80" i="3"/>
  <c r="Q81" i="3"/>
  <c r="Q82" i="3"/>
  <c r="Q83" i="3"/>
  <c r="Q84" i="3"/>
  <c r="Q85" i="3"/>
  <c r="Q62" i="3"/>
  <c r="AL146" i="3"/>
  <c r="AP146" i="3" s="1"/>
  <c r="AL147" i="3"/>
  <c r="AP147" i="3" s="1"/>
  <c r="AL148" i="3"/>
  <c r="AP148" i="3" s="1"/>
  <c r="AL149" i="3"/>
  <c r="AP149" i="3" s="1"/>
  <c r="AL150" i="3"/>
  <c r="AP150" i="3" s="1"/>
  <c r="AL151" i="3"/>
  <c r="AP151" i="3" s="1"/>
  <c r="AL152" i="3"/>
  <c r="AP152" i="3" s="1"/>
  <c r="AL153" i="3"/>
  <c r="AP153" i="3" s="1"/>
  <c r="AJ146" i="3"/>
  <c r="AJ147" i="3"/>
  <c r="AJ148" i="3"/>
  <c r="AJ149" i="3"/>
  <c r="AJ150" i="3"/>
  <c r="AJ151" i="3"/>
  <c r="AJ152" i="3"/>
  <c r="AJ153" i="3"/>
  <c r="AJ154" i="3"/>
  <c r="AJ155" i="3"/>
  <c r="AJ156" i="3"/>
  <c r="H1" i="3"/>
  <c r="O404" i="3" s="1"/>
  <c r="M440" i="3"/>
  <c r="M443" i="3"/>
  <c r="CB35" i="5" l="1" a="1"/>
  <c r="CB35" i="5" s="1"/>
  <c r="CC35" i="5" a="1"/>
  <c r="CC35" i="5" s="1"/>
  <c r="CA35" i="5" a="1"/>
  <c r="CA35" i="5" s="1"/>
  <c r="AR150" i="3"/>
  <c r="AR153" i="3"/>
  <c r="AR149" i="3"/>
  <c r="AR147" i="3"/>
  <c r="AR152" i="3"/>
  <c r="AR148" i="3"/>
  <c r="AR151" i="3"/>
  <c r="AR146" i="3"/>
  <c r="T113" i="3"/>
  <c r="T101" i="3"/>
  <c r="T112" i="3"/>
  <c r="T111" i="3"/>
  <c r="T99" i="3"/>
  <c r="T110" i="3"/>
  <c r="T98" i="3"/>
  <c r="T100" i="3"/>
  <c r="E395" i="3"/>
  <c r="T109" i="3"/>
  <c r="T97" i="3"/>
  <c r="E389" i="3"/>
  <c r="T108" i="3"/>
  <c r="T96" i="3"/>
  <c r="E388" i="3"/>
  <c r="T107" i="3"/>
  <c r="T95" i="3"/>
  <c r="E382" i="3"/>
  <c r="T106" i="3"/>
  <c r="T94" i="3"/>
  <c r="O383" i="3"/>
  <c r="T105" i="3"/>
  <c r="T93" i="3"/>
  <c r="O377" i="3"/>
  <c r="T104" i="3"/>
  <c r="T92" i="3"/>
  <c r="O376" i="3"/>
  <c r="T103" i="3"/>
  <c r="T91" i="3"/>
  <c r="O422" i="3"/>
  <c r="T102" i="3"/>
  <c r="T90" i="3"/>
  <c r="E394" i="3"/>
  <c r="O382" i="3"/>
  <c r="E383" i="3"/>
  <c r="O423" i="3"/>
  <c r="E377" i="3"/>
  <c r="O417" i="3"/>
  <c r="E376" i="3"/>
  <c r="O416" i="3"/>
  <c r="O395" i="3"/>
  <c r="O411" i="3"/>
  <c r="O394" i="3"/>
  <c r="O410" i="3"/>
  <c r="O389" i="3"/>
  <c r="O405" i="3"/>
  <c r="O388" i="3"/>
  <c r="E372" i="3"/>
  <c r="E384" i="3"/>
  <c r="O372" i="3"/>
  <c r="O384" i="3"/>
  <c r="O400" i="3"/>
  <c r="O412" i="3"/>
  <c r="E393" i="3"/>
  <c r="E381" i="3"/>
  <c r="O393" i="3"/>
  <c r="O381" i="3"/>
  <c r="O421" i="3"/>
  <c r="O409" i="3"/>
  <c r="E392" i="3"/>
  <c r="E380" i="3"/>
  <c r="O392" i="3"/>
  <c r="O380" i="3"/>
  <c r="O420" i="3"/>
  <c r="O408" i="3"/>
  <c r="E391" i="3"/>
  <c r="E379" i="3"/>
  <c r="O391" i="3"/>
  <c r="O379" i="3"/>
  <c r="O419" i="3"/>
  <c r="O407" i="3"/>
  <c r="E390" i="3"/>
  <c r="E378" i="3"/>
  <c r="O390" i="3"/>
  <c r="O378" i="3"/>
  <c r="O418" i="3"/>
  <c r="O406" i="3"/>
  <c r="E387" i="3"/>
  <c r="E375" i="3"/>
  <c r="O387" i="3"/>
  <c r="O375" i="3"/>
  <c r="O415" i="3"/>
  <c r="O403" i="3"/>
  <c r="E386" i="3"/>
  <c r="E374" i="3"/>
  <c r="O386" i="3"/>
  <c r="O374" i="3"/>
  <c r="O414" i="3"/>
  <c r="O402" i="3"/>
  <c r="E385" i="3"/>
  <c r="E373" i="3"/>
  <c r="O385" i="3"/>
  <c r="O373" i="3"/>
  <c r="O413" i="3"/>
  <c r="O401" i="3"/>
  <c r="J2" i="12"/>
  <c r="J3" i="12"/>
  <c r="J4" i="12"/>
  <c r="J5" i="12"/>
  <c r="J6" i="12"/>
  <c r="J7" i="12"/>
  <c r="J8" i="12"/>
  <c r="J9" i="12"/>
  <c r="J10" i="12"/>
  <c r="J11" i="12"/>
  <c r="J12" i="12"/>
  <c r="J13" i="12"/>
  <c r="J14" i="12"/>
  <c r="J15" i="12"/>
  <c r="J16" i="12"/>
  <c r="J17" i="12"/>
  <c r="J18" i="12"/>
  <c r="J19" i="12"/>
  <c r="J20" i="12"/>
  <c r="J21" i="12"/>
  <c r="J22" i="12"/>
  <c r="J23" i="12"/>
  <c r="J24" i="12"/>
  <c r="J25" i="12"/>
  <c r="I3" i="12"/>
  <c r="I2" i="12"/>
  <c r="I4" i="12"/>
  <c r="I5" i="12"/>
  <c r="I6" i="12"/>
  <c r="I7" i="12"/>
  <c r="I8" i="12"/>
  <c r="I9" i="12"/>
  <c r="I10" i="12"/>
  <c r="I11" i="12"/>
  <c r="I12" i="12"/>
  <c r="I13" i="12"/>
  <c r="I14" i="12"/>
  <c r="I15" i="12"/>
  <c r="I16" i="12"/>
  <c r="I17" i="12"/>
  <c r="I18" i="12"/>
  <c r="I19" i="12"/>
  <c r="I20" i="12"/>
  <c r="I21" i="12"/>
  <c r="I22" i="12"/>
  <c r="I23" i="12"/>
  <c r="I24" i="12"/>
  <c r="I25" i="12"/>
  <c r="H3" i="12"/>
  <c r="H4" i="12"/>
  <c r="H5" i="12"/>
  <c r="H6" i="12"/>
  <c r="H7" i="12"/>
  <c r="H8" i="12"/>
  <c r="H9" i="12"/>
  <c r="H10" i="12"/>
  <c r="H2" i="12"/>
  <c r="E10" i="10"/>
  <c r="I20" i="10"/>
  <c r="J20" i="10"/>
  <c r="I21" i="10"/>
  <c r="J21" i="10"/>
  <c r="AG174" i="3" a="1"/>
  <c r="AG174" i="3" s="1"/>
  <c r="AG146" i="3" a="1"/>
  <c r="AG146" i="3" s="1"/>
  <c r="X458" i="3"/>
  <c r="X459" i="3"/>
  <c r="X460" i="3"/>
  <c r="X461" i="3"/>
  <c r="X462" i="3"/>
  <c r="X463" i="3"/>
  <c r="X464" i="3"/>
  <c r="X465" i="3"/>
  <c r="X466" i="3"/>
  <c r="X467" i="3"/>
  <c r="X468" i="3"/>
  <c r="X469" i="3"/>
  <c r="X470" i="3"/>
  <c r="X471" i="3"/>
  <c r="X472" i="3"/>
  <c r="X473" i="3"/>
  <c r="X474" i="3"/>
  <c r="X475" i="3"/>
  <c r="X476" i="3"/>
  <c r="X477" i="3"/>
  <c r="X478" i="3"/>
  <c r="X479" i="3"/>
  <c r="X480" i="3"/>
  <c r="X481" i="3"/>
  <c r="B2" i="9"/>
  <c r="B12" i="9" s="1"/>
  <c r="C36" i="6"/>
  <c r="CW60" i="5" s="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82" i="11"/>
  <c r="B2" i="11"/>
  <c r="B8" i="11" s="1"/>
  <c r="B74" i="11"/>
  <c r="B78" i="11"/>
  <c r="B96" i="11"/>
  <c r="B97" i="11"/>
  <c r="E76" i="11"/>
  <c r="E68" i="11"/>
  <c r="E67" i="11"/>
  <c r="E66" i="11"/>
  <c r="E55" i="11"/>
  <c r="E51" i="11"/>
  <c r="E44" i="11"/>
  <c r="E43" i="11"/>
  <c r="E32" i="11"/>
  <c r="E29" i="11"/>
  <c r="E25" i="11"/>
  <c r="E24" i="11"/>
  <c r="E23" i="11"/>
  <c r="E12" i="11"/>
  <c r="E7" i="11"/>
  <c r="I19" i="10"/>
  <c r="E7" i="9"/>
  <c r="E8" i="9"/>
  <c r="E9" i="9"/>
  <c r="E14" i="9"/>
  <c r="E22" i="9"/>
  <c r="E29" i="9"/>
  <c r="E30" i="9"/>
  <c r="E31" i="9"/>
  <c r="E34" i="9"/>
  <c r="E42" i="9"/>
  <c r="E51" i="9"/>
  <c r="E52" i="9"/>
  <c r="E54" i="9"/>
  <c r="E65" i="9"/>
  <c r="E68" i="9"/>
  <c r="E74" i="9"/>
  <c r="E75" i="9"/>
  <c r="E80" i="9"/>
  <c r="C21" i="10"/>
  <c r="D21" i="10"/>
  <c r="E21" i="10"/>
  <c r="F21" i="10"/>
  <c r="G21" i="10"/>
  <c r="H21" i="10"/>
  <c r="B21" i="10"/>
  <c r="C20" i="10"/>
  <c r="D20" i="10"/>
  <c r="E20" i="10"/>
  <c r="F20" i="10"/>
  <c r="G20" i="10"/>
  <c r="H20" i="10"/>
  <c r="B20" i="10"/>
  <c r="C10" i="10"/>
  <c r="D10" i="10"/>
  <c r="B10" i="10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C3" i="8"/>
  <c r="A3" i="8"/>
  <c r="F3" i="8" s="1"/>
  <c r="E4" i="11" s="1"/>
  <c r="A4" i="8"/>
  <c r="F4" i="8" s="1"/>
  <c r="E5" i="11" s="1"/>
  <c r="A5" i="8"/>
  <c r="F5" i="8" s="1"/>
  <c r="E6" i="11" s="1"/>
  <c r="A6" i="8"/>
  <c r="F6" i="8" s="1"/>
  <c r="A7" i="8"/>
  <c r="F7" i="8" s="1"/>
  <c r="E8" i="11" s="1"/>
  <c r="A8" i="8"/>
  <c r="F8" i="8" s="1"/>
  <c r="E9" i="11" s="1"/>
  <c r="A9" i="8"/>
  <c r="F9" i="8" s="1"/>
  <c r="E10" i="9" s="1"/>
  <c r="A10" i="8"/>
  <c r="F10" i="8" s="1"/>
  <c r="E11" i="11" s="1"/>
  <c r="A11" i="8"/>
  <c r="F11" i="8" s="1"/>
  <c r="E12" i="9" s="1"/>
  <c r="A12" i="8"/>
  <c r="F12" i="8" s="1"/>
  <c r="E13" i="9" s="1"/>
  <c r="A13" i="8"/>
  <c r="F13" i="8" s="1"/>
  <c r="E14" i="11" s="1"/>
  <c r="A14" i="8"/>
  <c r="F14" i="8" s="1"/>
  <c r="E15" i="9" s="1"/>
  <c r="A15" i="8"/>
  <c r="F15" i="8" s="1"/>
  <c r="E16" i="9" s="1"/>
  <c r="A16" i="8"/>
  <c r="F16" i="8" s="1"/>
  <c r="E17" i="11" s="1"/>
  <c r="A17" i="8"/>
  <c r="F17" i="8" s="1"/>
  <c r="E18" i="11" s="1"/>
  <c r="A18" i="8"/>
  <c r="F18" i="8" s="1"/>
  <c r="E19" i="11" s="1"/>
  <c r="A19" i="8"/>
  <c r="F19" i="8" s="1"/>
  <c r="E20" i="11" s="1"/>
  <c r="A20" i="8"/>
  <c r="F20" i="8" s="1"/>
  <c r="E21" i="11" s="1"/>
  <c r="A21" i="8"/>
  <c r="F21" i="8" s="1"/>
  <c r="E22" i="11" s="1"/>
  <c r="A22" i="8"/>
  <c r="F22" i="8" s="1"/>
  <c r="E23" i="9" s="1"/>
  <c r="A23" i="8"/>
  <c r="F23" i="8" s="1"/>
  <c r="E24" i="9" s="1"/>
  <c r="A24" i="8"/>
  <c r="F24" i="8" s="1"/>
  <c r="E25" i="9" s="1"/>
  <c r="A25" i="8"/>
  <c r="F25" i="8" s="1"/>
  <c r="E26" i="9" s="1"/>
  <c r="A26" i="8"/>
  <c r="F26" i="8" s="1"/>
  <c r="E27" i="11" s="1"/>
  <c r="A27" i="8"/>
  <c r="F27" i="8" s="1"/>
  <c r="E28" i="11" s="1"/>
  <c r="A28" i="8"/>
  <c r="F28" i="8" s="1"/>
  <c r="A29" i="8"/>
  <c r="F29" i="8" s="1"/>
  <c r="E30" i="11" s="1"/>
  <c r="A30" i="8"/>
  <c r="F30" i="8" s="1"/>
  <c r="E31" i="11" s="1"/>
  <c r="A31" i="8"/>
  <c r="F31" i="8" s="1"/>
  <c r="E32" i="9" s="1"/>
  <c r="A32" i="8"/>
  <c r="F32" i="8" s="1"/>
  <c r="E33" i="9" s="1"/>
  <c r="A33" i="8"/>
  <c r="F33" i="8" s="1"/>
  <c r="E34" i="11" s="1"/>
  <c r="A34" i="8"/>
  <c r="F34" i="8" s="1"/>
  <c r="E35" i="9" s="1"/>
  <c r="A35" i="8"/>
  <c r="F35" i="8" s="1"/>
  <c r="E36" i="9" s="1"/>
  <c r="A36" i="8"/>
  <c r="F36" i="8" s="1"/>
  <c r="E37" i="11" s="1"/>
  <c r="A37" i="8"/>
  <c r="F37" i="8" s="1"/>
  <c r="E38" i="11" s="1"/>
  <c r="A38" i="8"/>
  <c r="F38" i="8" s="1"/>
  <c r="E39" i="11" s="1"/>
  <c r="A39" i="8"/>
  <c r="F39" i="8" s="1"/>
  <c r="E40" i="11" s="1"/>
  <c r="A40" i="8"/>
  <c r="F40" i="8" s="1"/>
  <c r="E41" i="11" s="1"/>
  <c r="A41" i="8"/>
  <c r="F41" i="8" s="1"/>
  <c r="E42" i="11" s="1"/>
  <c r="A42" i="8"/>
  <c r="F42" i="8" s="1"/>
  <c r="E43" i="9" s="1"/>
  <c r="A43" i="8"/>
  <c r="F43" i="8" s="1"/>
  <c r="E44" i="9" s="1"/>
  <c r="A44" i="8"/>
  <c r="F44" i="8" s="1"/>
  <c r="E45" i="9" s="1"/>
  <c r="A45" i="8"/>
  <c r="F45" i="8" s="1"/>
  <c r="E46" i="11" s="1"/>
  <c r="A46" i="8"/>
  <c r="F46" i="8" s="1"/>
  <c r="A47" i="8"/>
  <c r="F47" i="8" s="1"/>
  <c r="E48" i="9" s="1"/>
  <c r="A48" i="8"/>
  <c r="F48" i="8" s="1"/>
  <c r="E49" i="11" s="1"/>
  <c r="A49" i="8"/>
  <c r="F49" i="8" s="1"/>
  <c r="E50" i="11" s="1"/>
  <c r="A50" i="8"/>
  <c r="F50" i="8" s="1"/>
  <c r="A51" i="8"/>
  <c r="F51" i="8" s="1"/>
  <c r="E52" i="11" s="1"/>
  <c r="A52" i="8"/>
  <c r="F52" i="8" s="1"/>
  <c r="A53" i="8"/>
  <c r="F53" i="8" s="1"/>
  <c r="E54" i="11" s="1"/>
  <c r="A54" i="8"/>
  <c r="F54" i="8" s="1"/>
  <c r="E55" i="9" s="1"/>
  <c r="A55" i="8"/>
  <c r="F55" i="8" s="1"/>
  <c r="E56" i="9" s="1"/>
  <c r="A56" i="8"/>
  <c r="F56" i="8" s="1"/>
  <c r="E57" i="9" s="1"/>
  <c r="A57" i="8"/>
  <c r="F57" i="8" s="1"/>
  <c r="E58" i="9" s="1"/>
  <c r="A58" i="8"/>
  <c r="F58" i="8" s="1"/>
  <c r="E59" i="9" s="1"/>
  <c r="A59" i="8"/>
  <c r="F59" i="8" s="1"/>
  <c r="E60" i="11" s="1"/>
  <c r="A60" i="8"/>
  <c r="F60" i="8" s="1"/>
  <c r="E61" i="11" s="1"/>
  <c r="A61" i="8"/>
  <c r="F61" i="8" s="1"/>
  <c r="E62" i="11" s="1"/>
  <c r="A62" i="8"/>
  <c r="F62" i="8" s="1"/>
  <c r="E63" i="11" s="1"/>
  <c r="A63" i="8"/>
  <c r="F63" i="8" s="1"/>
  <c r="E64" i="11" s="1"/>
  <c r="A64" i="8"/>
  <c r="F64" i="8" s="1"/>
  <c r="E65" i="11" s="1"/>
  <c r="A65" i="8"/>
  <c r="F65" i="8" s="1"/>
  <c r="E66" i="9" s="1"/>
  <c r="A66" i="8"/>
  <c r="F66" i="8" s="1"/>
  <c r="E67" i="9" s="1"/>
  <c r="A67" i="8"/>
  <c r="F67" i="8" s="1"/>
  <c r="A68" i="8"/>
  <c r="F68" i="8" s="1"/>
  <c r="E69" i="9" s="1"/>
  <c r="A69" i="8"/>
  <c r="F69" i="8" s="1"/>
  <c r="E70" i="11" s="1"/>
  <c r="A70" i="8"/>
  <c r="F70" i="8" s="1"/>
  <c r="E71" i="11" s="1"/>
  <c r="A71" i="8"/>
  <c r="F71" i="8" s="1"/>
  <c r="E72" i="9" s="1"/>
  <c r="A72" i="8"/>
  <c r="F72" i="8" s="1"/>
  <c r="E73" i="11" s="1"/>
  <c r="A73" i="8"/>
  <c r="F73" i="8" s="1"/>
  <c r="E74" i="11" s="1"/>
  <c r="A74" i="8"/>
  <c r="F74" i="8" s="1"/>
  <c r="E75" i="11" s="1"/>
  <c r="A75" i="8"/>
  <c r="F75" i="8" s="1"/>
  <c r="E76" i="9" s="1"/>
  <c r="A76" i="8"/>
  <c r="F76" i="8" s="1"/>
  <c r="E77" i="9" s="1"/>
  <c r="A77" i="8"/>
  <c r="F77" i="8" s="1"/>
  <c r="E78" i="9" s="1"/>
  <c r="A78" i="8"/>
  <c r="F78" i="8" s="1"/>
  <c r="E79" i="9" s="1"/>
  <c r="A79" i="8"/>
  <c r="F79" i="8" s="1"/>
  <c r="E80" i="11" s="1"/>
  <c r="A80" i="8"/>
  <c r="F80" i="8" s="1"/>
  <c r="E81" i="11" s="1"/>
  <c r="V4" i="6"/>
  <c r="V5" i="6"/>
  <c r="W5" i="6" s="1"/>
  <c r="V6" i="6"/>
  <c r="X6" i="6" s="1"/>
  <c r="V7" i="6"/>
  <c r="W7" i="6" s="1"/>
  <c r="V8" i="6"/>
  <c r="V9" i="6"/>
  <c r="W9" i="6" s="1"/>
  <c r="V10" i="6"/>
  <c r="X10" i="6" s="1"/>
  <c r="V11" i="6"/>
  <c r="V12" i="6"/>
  <c r="V13" i="6"/>
  <c r="X13" i="6" s="1"/>
  <c r="V14" i="6"/>
  <c r="W14" i="6" s="1"/>
  <c r="V15" i="6"/>
  <c r="V16" i="6"/>
  <c r="V17" i="6"/>
  <c r="W17" i="6" s="1"/>
  <c r="V18" i="6"/>
  <c r="X18" i="6" s="1"/>
  <c r="V19" i="6"/>
  <c r="W19" i="6" s="1"/>
  <c r="V20" i="6"/>
  <c r="V21" i="6"/>
  <c r="W21" i="6" s="1"/>
  <c r="V22" i="6"/>
  <c r="X22" i="6" s="1"/>
  <c r="V23" i="6"/>
  <c r="V24" i="6"/>
  <c r="X24" i="6" s="1"/>
  <c r="V25" i="6"/>
  <c r="X25" i="6" s="1"/>
  <c r="V26" i="6"/>
  <c r="W26" i="6" s="1"/>
  <c r="V27" i="6"/>
  <c r="V28" i="6"/>
  <c r="V29" i="6"/>
  <c r="W29" i="6" s="1"/>
  <c r="V30" i="6"/>
  <c r="X30" i="6" s="1"/>
  <c r="V31" i="6"/>
  <c r="W31" i="6" s="1"/>
  <c r="V32" i="6"/>
  <c r="V33" i="6"/>
  <c r="W33" i="6" s="1"/>
  <c r="V34" i="6"/>
  <c r="W34" i="6" s="1"/>
  <c r="V35" i="6"/>
  <c r="V3" i="6"/>
  <c r="W3" i="6" s="1"/>
  <c r="X3" i="6"/>
  <c r="X4" i="6"/>
  <c r="X7" i="6"/>
  <c r="X8" i="6"/>
  <c r="X9" i="6"/>
  <c r="X11" i="6"/>
  <c r="X12" i="6"/>
  <c r="X15" i="6"/>
  <c r="X16" i="6"/>
  <c r="X19" i="6"/>
  <c r="X20" i="6"/>
  <c r="X21" i="6"/>
  <c r="X23" i="6"/>
  <c r="X27" i="6"/>
  <c r="X28" i="6"/>
  <c r="X31" i="6"/>
  <c r="X32" i="6"/>
  <c r="X33" i="6"/>
  <c r="X35" i="6"/>
  <c r="W4" i="6"/>
  <c r="W6" i="6"/>
  <c r="W8" i="6"/>
  <c r="W10" i="6"/>
  <c r="W11" i="6"/>
  <c r="W12" i="6"/>
  <c r="W13" i="6"/>
  <c r="W15" i="6"/>
  <c r="W16" i="6"/>
  <c r="W18" i="6"/>
  <c r="W20" i="6"/>
  <c r="W22" i="6"/>
  <c r="W23" i="6"/>
  <c r="W25" i="6"/>
  <c r="W27" i="6"/>
  <c r="W28" i="6"/>
  <c r="W30" i="6"/>
  <c r="W32" i="6"/>
  <c r="W35" i="6"/>
  <c r="U4" i="6"/>
  <c r="U5" i="6"/>
  <c r="U6" i="6"/>
  <c r="U7" i="6"/>
  <c r="U8" i="6"/>
  <c r="U9" i="6"/>
  <c r="U10" i="6"/>
  <c r="U11" i="6"/>
  <c r="U12" i="6"/>
  <c r="U13" i="6"/>
  <c r="U14" i="6"/>
  <c r="U15" i="6"/>
  <c r="U17" i="6"/>
  <c r="U18" i="6"/>
  <c r="U19" i="6"/>
  <c r="U20" i="6"/>
  <c r="U21" i="6"/>
  <c r="U22" i="6"/>
  <c r="U23" i="6"/>
  <c r="U25" i="6"/>
  <c r="U26" i="6"/>
  <c r="U27" i="6"/>
  <c r="U28" i="6"/>
  <c r="U29" i="6"/>
  <c r="U30" i="6"/>
  <c r="U31" i="6"/>
  <c r="U32" i="6"/>
  <c r="U33" i="6"/>
  <c r="U34" i="6"/>
  <c r="U35" i="6"/>
  <c r="U3" i="6"/>
  <c r="S6" i="6"/>
  <c r="S7" i="6"/>
  <c r="S8" i="6"/>
  <c r="S9" i="6"/>
  <c r="S13" i="6"/>
  <c r="S14" i="6"/>
  <c r="S18" i="6"/>
  <c r="S19" i="6"/>
  <c r="S20" i="6"/>
  <c r="S21" i="6"/>
  <c r="S25" i="6"/>
  <c r="S26" i="6"/>
  <c r="S30" i="6"/>
  <c r="S31" i="6"/>
  <c r="S32" i="6"/>
  <c r="S33" i="6"/>
  <c r="R4" i="6"/>
  <c r="S4" i="6" s="1"/>
  <c r="R5" i="6"/>
  <c r="S5" i="6" s="1"/>
  <c r="R6" i="6"/>
  <c r="R7" i="6"/>
  <c r="R8" i="6"/>
  <c r="R9" i="6"/>
  <c r="R10" i="6"/>
  <c r="S10" i="6" s="1"/>
  <c r="R11" i="6"/>
  <c r="S11" i="6" s="1"/>
  <c r="R12" i="6"/>
  <c r="S12" i="6" s="1"/>
  <c r="R13" i="6"/>
  <c r="R14" i="6"/>
  <c r="R15" i="6"/>
  <c r="S15" i="6" s="1"/>
  <c r="R16" i="6"/>
  <c r="S16" i="6" s="1"/>
  <c r="R17" i="6"/>
  <c r="S17" i="6" s="1"/>
  <c r="R18" i="6"/>
  <c r="R19" i="6"/>
  <c r="R20" i="6"/>
  <c r="R21" i="6"/>
  <c r="R22" i="6"/>
  <c r="S22" i="6" s="1"/>
  <c r="R23" i="6"/>
  <c r="S23" i="6" s="1"/>
  <c r="R24" i="6"/>
  <c r="S24" i="6" s="1"/>
  <c r="R25" i="6"/>
  <c r="R26" i="6"/>
  <c r="R27" i="6"/>
  <c r="S27" i="6" s="1"/>
  <c r="R28" i="6"/>
  <c r="S28" i="6" s="1"/>
  <c r="R29" i="6"/>
  <c r="S29" i="6" s="1"/>
  <c r="R30" i="6"/>
  <c r="R31" i="6"/>
  <c r="R32" i="6"/>
  <c r="R33" i="6"/>
  <c r="R34" i="6"/>
  <c r="S34" i="6" s="1"/>
  <c r="R35" i="6"/>
  <c r="S35" i="6" s="1"/>
  <c r="R3" i="6"/>
  <c r="S3" i="6" s="1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" i="6"/>
  <c r="CS4" i="5"/>
  <c r="CU33" i="5"/>
  <c r="CV33" i="5"/>
  <c r="CU34" i="5"/>
  <c r="CV34" i="5"/>
  <c r="CT34" i="5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" i="6"/>
  <c r="CR4" i="5"/>
  <c r="CR34" i="5" s="1"/>
  <c r="CR33" i="5"/>
  <c r="H489" i="3"/>
  <c r="G489" i="3"/>
  <c r="CG35" i="5" a="1"/>
  <c r="CG35" i="5" s="1"/>
  <c r="CF58" i="5"/>
  <c r="CF57" i="5"/>
  <c r="CF56" i="5"/>
  <c r="CF55" i="5"/>
  <c r="CF54" i="5"/>
  <c r="CF53" i="5"/>
  <c r="CF52" i="5"/>
  <c r="CF51" i="5"/>
  <c r="CF50" i="5"/>
  <c r="CF49" i="5"/>
  <c r="CF48" i="5"/>
  <c r="CF47" i="5"/>
  <c r="CF46" i="5"/>
  <c r="CF45" i="5"/>
  <c r="CF44" i="5"/>
  <c r="CF43" i="5"/>
  <c r="CF42" i="5"/>
  <c r="CF41" i="5"/>
  <c r="CF40" i="5"/>
  <c r="CF39" i="5"/>
  <c r="CF38" i="5"/>
  <c r="CF37" i="5"/>
  <c r="CF36" i="5"/>
  <c r="CF35" i="5"/>
  <c r="CD35" i="5" a="1"/>
  <c r="CD35" i="5" s="1"/>
  <c r="BY35" i="5" a="1"/>
  <c r="BY35" i="5" s="1"/>
  <c r="BW35" i="5" a="1"/>
  <c r="BW35" i="5" s="1"/>
  <c r="M550" i="3"/>
  <c r="M551" i="3"/>
  <c r="M552" i="3"/>
  <c r="M553" i="3"/>
  <c r="M554" i="3"/>
  <c r="M555" i="3"/>
  <c r="M556" i="3"/>
  <c r="M557" i="3"/>
  <c r="M558" i="3"/>
  <c r="M559" i="3"/>
  <c r="M560" i="3"/>
  <c r="M561" i="3"/>
  <c r="M562" i="3"/>
  <c r="M563" i="3"/>
  <c r="M564" i="3"/>
  <c r="M565" i="3"/>
  <c r="M566" i="3"/>
  <c r="M567" i="3"/>
  <c r="M568" i="3"/>
  <c r="M569" i="3"/>
  <c r="M570" i="3"/>
  <c r="M571" i="3"/>
  <c r="M572" i="3"/>
  <c r="M573" i="3"/>
  <c r="K551" i="3"/>
  <c r="L551" i="3"/>
  <c r="K552" i="3"/>
  <c r="L552" i="3"/>
  <c r="K553" i="3"/>
  <c r="L553" i="3"/>
  <c r="K554" i="3"/>
  <c r="L554" i="3"/>
  <c r="K555" i="3"/>
  <c r="L555" i="3"/>
  <c r="K556" i="3"/>
  <c r="L556" i="3"/>
  <c r="K557" i="3"/>
  <c r="L557" i="3"/>
  <c r="K558" i="3"/>
  <c r="L558" i="3"/>
  <c r="K559" i="3"/>
  <c r="L559" i="3"/>
  <c r="K560" i="3"/>
  <c r="L560" i="3"/>
  <c r="K561" i="3"/>
  <c r="L561" i="3"/>
  <c r="K562" i="3"/>
  <c r="L562" i="3"/>
  <c r="K563" i="3"/>
  <c r="L563" i="3"/>
  <c r="K564" i="3"/>
  <c r="L564" i="3"/>
  <c r="K565" i="3"/>
  <c r="L565" i="3"/>
  <c r="K566" i="3"/>
  <c r="L566" i="3"/>
  <c r="K567" i="3"/>
  <c r="L567" i="3"/>
  <c r="K568" i="3"/>
  <c r="L568" i="3"/>
  <c r="K569" i="3"/>
  <c r="L569" i="3"/>
  <c r="K570" i="3"/>
  <c r="L570" i="3"/>
  <c r="K571" i="3"/>
  <c r="L571" i="3"/>
  <c r="K572" i="3"/>
  <c r="L572" i="3"/>
  <c r="K573" i="3"/>
  <c r="L573" i="3"/>
  <c r="K550" i="3"/>
  <c r="L550" i="3"/>
  <c r="J550" i="3"/>
  <c r="J551" i="3"/>
  <c r="J552" i="3"/>
  <c r="J553" i="3"/>
  <c r="J554" i="3"/>
  <c r="J555" i="3"/>
  <c r="J556" i="3"/>
  <c r="J557" i="3"/>
  <c r="J558" i="3"/>
  <c r="J559" i="3"/>
  <c r="J560" i="3"/>
  <c r="J561" i="3"/>
  <c r="J562" i="3"/>
  <c r="J563" i="3"/>
  <c r="J564" i="3"/>
  <c r="J565" i="3"/>
  <c r="J566" i="3"/>
  <c r="J567" i="3"/>
  <c r="J568" i="3"/>
  <c r="J569" i="3"/>
  <c r="J570" i="3"/>
  <c r="J571" i="3"/>
  <c r="J572" i="3"/>
  <c r="J573" i="3"/>
  <c r="BS35" i="5" a="1"/>
  <c r="BS35" i="5" s="1"/>
  <c r="BP35" i="5" a="1"/>
  <c r="BP35" i="5" s="1"/>
  <c r="W458" i="3"/>
  <c r="AC458" i="3" s="1"/>
  <c r="W459" i="3"/>
  <c r="AC459" i="3" s="1"/>
  <c r="W460" i="3"/>
  <c r="AC460" i="3" s="1"/>
  <c r="W461" i="3"/>
  <c r="AC461" i="3" s="1"/>
  <c r="W462" i="3"/>
  <c r="AC462" i="3" s="1"/>
  <c r="W463" i="3"/>
  <c r="AC463" i="3" s="1"/>
  <c r="W464" i="3"/>
  <c r="AC464" i="3" s="1"/>
  <c r="W465" i="3"/>
  <c r="AC465" i="3" s="1"/>
  <c r="W466" i="3"/>
  <c r="AC466" i="3" s="1"/>
  <c r="W467" i="3"/>
  <c r="AC467" i="3" s="1"/>
  <c r="W468" i="3"/>
  <c r="AC468" i="3" s="1"/>
  <c r="W469" i="3"/>
  <c r="AC469" i="3" s="1"/>
  <c r="W470" i="3"/>
  <c r="AC470" i="3" s="1"/>
  <c r="W471" i="3"/>
  <c r="AC471" i="3" s="1"/>
  <c r="W472" i="3"/>
  <c r="AC472" i="3" s="1"/>
  <c r="W473" i="3"/>
  <c r="AC473" i="3" s="1"/>
  <c r="W474" i="3"/>
  <c r="AC474" i="3" s="1"/>
  <c r="W475" i="3"/>
  <c r="AC475" i="3" s="1"/>
  <c r="W476" i="3"/>
  <c r="AC476" i="3" s="1"/>
  <c r="W477" i="3"/>
  <c r="AC477" i="3" s="1"/>
  <c r="W478" i="3"/>
  <c r="AC478" i="3" s="1"/>
  <c r="W479" i="3"/>
  <c r="AC479" i="3" s="1"/>
  <c r="W480" i="3"/>
  <c r="AC480" i="3" s="1"/>
  <c r="W481" i="3"/>
  <c r="AC481" i="3" s="1"/>
  <c r="BK35" i="5" a="1"/>
  <c r="BK35" i="5" s="1"/>
  <c r="BJ35" i="5" a="1"/>
  <c r="BJ35" i="5" s="1"/>
  <c r="BI35" i="5" a="1"/>
  <c r="BI35" i="5" s="1"/>
  <c r="BF35" i="5" a="1"/>
  <c r="BF35" i="5" s="1"/>
  <c r="BA35" i="5" a="1"/>
  <c r="BA35" i="5" s="1"/>
  <c r="AR35" i="5" a="1"/>
  <c r="AR35" i="5" s="1"/>
  <c r="AO35" i="5" a="1"/>
  <c r="AO35" i="5" s="1"/>
  <c r="AN35" i="5" a="1"/>
  <c r="AN35" i="5" s="1"/>
  <c r="AM35" i="5" a="1"/>
  <c r="AM35" i="5" s="1"/>
  <c r="AL35" i="5" a="1"/>
  <c r="AL35" i="5" s="1"/>
  <c r="V458" i="3"/>
  <c r="AB458" i="3" s="1"/>
  <c r="V459" i="3"/>
  <c r="AB459" i="3" s="1"/>
  <c r="V460" i="3"/>
  <c r="AB460" i="3" s="1"/>
  <c r="V461" i="3"/>
  <c r="AB461" i="3" s="1"/>
  <c r="V462" i="3"/>
  <c r="AB462" i="3" s="1"/>
  <c r="V463" i="3"/>
  <c r="AB463" i="3" s="1"/>
  <c r="V464" i="3"/>
  <c r="AB464" i="3" s="1"/>
  <c r="V465" i="3"/>
  <c r="AB465" i="3" s="1"/>
  <c r="V466" i="3"/>
  <c r="AB466" i="3" s="1"/>
  <c r="V467" i="3"/>
  <c r="AB467" i="3" s="1"/>
  <c r="V468" i="3"/>
  <c r="AB468" i="3" s="1"/>
  <c r="V469" i="3"/>
  <c r="AB469" i="3" s="1"/>
  <c r="V470" i="3"/>
  <c r="AB470" i="3" s="1"/>
  <c r="U458" i="3"/>
  <c r="AA458" i="3" s="1"/>
  <c r="U459" i="3"/>
  <c r="AA459" i="3" s="1"/>
  <c r="U460" i="3"/>
  <c r="AA460" i="3" s="1"/>
  <c r="U461" i="3"/>
  <c r="AA461" i="3" s="1"/>
  <c r="U462" i="3"/>
  <c r="AA462" i="3" s="1"/>
  <c r="U463" i="3"/>
  <c r="AA463" i="3" s="1"/>
  <c r="U464" i="3"/>
  <c r="AA464" i="3" s="1"/>
  <c r="U465" i="3"/>
  <c r="AA465" i="3" s="1"/>
  <c r="U466" i="3"/>
  <c r="AA466" i="3" s="1"/>
  <c r="U467" i="3"/>
  <c r="AA467" i="3" s="1"/>
  <c r="U468" i="3"/>
  <c r="AA468" i="3" s="1"/>
  <c r="U469" i="3"/>
  <c r="AA469" i="3" s="1"/>
  <c r="U470" i="3"/>
  <c r="AA470" i="3" s="1"/>
  <c r="U471" i="3"/>
  <c r="AA471" i="3" s="1"/>
  <c r="U472" i="3"/>
  <c r="AA472" i="3" s="1"/>
  <c r="U473" i="3"/>
  <c r="AA473" i="3" s="1"/>
  <c r="U474" i="3"/>
  <c r="AA474" i="3" s="1"/>
  <c r="U475" i="3"/>
  <c r="AA475" i="3" s="1"/>
  <c r="U476" i="3"/>
  <c r="AA476" i="3" s="1"/>
  <c r="U477" i="3"/>
  <c r="AA477" i="3" s="1"/>
  <c r="U478" i="3"/>
  <c r="AA478" i="3" s="1"/>
  <c r="U479" i="3"/>
  <c r="AA479" i="3" s="1"/>
  <c r="U480" i="3"/>
  <c r="AA480" i="3" s="1"/>
  <c r="U481" i="3"/>
  <c r="AA481" i="3" s="1"/>
  <c r="AJ35" i="5" a="1"/>
  <c r="AJ35" i="5" s="1"/>
  <c r="AG35" i="5" a="1"/>
  <c r="AG35" i="5" s="1"/>
  <c r="AF35" i="5" a="1"/>
  <c r="AF35" i="5" s="1"/>
  <c r="AD35" i="5" a="1"/>
  <c r="AD35" i="5" s="1"/>
  <c r="AC35" i="5" a="1"/>
  <c r="AC35" i="5" s="1"/>
  <c r="AB35" i="5" a="1"/>
  <c r="AB35" i="5" s="1"/>
  <c r="AA35" i="5" a="1"/>
  <c r="AA35" i="5" s="1"/>
  <c r="Z35" i="5" a="1"/>
  <c r="Z35" i="5" s="1"/>
  <c r="Y35" i="5" a="1"/>
  <c r="Y35" i="5" s="1"/>
  <c r="X35" i="5" a="1"/>
  <c r="X35" i="5" s="1"/>
  <c r="W35" i="5" a="1"/>
  <c r="W35" i="5" s="1"/>
  <c r="V35" i="5" a="1"/>
  <c r="V35" i="5" s="1"/>
  <c r="T35" i="5" a="1"/>
  <c r="T35" i="5" s="1"/>
  <c r="S35" i="5" a="1"/>
  <c r="S35" i="5" s="1"/>
  <c r="R35" i="5" a="1"/>
  <c r="R35" i="5" s="1"/>
  <c r="Q35" i="5" a="1"/>
  <c r="Q35" i="5" s="1"/>
  <c r="P35" i="5" a="1"/>
  <c r="P35" i="5" s="1"/>
  <c r="O35" i="5" a="1"/>
  <c r="O35" i="5" s="1"/>
  <c r="L35" i="5" a="1"/>
  <c r="L35" i="5" s="1"/>
  <c r="K35" i="5" a="1"/>
  <c r="K35" i="5" s="1"/>
  <c r="J35" i="5" a="1"/>
  <c r="J35" i="5" s="1"/>
  <c r="I35" i="5" a="1"/>
  <c r="I35" i="5" s="1"/>
  <c r="H35" i="5" a="1"/>
  <c r="H35" i="5" s="1"/>
  <c r="G35" i="5" a="1"/>
  <c r="G35" i="5" s="1"/>
  <c r="F35" i="5" a="1"/>
  <c r="F35" i="5" s="1"/>
  <c r="E35" i="5" a="1"/>
  <c r="E35" i="5" s="1"/>
  <c r="D32" i="5"/>
  <c r="E32" i="5"/>
  <c r="F32" i="5"/>
  <c r="G32" i="5"/>
  <c r="H32" i="5"/>
  <c r="I32" i="5"/>
  <c r="J32" i="5"/>
  <c r="K32" i="5"/>
  <c r="L32" i="5"/>
  <c r="M32" i="5"/>
  <c r="N32" i="5"/>
  <c r="O32" i="5"/>
  <c r="P32" i="5"/>
  <c r="Q32" i="5"/>
  <c r="R32" i="5"/>
  <c r="S32" i="5"/>
  <c r="T32" i="5"/>
  <c r="U32" i="5"/>
  <c r="V32" i="5"/>
  <c r="W32" i="5"/>
  <c r="X32" i="5"/>
  <c r="Y32" i="5"/>
  <c r="Z32" i="5"/>
  <c r="AA32" i="5"/>
  <c r="AB32" i="5"/>
  <c r="AC32" i="5"/>
  <c r="AD32" i="5"/>
  <c r="AE32" i="5"/>
  <c r="AF32" i="5"/>
  <c r="AG32" i="5"/>
  <c r="AH32" i="5"/>
  <c r="AI32" i="5"/>
  <c r="AJ32" i="5"/>
  <c r="AK32" i="5"/>
  <c r="AL32" i="5"/>
  <c r="AM32" i="5"/>
  <c r="AN32" i="5"/>
  <c r="AO32" i="5"/>
  <c r="AP32" i="5"/>
  <c r="AQ32" i="5"/>
  <c r="AR32" i="5"/>
  <c r="AS32" i="5"/>
  <c r="AT32" i="5"/>
  <c r="AU32" i="5"/>
  <c r="AV32" i="5"/>
  <c r="AW32" i="5"/>
  <c r="AX32" i="5"/>
  <c r="AY32" i="5"/>
  <c r="AZ32" i="5"/>
  <c r="BA32" i="5"/>
  <c r="BB32" i="5"/>
  <c r="BC32" i="5"/>
  <c r="BD32" i="5"/>
  <c r="BE32" i="5"/>
  <c r="BF32" i="5"/>
  <c r="BG32" i="5"/>
  <c r="BH32" i="5"/>
  <c r="BI32" i="5"/>
  <c r="BJ32" i="5"/>
  <c r="BK32" i="5"/>
  <c r="BL32" i="5"/>
  <c r="BM32" i="5"/>
  <c r="BN32" i="5"/>
  <c r="BO32" i="5"/>
  <c r="BP32" i="5"/>
  <c r="BQ32" i="5"/>
  <c r="BR32" i="5"/>
  <c r="BS32" i="5"/>
  <c r="BT32" i="5"/>
  <c r="BU32" i="5"/>
  <c r="BV32" i="5"/>
  <c r="BW32" i="5"/>
  <c r="BX32" i="5"/>
  <c r="BY32" i="5"/>
  <c r="BZ32" i="5"/>
  <c r="CA32" i="5"/>
  <c r="CB32" i="5"/>
  <c r="CC32" i="5"/>
  <c r="CD32" i="5"/>
  <c r="D33" i="5"/>
  <c r="E33" i="5"/>
  <c r="F33" i="5"/>
  <c r="G33" i="5"/>
  <c r="H33" i="5"/>
  <c r="I33" i="5"/>
  <c r="J33" i="5"/>
  <c r="K33" i="5"/>
  <c r="L33" i="5"/>
  <c r="M33" i="5"/>
  <c r="N33" i="5"/>
  <c r="O33" i="5"/>
  <c r="P33" i="5"/>
  <c r="Q33" i="5"/>
  <c r="R33" i="5"/>
  <c r="S33" i="5"/>
  <c r="T33" i="5"/>
  <c r="U33" i="5"/>
  <c r="V33" i="5"/>
  <c r="W33" i="5"/>
  <c r="X33" i="5"/>
  <c r="Y33" i="5"/>
  <c r="Z33" i="5"/>
  <c r="AA33" i="5"/>
  <c r="AB33" i="5"/>
  <c r="AC33" i="5"/>
  <c r="AD33" i="5"/>
  <c r="AE33" i="5"/>
  <c r="AF33" i="5"/>
  <c r="AG33" i="5"/>
  <c r="AH33" i="5"/>
  <c r="AI33" i="5"/>
  <c r="AJ33" i="5"/>
  <c r="AK33" i="5"/>
  <c r="AL33" i="5"/>
  <c r="AM33" i="5"/>
  <c r="AN33" i="5"/>
  <c r="AO33" i="5"/>
  <c r="AP33" i="5"/>
  <c r="AQ33" i="5"/>
  <c r="AR33" i="5"/>
  <c r="AS33" i="5"/>
  <c r="AT33" i="5"/>
  <c r="AU33" i="5"/>
  <c r="AV33" i="5"/>
  <c r="AW33" i="5"/>
  <c r="AX33" i="5"/>
  <c r="AY33" i="5"/>
  <c r="AZ33" i="5"/>
  <c r="BA33" i="5"/>
  <c r="BB33" i="5"/>
  <c r="BC33" i="5"/>
  <c r="BD33" i="5"/>
  <c r="BE33" i="5"/>
  <c r="BF33" i="5"/>
  <c r="BG33" i="5"/>
  <c r="BH33" i="5"/>
  <c r="BI33" i="5"/>
  <c r="BJ33" i="5"/>
  <c r="BK33" i="5"/>
  <c r="BL33" i="5"/>
  <c r="BM33" i="5"/>
  <c r="BN33" i="5"/>
  <c r="BO33" i="5"/>
  <c r="BP33" i="5"/>
  <c r="BQ33" i="5"/>
  <c r="BR33" i="5"/>
  <c r="BS33" i="5"/>
  <c r="BT33" i="5"/>
  <c r="BU33" i="5"/>
  <c r="BV33" i="5"/>
  <c r="BW33" i="5"/>
  <c r="BX33" i="5"/>
  <c r="BY33" i="5"/>
  <c r="BZ33" i="5"/>
  <c r="CA33" i="5"/>
  <c r="CB33" i="5"/>
  <c r="CC33" i="5"/>
  <c r="CD33" i="5"/>
  <c r="D34" i="5"/>
  <c r="E34" i="5"/>
  <c r="F34" i="5"/>
  <c r="G34" i="5"/>
  <c r="H34" i="5"/>
  <c r="I34" i="5"/>
  <c r="J34" i="5"/>
  <c r="K34" i="5"/>
  <c r="L34" i="5"/>
  <c r="M34" i="5"/>
  <c r="N34" i="5"/>
  <c r="O34" i="5"/>
  <c r="P34" i="5"/>
  <c r="Q34" i="5"/>
  <c r="R34" i="5"/>
  <c r="S34" i="5"/>
  <c r="T34" i="5"/>
  <c r="U34" i="5"/>
  <c r="V34" i="5"/>
  <c r="W34" i="5"/>
  <c r="X34" i="5"/>
  <c r="Y34" i="5"/>
  <c r="Z34" i="5"/>
  <c r="AA34" i="5"/>
  <c r="AB34" i="5"/>
  <c r="AC34" i="5"/>
  <c r="AD34" i="5"/>
  <c r="AE34" i="5"/>
  <c r="AF34" i="5"/>
  <c r="AG34" i="5"/>
  <c r="AH34" i="5"/>
  <c r="AI34" i="5"/>
  <c r="AJ34" i="5"/>
  <c r="AK34" i="5"/>
  <c r="AL34" i="5"/>
  <c r="AM34" i="5"/>
  <c r="AN34" i="5"/>
  <c r="AO34" i="5"/>
  <c r="AP34" i="5"/>
  <c r="AQ34" i="5"/>
  <c r="AR34" i="5"/>
  <c r="AS34" i="5"/>
  <c r="AT34" i="5"/>
  <c r="AU34" i="5"/>
  <c r="AV34" i="5"/>
  <c r="AW34" i="5"/>
  <c r="AX34" i="5"/>
  <c r="AY34" i="5"/>
  <c r="AZ34" i="5"/>
  <c r="BA34" i="5"/>
  <c r="BB34" i="5"/>
  <c r="BC34" i="5"/>
  <c r="BD34" i="5"/>
  <c r="BE34" i="5"/>
  <c r="BF34" i="5"/>
  <c r="BG34" i="5"/>
  <c r="BH34" i="5"/>
  <c r="BI34" i="5"/>
  <c r="BJ34" i="5"/>
  <c r="BK34" i="5"/>
  <c r="BL34" i="5"/>
  <c r="BM34" i="5"/>
  <c r="BN34" i="5"/>
  <c r="BO34" i="5"/>
  <c r="BP34" i="5"/>
  <c r="BQ34" i="5"/>
  <c r="BR34" i="5"/>
  <c r="BS34" i="5"/>
  <c r="BT34" i="5"/>
  <c r="BU34" i="5"/>
  <c r="BV34" i="5"/>
  <c r="BW34" i="5"/>
  <c r="BX34" i="5"/>
  <c r="BY34" i="5"/>
  <c r="BZ34" i="5"/>
  <c r="CA34" i="5"/>
  <c r="CB34" i="5"/>
  <c r="CC34" i="5"/>
  <c r="CD34" i="5"/>
  <c r="C33" i="5"/>
  <c r="C34" i="5"/>
  <c r="C32" i="5"/>
  <c r="O523" i="3"/>
  <c r="O524" i="3"/>
  <c r="O525" i="3"/>
  <c r="O526" i="3"/>
  <c r="O527" i="3"/>
  <c r="O528" i="3"/>
  <c r="O529" i="3"/>
  <c r="O530" i="3"/>
  <c r="O531" i="3"/>
  <c r="O532" i="3"/>
  <c r="O533" i="3"/>
  <c r="O534" i="3"/>
  <c r="O535" i="3"/>
  <c r="O536" i="3"/>
  <c r="O537" i="3"/>
  <c r="O538" i="3"/>
  <c r="O539" i="3"/>
  <c r="O522" i="3"/>
  <c r="R468" i="3"/>
  <c r="R469" i="3"/>
  <c r="R470" i="3"/>
  <c r="R471" i="3"/>
  <c r="R472" i="3"/>
  <c r="R473" i="3"/>
  <c r="R475" i="3"/>
  <c r="R476" i="3"/>
  <c r="R477" i="3"/>
  <c r="R478" i="3"/>
  <c r="R479" i="3"/>
  <c r="R480" i="3"/>
  <c r="R481" i="3"/>
  <c r="R467" i="3"/>
  <c r="Q468" i="3"/>
  <c r="Q469" i="3"/>
  <c r="Q470" i="3"/>
  <c r="Q471" i="3"/>
  <c r="Q472" i="3"/>
  <c r="Q473" i="3"/>
  <c r="Q475" i="3"/>
  <c r="Q476" i="3"/>
  <c r="Q477" i="3"/>
  <c r="Q478" i="3"/>
  <c r="Q479" i="3"/>
  <c r="Q480" i="3"/>
  <c r="Q481" i="3"/>
  <c r="Q467" i="3"/>
  <c r="P437" i="3"/>
  <c r="P438" i="3"/>
  <c r="P439" i="3"/>
  <c r="P440" i="3"/>
  <c r="P441" i="3"/>
  <c r="P442" i="3"/>
  <c r="P443" i="3"/>
  <c r="S443" i="3" s="1"/>
  <c r="P444" i="3"/>
  <c r="P445" i="3"/>
  <c r="P446" i="3"/>
  <c r="P447" i="3"/>
  <c r="P448" i="3"/>
  <c r="P449" i="3"/>
  <c r="P450" i="3"/>
  <c r="P451" i="3"/>
  <c r="O437" i="3"/>
  <c r="O438" i="3"/>
  <c r="O439" i="3"/>
  <c r="O440" i="3"/>
  <c r="O441" i="3"/>
  <c r="O442" i="3"/>
  <c r="R442" i="3" s="1"/>
  <c r="O443" i="3"/>
  <c r="R443" i="3" s="1"/>
  <c r="O444" i="3"/>
  <c r="O445" i="3"/>
  <c r="O446" i="3"/>
  <c r="O447" i="3"/>
  <c r="O448" i="3"/>
  <c r="O449" i="3"/>
  <c r="O450" i="3"/>
  <c r="O451" i="3"/>
  <c r="N437" i="3"/>
  <c r="N438" i="3"/>
  <c r="N439" i="3"/>
  <c r="N440" i="3"/>
  <c r="N441" i="3"/>
  <c r="N442" i="3"/>
  <c r="N443" i="3"/>
  <c r="N444" i="3"/>
  <c r="N445" i="3"/>
  <c r="N446" i="3"/>
  <c r="N447" i="3"/>
  <c r="N448" i="3"/>
  <c r="N449" i="3"/>
  <c r="N450" i="3"/>
  <c r="N451" i="3"/>
  <c r="M428" i="3"/>
  <c r="M429" i="3"/>
  <c r="M430" i="3"/>
  <c r="M431" i="3"/>
  <c r="M432" i="3"/>
  <c r="M433" i="3"/>
  <c r="M434" i="3"/>
  <c r="M435" i="3"/>
  <c r="M436" i="3"/>
  <c r="M437" i="3"/>
  <c r="M438" i="3"/>
  <c r="Q438" i="3" s="1"/>
  <c r="M439" i="3"/>
  <c r="S440" i="3"/>
  <c r="M441" i="3"/>
  <c r="M442" i="3"/>
  <c r="M444" i="3"/>
  <c r="S444" i="3" s="1"/>
  <c r="M445" i="3"/>
  <c r="R445" i="3" s="1"/>
  <c r="M446" i="3"/>
  <c r="M447" i="3"/>
  <c r="M448" i="3"/>
  <c r="R448" i="3" s="1"/>
  <c r="M449" i="3"/>
  <c r="M450" i="3"/>
  <c r="M451" i="3"/>
  <c r="F297" i="3"/>
  <c r="F298" i="3"/>
  <c r="F299" i="3"/>
  <c r="F300" i="3"/>
  <c r="F301" i="3"/>
  <c r="V471" i="3" s="1"/>
  <c r="AB471" i="3" s="1"/>
  <c r="F302" i="3"/>
  <c r="V472" i="3" s="1"/>
  <c r="AB472" i="3" s="1"/>
  <c r="F303" i="3"/>
  <c r="V473" i="3" s="1"/>
  <c r="AB473" i="3" s="1"/>
  <c r="F304" i="3"/>
  <c r="V474" i="3" s="1"/>
  <c r="AB474" i="3" s="1"/>
  <c r="F305" i="3"/>
  <c r="V475" i="3" s="1"/>
  <c r="AB475" i="3" s="1"/>
  <c r="F306" i="3"/>
  <c r="V476" i="3" s="1"/>
  <c r="AB476" i="3" s="1"/>
  <c r="F307" i="3"/>
  <c r="V477" i="3" s="1"/>
  <c r="AB477" i="3" s="1"/>
  <c r="F308" i="3"/>
  <c r="V478" i="3" s="1"/>
  <c r="AB478" i="3" s="1"/>
  <c r="F309" i="3"/>
  <c r="V479" i="3" s="1"/>
  <c r="AB479" i="3" s="1"/>
  <c r="F310" i="3"/>
  <c r="V480" i="3" s="1"/>
  <c r="AB480" i="3" s="1"/>
  <c r="F311" i="3"/>
  <c r="V481" i="3" s="1"/>
  <c r="AB481" i="3" s="1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D494" i="3"/>
  <c r="I494" i="3" s="1"/>
  <c r="D495" i="3"/>
  <c r="I495" i="3" s="1"/>
  <c r="D498" i="3"/>
  <c r="I498" i="3" s="1"/>
  <c r="M288" i="3"/>
  <c r="P428" i="3" s="1"/>
  <c r="M289" i="3"/>
  <c r="O429" i="3" s="1"/>
  <c r="M290" i="3"/>
  <c r="O430" i="3" s="1"/>
  <c r="M291" i="3"/>
  <c r="P431" i="3" s="1"/>
  <c r="M292" i="3"/>
  <c r="P432" i="3" s="1"/>
  <c r="M293" i="3"/>
  <c r="P433" i="3" s="1"/>
  <c r="S433" i="3" s="1"/>
  <c r="M294" i="3"/>
  <c r="P434" i="3" s="1"/>
  <c r="M295" i="3"/>
  <c r="P435" i="3" s="1"/>
  <c r="M296" i="3"/>
  <c r="P436" i="3" s="1"/>
  <c r="K288" i="3"/>
  <c r="K289" i="3"/>
  <c r="K290" i="3"/>
  <c r="K291" i="3"/>
  <c r="F291" i="3" s="1"/>
  <c r="K292" i="3"/>
  <c r="F292" i="3" s="1"/>
  <c r="K293" i="3"/>
  <c r="K294" i="3"/>
  <c r="K295" i="3"/>
  <c r="F295" i="3" s="1"/>
  <c r="K296" i="3"/>
  <c r="L283" i="3"/>
  <c r="D517" i="3" s="1"/>
  <c r="I517" i="3" s="1"/>
  <c r="L282" i="3"/>
  <c r="D516" i="3" s="1"/>
  <c r="I516" i="3" s="1"/>
  <c r="L281" i="3"/>
  <c r="D515" i="3" s="1"/>
  <c r="I515" i="3" s="1"/>
  <c r="L280" i="3"/>
  <c r="D514" i="3" s="1"/>
  <c r="I514" i="3" s="1"/>
  <c r="L279" i="3"/>
  <c r="D513" i="3" s="1"/>
  <c r="I513" i="3" s="1"/>
  <c r="L278" i="3"/>
  <c r="D512" i="3" s="1"/>
  <c r="I512" i="3" s="1"/>
  <c r="L277" i="3"/>
  <c r="D511" i="3" s="1"/>
  <c r="I511" i="3" s="1"/>
  <c r="L276" i="3"/>
  <c r="D510" i="3" s="1"/>
  <c r="I510" i="3" s="1"/>
  <c r="L275" i="3"/>
  <c r="D509" i="3" s="1"/>
  <c r="I509" i="3" s="1"/>
  <c r="L274" i="3"/>
  <c r="D508" i="3" s="1"/>
  <c r="I508" i="3" s="1"/>
  <c r="L273" i="3"/>
  <c r="D507" i="3" s="1"/>
  <c r="I507" i="3" s="1"/>
  <c r="L272" i="3"/>
  <c r="D506" i="3" s="1"/>
  <c r="I506" i="3" s="1"/>
  <c r="L271" i="3"/>
  <c r="D505" i="3" s="1"/>
  <c r="I505" i="3" s="1"/>
  <c r="L270" i="3"/>
  <c r="D504" i="3" s="1"/>
  <c r="I504" i="3" s="1"/>
  <c r="L269" i="3"/>
  <c r="D503" i="3" s="1"/>
  <c r="I503" i="3" s="1"/>
  <c r="J260" i="3"/>
  <c r="J288" i="3" s="1"/>
  <c r="F288" i="3" s="1"/>
  <c r="K260" i="3"/>
  <c r="E288" i="3" s="1"/>
  <c r="L260" i="3"/>
  <c r="J261" i="3"/>
  <c r="J289" i="3" s="1"/>
  <c r="K261" i="3"/>
  <c r="E289" i="3" s="1"/>
  <c r="L261" i="3"/>
  <c r="J262" i="3"/>
  <c r="J290" i="3" s="1"/>
  <c r="K262" i="3"/>
  <c r="E290" i="3" s="1"/>
  <c r="L262" i="3"/>
  <c r="D496" i="3" s="1"/>
  <c r="I496" i="3" s="1"/>
  <c r="J263" i="3"/>
  <c r="J291" i="3" s="1"/>
  <c r="K263" i="3"/>
  <c r="E291" i="3" s="1"/>
  <c r="L263" i="3"/>
  <c r="D497" i="3" s="1"/>
  <c r="I497" i="3" s="1"/>
  <c r="J264" i="3"/>
  <c r="J292" i="3" s="1"/>
  <c r="K264" i="3"/>
  <c r="E292" i="3" s="1"/>
  <c r="L264" i="3"/>
  <c r="J265" i="3"/>
  <c r="J293" i="3" s="1"/>
  <c r="K265" i="3"/>
  <c r="E293" i="3" s="1"/>
  <c r="L265" i="3"/>
  <c r="D499" i="3" s="1"/>
  <c r="I499" i="3" s="1"/>
  <c r="J266" i="3"/>
  <c r="J294" i="3" s="1"/>
  <c r="F294" i="3" s="1"/>
  <c r="K266" i="3"/>
  <c r="E294" i="3" s="1"/>
  <c r="L266" i="3"/>
  <c r="D500" i="3" s="1"/>
  <c r="I500" i="3" s="1"/>
  <c r="J267" i="3"/>
  <c r="J295" i="3" s="1"/>
  <c r="K267" i="3"/>
  <c r="E295" i="3" s="1"/>
  <c r="L267" i="3"/>
  <c r="D501" i="3" s="1"/>
  <c r="I501" i="3" s="1"/>
  <c r="J268" i="3"/>
  <c r="J296" i="3" s="1"/>
  <c r="K268" i="3"/>
  <c r="E296" i="3" s="1"/>
  <c r="L268" i="3"/>
  <c r="D502" i="3" s="1"/>
  <c r="I502" i="3" s="1"/>
  <c r="I261" i="3"/>
  <c r="C289" i="3" s="1"/>
  <c r="I262" i="3"/>
  <c r="C290" i="3" s="1"/>
  <c r="I263" i="3"/>
  <c r="C291" i="3" s="1"/>
  <c r="I264" i="3"/>
  <c r="C292" i="3" s="1"/>
  <c r="I265" i="3"/>
  <c r="C293" i="3" s="1"/>
  <c r="I266" i="3"/>
  <c r="C294" i="3" s="1"/>
  <c r="I267" i="3"/>
  <c r="C295" i="3" s="1"/>
  <c r="I268" i="3"/>
  <c r="C296" i="3" s="1"/>
  <c r="I260" i="3"/>
  <c r="C288" i="3" s="1"/>
  <c r="H494" i="3"/>
  <c r="W90" i="3" s="1"/>
  <c r="H495" i="3"/>
  <c r="W91" i="3" s="1"/>
  <c r="H496" i="3"/>
  <c r="W92" i="3" s="1"/>
  <c r="H497" i="3"/>
  <c r="W93" i="3" s="1"/>
  <c r="H498" i="3"/>
  <c r="W94" i="3" s="1"/>
  <c r="H499" i="3"/>
  <c r="W95" i="3" s="1"/>
  <c r="H500" i="3"/>
  <c r="W96" i="3" s="1"/>
  <c r="H501" i="3"/>
  <c r="W97" i="3" s="1"/>
  <c r="H502" i="3"/>
  <c r="W98" i="3" s="1"/>
  <c r="H503" i="3"/>
  <c r="W99" i="3" s="1"/>
  <c r="H504" i="3"/>
  <c r="W100" i="3" s="1"/>
  <c r="H505" i="3"/>
  <c r="W101" i="3" s="1"/>
  <c r="H506" i="3"/>
  <c r="W102" i="3" s="1"/>
  <c r="H507" i="3"/>
  <c r="W103" i="3" s="1"/>
  <c r="H508" i="3"/>
  <c r="W104" i="3" s="1"/>
  <c r="H509" i="3"/>
  <c r="W105" i="3" s="1"/>
  <c r="H510" i="3"/>
  <c r="W106" i="3" s="1"/>
  <c r="H511" i="3"/>
  <c r="W107" i="3" s="1"/>
  <c r="H512" i="3"/>
  <c r="W108" i="3" s="1"/>
  <c r="H513" i="3"/>
  <c r="W109" i="3" s="1"/>
  <c r="H514" i="3"/>
  <c r="W110" i="3" s="1"/>
  <c r="H515" i="3"/>
  <c r="W111" i="3" s="1"/>
  <c r="H516" i="3"/>
  <c r="W112" i="3" s="1"/>
  <c r="H517" i="3"/>
  <c r="W113" i="3" s="1"/>
  <c r="G494" i="3"/>
  <c r="U118" i="3" s="1"/>
  <c r="G495" i="3"/>
  <c r="U119" i="3" s="1"/>
  <c r="G496" i="3"/>
  <c r="U120" i="3" s="1"/>
  <c r="G497" i="3"/>
  <c r="U121" i="3" s="1"/>
  <c r="G498" i="3"/>
  <c r="U122" i="3" s="1"/>
  <c r="G499" i="3"/>
  <c r="U123" i="3" s="1"/>
  <c r="G500" i="3"/>
  <c r="U124" i="3" s="1"/>
  <c r="G501" i="3"/>
  <c r="U125" i="3" s="1"/>
  <c r="G502" i="3"/>
  <c r="U126" i="3" s="1"/>
  <c r="G503" i="3"/>
  <c r="U127" i="3" s="1"/>
  <c r="G504" i="3"/>
  <c r="U128" i="3" s="1"/>
  <c r="G505" i="3"/>
  <c r="U129" i="3" s="1"/>
  <c r="G506" i="3"/>
  <c r="U130" i="3" s="1"/>
  <c r="G507" i="3"/>
  <c r="U131" i="3" s="1"/>
  <c r="G508" i="3"/>
  <c r="U132" i="3" s="1"/>
  <c r="G509" i="3"/>
  <c r="U133" i="3" s="1"/>
  <c r="G510" i="3"/>
  <c r="U134" i="3" s="1"/>
  <c r="G511" i="3"/>
  <c r="U135" i="3" s="1"/>
  <c r="G512" i="3"/>
  <c r="U136" i="3" s="1"/>
  <c r="G513" i="3"/>
  <c r="U137" i="3" s="1"/>
  <c r="G514" i="3"/>
  <c r="U138" i="3" s="1"/>
  <c r="G515" i="3"/>
  <c r="U139" i="3" s="1"/>
  <c r="G516" i="3"/>
  <c r="U140" i="3" s="1"/>
  <c r="G517" i="3"/>
  <c r="U141" i="3" s="1"/>
  <c r="F494" i="3"/>
  <c r="AF458" i="3" s="1"/>
  <c r="AG458" i="3" s="1"/>
  <c r="F495" i="3"/>
  <c r="AF459" i="3" s="1"/>
  <c r="AG459" i="3" s="1"/>
  <c r="F496" i="3"/>
  <c r="AF460" i="3" s="1"/>
  <c r="AG460" i="3" s="1"/>
  <c r="F497" i="3"/>
  <c r="AF461" i="3" s="1"/>
  <c r="AG461" i="3" s="1"/>
  <c r="F498" i="3"/>
  <c r="AF462" i="3" s="1"/>
  <c r="AG462" i="3" s="1"/>
  <c r="F499" i="3"/>
  <c r="AF463" i="3" s="1"/>
  <c r="AG463" i="3" s="1"/>
  <c r="F500" i="3"/>
  <c r="AF464" i="3" s="1"/>
  <c r="AG464" i="3" s="1"/>
  <c r="F501" i="3"/>
  <c r="AF465" i="3" s="1"/>
  <c r="AG465" i="3" s="1"/>
  <c r="F502" i="3"/>
  <c r="AF466" i="3" s="1"/>
  <c r="AG466" i="3" s="1"/>
  <c r="F503" i="3"/>
  <c r="AF467" i="3" s="1"/>
  <c r="AG467" i="3" s="1"/>
  <c r="F504" i="3"/>
  <c r="AF468" i="3" s="1"/>
  <c r="AG468" i="3" s="1"/>
  <c r="F505" i="3"/>
  <c r="AF469" i="3" s="1"/>
  <c r="AG469" i="3" s="1"/>
  <c r="F506" i="3"/>
  <c r="AF470" i="3" s="1"/>
  <c r="AG470" i="3" s="1"/>
  <c r="F507" i="3"/>
  <c r="AF471" i="3" s="1"/>
  <c r="F508" i="3"/>
  <c r="AF472" i="3" s="1"/>
  <c r="F509" i="3"/>
  <c r="AF473" i="3" s="1"/>
  <c r="F510" i="3"/>
  <c r="F511" i="3"/>
  <c r="F512" i="3"/>
  <c r="AF476" i="3" s="1"/>
  <c r="F513" i="3"/>
  <c r="AF477" i="3" s="1"/>
  <c r="F514" i="3"/>
  <c r="AF478" i="3" s="1"/>
  <c r="F515" i="3"/>
  <c r="AF479" i="3" s="1"/>
  <c r="F516" i="3"/>
  <c r="F517" i="3"/>
  <c r="E494" i="3"/>
  <c r="Y372" i="3" s="1"/>
  <c r="E495" i="3"/>
  <c r="Y373" i="3" s="1"/>
  <c r="E496" i="3"/>
  <c r="Y374" i="3" s="1"/>
  <c r="E497" i="3"/>
  <c r="Y375" i="3" s="1"/>
  <c r="E498" i="3"/>
  <c r="Y376" i="3" s="1"/>
  <c r="E499" i="3"/>
  <c r="Y377" i="3" s="1"/>
  <c r="E500" i="3"/>
  <c r="Y378" i="3" s="1"/>
  <c r="E501" i="3"/>
  <c r="Y379" i="3" s="1"/>
  <c r="E502" i="3"/>
  <c r="Y380" i="3" s="1"/>
  <c r="E503" i="3"/>
  <c r="Y381" i="3" s="1"/>
  <c r="E504" i="3"/>
  <c r="Y382" i="3" s="1"/>
  <c r="E505" i="3"/>
  <c r="Y383" i="3" s="1"/>
  <c r="E506" i="3"/>
  <c r="Y384" i="3" s="1"/>
  <c r="E507" i="3"/>
  <c r="Y385" i="3" s="1"/>
  <c r="E508" i="3"/>
  <c r="Y386" i="3" s="1"/>
  <c r="E509" i="3"/>
  <c r="Y387" i="3" s="1"/>
  <c r="E510" i="3"/>
  <c r="Y388" i="3" s="1"/>
  <c r="E511" i="3"/>
  <c r="Y389" i="3" s="1"/>
  <c r="E512" i="3"/>
  <c r="Y390" i="3" s="1"/>
  <c r="E513" i="3"/>
  <c r="Y391" i="3" s="1"/>
  <c r="E514" i="3"/>
  <c r="Y392" i="3" s="1"/>
  <c r="E515" i="3"/>
  <c r="Y393" i="3" s="1"/>
  <c r="E516" i="3"/>
  <c r="Y394" i="3" s="1"/>
  <c r="E517" i="3"/>
  <c r="Y395" i="3" s="1"/>
  <c r="AR6" i="5" a="1"/>
  <c r="AR6" i="5" s="1"/>
  <c r="T202" i="3"/>
  <c r="T203" i="3"/>
  <c r="T204" i="3"/>
  <c r="T205" i="3"/>
  <c r="T206" i="3"/>
  <c r="T207" i="3"/>
  <c r="T208" i="3"/>
  <c r="T209" i="3"/>
  <c r="T210" i="3"/>
  <c r="T211" i="3"/>
  <c r="T212" i="3"/>
  <c r="T213" i="3"/>
  <c r="T214" i="3"/>
  <c r="T215" i="3"/>
  <c r="T216" i="3"/>
  <c r="T217" i="3"/>
  <c r="T218" i="3"/>
  <c r="T219" i="3"/>
  <c r="T220" i="3"/>
  <c r="T221" i="3"/>
  <c r="T222" i="3"/>
  <c r="T223" i="3"/>
  <c r="T224" i="3"/>
  <c r="T225" i="3"/>
  <c r="U202" i="3"/>
  <c r="U203" i="3"/>
  <c r="U204" i="3"/>
  <c r="U205" i="3"/>
  <c r="U206" i="3"/>
  <c r="U207" i="3"/>
  <c r="U208" i="3"/>
  <c r="U209" i="3"/>
  <c r="U210" i="3"/>
  <c r="U211" i="3"/>
  <c r="U212" i="3"/>
  <c r="U213" i="3"/>
  <c r="U214" i="3"/>
  <c r="U215" i="3"/>
  <c r="U216" i="3"/>
  <c r="U217" i="3"/>
  <c r="U218" i="3"/>
  <c r="U219" i="3"/>
  <c r="U220" i="3"/>
  <c r="U221" i="3"/>
  <c r="U222" i="3"/>
  <c r="U223" i="3"/>
  <c r="U224" i="3"/>
  <c r="U225" i="3"/>
  <c r="S202" i="3"/>
  <c r="S203" i="3"/>
  <c r="S204" i="3"/>
  <c r="S205" i="3"/>
  <c r="S206" i="3"/>
  <c r="S207" i="3"/>
  <c r="S208" i="3"/>
  <c r="S209" i="3"/>
  <c r="S210" i="3"/>
  <c r="S211" i="3"/>
  <c r="S212" i="3"/>
  <c r="S213" i="3"/>
  <c r="S214" i="3"/>
  <c r="S215" i="3"/>
  <c r="S216" i="3"/>
  <c r="S217" i="3"/>
  <c r="S218" i="3"/>
  <c r="S219" i="3"/>
  <c r="S220" i="3"/>
  <c r="S221" i="3"/>
  <c r="S222" i="3"/>
  <c r="S223" i="3"/>
  <c r="S224" i="3"/>
  <c r="S225" i="3"/>
  <c r="Q202" i="3"/>
  <c r="Q203" i="3"/>
  <c r="Q204" i="3"/>
  <c r="Q205" i="3"/>
  <c r="Q206" i="3"/>
  <c r="Q207" i="3"/>
  <c r="Q208" i="3"/>
  <c r="Q209" i="3"/>
  <c r="Q210" i="3"/>
  <c r="Q211" i="3"/>
  <c r="Q212" i="3"/>
  <c r="Q213" i="3"/>
  <c r="Q214" i="3"/>
  <c r="Q215" i="3"/>
  <c r="Q216" i="3"/>
  <c r="Q217" i="3"/>
  <c r="Q218" i="3"/>
  <c r="Q219" i="3"/>
  <c r="Q220" i="3"/>
  <c r="Q221" i="3"/>
  <c r="Q222" i="3"/>
  <c r="Q223" i="3"/>
  <c r="Q224" i="3"/>
  <c r="Q225" i="3"/>
  <c r="A4" i="5"/>
  <c r="A3" i="5"/>
  <c r="A8" i="5" s="1"/>
  <c r="CK8" i="5" s="1"/>
  <c r="A2" i="5"/>
  <c r="CH2" i="5"/>
  <c r="CI2" i="5"/>
  <c r="CJ2" i="5"/>
  <c r="CF7" i="5"/>
  <c r="CF8" i="5"/>
  <c r="CF9" i="5"/>
  <c r="CF10" i="5"/>
  <c r="CF11" i="5"/>
  <c r="CF12" i="5"/>
  <c r="CF13" i="5"/>
  <c r="CF14" i="5"/>
  <c r="CF15" i="5"/>
  <c r="CF16" i="5"/>
  <c r="CF17" i="5"/>
  <c r="CF18" i="5"/>
  <c r="CF19" i="5"/>
  <c r="CF20" i="5"/>
  <c r="CF21" i="5"/>
  <c r="CF22" i="5"/>
  <c r="CF23" i="5"/>
  <c r="CF24" i="5"/>
  <c r="CF25" i="5"/>
  <c r="CF26" i="5"/>
  <c r="CF27" i="5"/>
  <c r="CF28" i="5"/>
  <c r="CF29" i="5"/>
  <c r="CF6" i="5"/>
  <c r="K458" i="3"/>
  <c r="K459" i="3"/>
  <c r="K460" i="3"/>
  <c r="K461" i="3"/>
  <c r="K462" i="3"/>
  <c r="K463" i="3"/>
  <c r="K464" i="3"/>
  <c r="K465" i="3"/>
  <c r="K466" i="3"/>
  <c r="K467" i="3"/>
  <c r="K468" i="3"/>
  <c r="K469" i="3"/>
  <c r="K470" i="3"/>
  <c r="K471" i="3"/>
  <c r="K472" i="3"/>
  <c r="K473" i="3"/>
  <c r="K474" i="3"/>
  <c r="K475" i="3"/>
  <c r="K476" i="3"/>
  <c r="K477" i="3"/>
  <c r="K478" i="3"/>
  <c r="K479" i="3"/>
  <c r="K480" i="3"/>
  <c r="K481" i="3"/>
  <c r="B401" i="3"/>
  <c r="B402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418" i="3"/>
  <c r="B419" i="3"/>
  <c r="B420" i="3"/>
  <c r="B421" i="3"/>
  <c r="B422" i="3"/>
  <c r="B423" i="3"/>
  <c r="B400" i="3"/>
  <c r="B63" i="3"/>
  <c r="C63" i="3"/>
  <c r="D63" i="3"/>
  <c r="E63" i="3"/>
  <c r="F63" i="3"/>
  <c r="G63" i="3"/>
  <c r="H63" i="3"/>
  <c r="I63" i="3"/>
  <c r="J63" i="3"/>
  <c r="K63" i="3"/>
  <c r="L63" i="3"/>
  <c r="M63" i="3"/>
  <c r="N63" i="3"/>
  <c r="O63" i="3"/>
  <c r="P63" i="3"/>
  <c r="B64" i="3"/>
  <c r="C64" i="3"/>
  <c r="D64" i="3"/>
  <c r="E64" i="3"/>
  <c r="F64" i="3"/>
  <c r="G64" i="3"/>
  <c r="H64" i="3"/>
  <c r="I64" i="3"/>
  <c r="J64" i="3"/>
  <c r="K64" i="3"/>
  <c r="L64" i="3"/>
  <c r="M64" i="3"/>
  <c r="N64" i="3"/>
  <c r="O64" i="3"/>
  <c r="P64" i="3"/>
  <c r="B65" i="3"/>
  <c r="C65" i="3"/>
  <c r="D65" i="3"/>
  <c r="E65" i="3"/>
  <c r="F65" i="3"/>
  <c r="G65" i="3"/>
  <c r="H65" i="3"/>
  <c r="I65" i="3"/>
  <c r="J65" i="3"/>
  <c r="K65" i="3"/>
  <c r="L65" i="3"/>
  <c r="M65" i="3"/>
  <c r="N65" i="3"/>
  <c r="O65" i="3"/>
  <c r="P65" i="3"/>
  <c r="B66" i="3"/>
  <c r="C66" i="3"/>
  <c r="D66" i="3"/>
  <c r="E66" i="3"/>
  <c r="F66" i="3"/>
  <c r="G66" i="3"/>
  <c r="H66" i="3"/>
  <c r="I66" i="3"/>
  <c r="J66" i="3"/>
  <c r="K66" i="3"/>
  <c r="L66" i="3"/>
  <c r="M66" i="3"/>
  <c r="N66" i="3"/>
  <c r="O66" i="3"/>
  <c r="P66" i="3"/>
  <c r="B67" i="3"/>
  <c r="C67" i="3"/>
  <c r="D67" i="3"/>
  <c r="E67" i="3"/>
  <c r="F67" i="3"/>
  <c r="G67" i="3"/>
  <c r="H67" i="3"/>
  <c r="I67" i="3"/>
  <c r="J67" i="3"/>
  <c r="K67" i="3"/>
  <c r="L67" i="3"/>
  <c r="M67" i="3"/>
  <c r="N67" i="3"/>
  <c r="O67" i="3"/>
  <c r="P67" i="3"/>
  <c r="B68" i="3"/>
  <c r="C68" i="3"/>
  <c r="D68" i="3"/>
  <c r="E68" i="3"/>
  <c r="F68" i="3"/>
  <c r="G68" i="3"/>
  <c r="H68" i="3"/>
  <c r="I68" i="3"/>
  <c r="J68" i="3"/>
  <c r="K68" i="3"/>
  <c r="L68" i="3"/>
  <c r="M68" i="3"/>
  <c r="N68" i="3"/>
  <c r="O68" i="3"/>
  <c r="P68" i="3"/>
  <c r="B69" i="3"/>
  <c r="C69" i="3"/>
  <c r="D69" i="3"/>
  <c r="E69" i="3"/>
  <c r="F69" i="3"/>
  <c r="G69" i="3"/>
  <c r="H69" i="3"/>
  <c r="I69" i="3"/>
  <c r="J69" i="3"/>
  <c r="K69" i="3"/>
  <c r="L69" i="3"/>
  <c r="M69" i="3"/>
  <c r="N69" i="3"/>
  <c r="O69" i="3"/>
  <c r="P69" i="3"/>
  <c r="B70" i="3"/>
  <c r="C70" i="3"/>
  <c r="D70" i="3"/>
  <c r="E70" i="3"/>
  <c r="F70" i="3"/>
  <c r="G70" i="3"/>
  <c r="H70" i="3"/>
  <c r="I70" i="3"/>
  <c r="J70" i="3"/>
  <c r="K70" i="3"/>
  <c r="L70" i="3"/>
  <c r="M70" i="3"/>
  <c r="N70" i="3"/>
  <c r="O70" i="3"/>
  <c r="P70" i="3"/>
  <c r="B71" i="3"/>
  <c r="C71" i="3"/>
  <c r="D71" i="3"/>
  <c r="E71" i="3"/>
  <c r="F71" i="3"/>
  <c r="G71" i="3"/>
  <c r="H71" i="3"/>
  <c r="I71" i="3"/>
  <c r="J71" i="3"/>
  <c r="K71" i="3"/>
  <c r="L71" i="3"/>
  <c r="M71" i="3"/>
  <c r="N71" i="3"/>
  <c r="O71" i="3"/>
  <c r="P71" i="3"/>
  <c r="B72" i="3"/>
  <c r="C72" i="3"/>
  <c r="D72" i="3"/>
  <c r="E72" i="3"/>
  <c r="F72" i="3"/>
  <c r="G72" i="3"/>
  <c r="H72" i="3"/>
  <c r="I72" i="3"/>
  <c r="J72" i="3"/>
  <c r="K72" i="3"/>
  <c r="L72" i="3"/>
  <c r="M72" i="3"/>
  <c r="N72" i="3"/>
  <c r="O72" i="3"/>
  <c r="P72" i="3"/>
  <c r="B73" i="3"/>
  <c r="C73" i="3"/>
  <c r="D73" i="3"/>
  <c r="E73" i="3"/>
  <c r="F73" i="3"/>
  <c r="G73" i="3"/>
  <c r="H73" i="3"/>
  <c r="I73" i="3"/>
  <c r="J73" i="3"/>
  <c r="K73" i="3"/>
  <c r="L73" i="3"/>
  <c r="M73" i="3"/>
  <c r="N73" i="3"/>
  <c r="O73" i="3"/>
  <c r="P73" i="3"/>
  <c r="B74" i="3"/>
  <c r="C74" i="3"/>
  <c r="D74" i="3"/>
  <c r="E74" i="3"/>
  <c r="F74" i="3"/>
  <c r="G74" i="3"/>
  <c r="H74" i="3"/>
  <c r="I74" i="3"/>
  <c r="J74" i="3"/>
  <c r="K74" i="3"/>
  <c r="L74" i="3"/>
  <c r="M74" i="3"/>
  <c r="N74" i="3"/>
  <c r="O74" i="3"/>
  <c r="P74" i="3"/>
  <c r="B75" i="3"/>
  <c r="C75" i="3"/>
  <c r="D75" i="3"/>
  <c r="E75" i="3"/>
  <c r="F75" i="3"/>
  <c r="G75" i="3"/>
  <c r="H75" i="3"/>
  <c r="I75" i="3"/>
  <c r="J75" i="3"/>
  <c r="K75" i="3"/>
  <c r="L75" i="3"/>
  <c r="M75" i="3"/>
  <c r="N75" i="3"/>
  <c r="O75" i="3"/>
  <c r="P75" i="3"/>
  <c r="B76" i="3"/>
  <c r="C76" i="3"/>
  <c r="D76" i="3"/>
  <c r="E76" i="3"/>
  <c r="F76" i="3"/>
  <c r="G76" i="3"/>
  <c r="H76" i="3"/>
  <c r="I76" i="3"/>
  <c r="J76" i="3"/>
  <c r="K76" i="3"/>
  <c r="L76" i="3"/>
  <c r="M76" i="3"/>
  <c r="N76" i="3"/>
  <c r="O76" i="3"/>
  <c r="P76" i="3"/>
  <c r="B77" i="3"/>
  <c r="C77" i="3"/>
  <c r="D77" i="3"/>
  <c r="E77" i="3"/>
  <c r="F77" i="3"/>
  <c r="G77" i="3"/>
  <c r="H77" i="3"/>
  <c r="I77" i="3"/>
  <c r="J77" i="3"/>
  <c r="K77" i="3"/>
  <c r="L77" i="3"/>
  <c r="M77" i="3"/>
  <c r="N77" i="3"/>
  <c r="O77" i="3"/>
  <c r="P77" i="3"/>
  <c r="B78" i="3"/>
  <c r="C78" i="3"/>
  <c r="D78" i="3"/>
  <c r="E78" i="3"/>
  <c r="F78" i="3"/>
  <c r="G78" i="3"/>
  <c r="H78" i="3"/>
  <c r="I78" i="3"/>
  <c r="J78" i="3"/>
  <c r="K78" i="3"/>
  <c r="L78" i="3"/>
  <c r="M78" i="3"/>
  <c r="N78" i="3"/>
  <c r="O78" i="3"/>
  <c r="P78" i="3"/>
  <c r="B79" i="3"/>
  <c r="C79" i="3"/>
  <c r="D79" i="3"/>
  <c r="E79" i="3"/>
  <c r="F79" i="3"/>
  <c r="G79" i="3"/>
  <c r="H79" i="3"/>
  <c r="I79" i="3"/>
  <c r="J79" i="3"/>
  <c r="K79" i="3"/>
  <c r="L79" i="3"/>
  <c r="M79" i="3"/>
  <c r="N79" i="3"/>
  <c r="O79" i="3"/>
  <c r="P79" i="3"/>
  <c r="B80" i="3"/>
  <c r="C80" i="3"/>
  <c r="D80" i="3"/>
  <c r="E80" i="3"/>
  <c r="F80" i="3"/>
  <c r="G80" i="3"/>
  <c r="H80" i="3"/>
  <c r="I80" i="3"/>
  <c r="J80" i="3"/>
  <c r="K80" i="3"/>
  <c r="L80" i="3"/>
  <c r="M80" i="3"/>
  <c r="N80" i="3"/>
  <c r="O80" i="3"/>
  <c r="P80" i="3"/>
  <c r="B81" i="3"/>
  <c r="C81" i="3"/>
  <c r="D81" i="3"/>
  <c r="E81" i="3"/>
  <c r="F81" i="3"/>
  <c r="G81" i="3"/>
  <c r="H81" i="3"/>
  <c r="I81" i="3"/>
  <c r="J81" i="3"/>
  <c r="K81" i="3"/>
  <c r="L81" i="3"/>
  <c r="M81" i="3"/>
  <c r="N81" i="3"/>
  <c r="O81" i="3"/>
  <c r="P81" i="3"/>
  <c r="B82" i="3"/>
  <c r="C82" i="3"/>
  <c r="D82" i="3"/>
  <c r="E82" i="3"/>
  <c r="F82" i="3"/>
  <c r="G82" i="3"/>
  <c r="H82" i="3"/>
  <c r="I82" i="3"/>
  <c r="J82" i="3"/>
  <c r="K82" i="3"/>
  <c r="L82" i="3"/>
  <c r="M82" i="3"/>
  <c r="N82" i="3"/>
  <c r="O82" i="3"/>
  <c r="P82" i="3"/>
  <c r="B83" i="3"/>
  <c r="C83" i="3"/>
  <c r="D83" i="3"/>
  <c r="E83" i="3"/>
  <c r="F83" i="3"/>
  <c r="G83" i="3"/>
  <c r="H83" i="3"/>
  <c r="I83" i="3"/>
  <c r="J83" i="3"/>
  <c r="K83" i="3"/>
  <c r="L83" i="3"/>
  <c r="M83" i="3"/>
  <c r="N83" i="3"/>
  <c r="O83" i="3"/>
  <c r="P83" i="3"/>
  <c r="B84" i="3"/>
  <c r="C84" i="3"/>
  <c r="D84" i="3"/>
  <c r="E84" i="3"/>
  <c r="F84" i="3"/>
  <c r="G84" i="3"/>
  <c r="H84" i="3"/>
  <c r="I84" i="3"/>
  <c r="J84" i="3"/>
  <c r="K84" i="3"/>
  <c r="L84" i="3"/>
  <c r="M84" i="3"/>
  <c r="N84" i="3"/>
  <c r="O84" i="3"/>
  <c r="P84" i="3"/>
  <c r="B85" i="3"/>
  <c r="C85" i="3"/>
  <c r="D85" i="3"/>
  <c r="E85" i="3"/>
  <c r="F85" i="3"/>
  <c r="G85" i="3"/>
  <c r="H85" i="3"/>
  <c r="I85" i="3"/>
  <c r="J85" i="3"/>
  <c r="K85" i="3"/>
  <c r="L85" i="3"/>
  <c r="M85" i="3"/>
  <c r="N85" i="3"/>
  <c r="O85" i="3"/>
  <c r="P85" i="3"/>
  <c r="C62" i="3"/>
  <c r="D62" i="3"/>
  <c r="E62" i="3"/>
  <c r="F62" i="3"/>
  <c r="G62" i="3"/>
  <c r="H62" i="3"/>
  <c r="I62" i="3"/>
  <c r="J62" i="3"/>
  <c r="K62" i="3"/>
  <c r="L62" i="3"/>
  <c r="M62" i="3"/>
  <c r="N62" i="3"/>
  <c r="O62" i="3"/>
  <c r="P62" i="3"/>
  <c r="B62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L232" i="3"/>
  <c r="L233" i="3"/>
  <c r="L234" i="3"/>
  <c r="L235" i="3"/>
  <c r="L236" i="3"/>
  <c r="L237" i="3"/>
  <c r="L238" i="3"/>
  <c r="L239" i="3"/>
  <c r="L240" i="3"/>
  <c r="L241" i="3"/>
  <c r="L242" i="3"/>
  <c r="L243" i="3"/>
  <c r="L244" i="3"/>
  <c r="L245" i="3"/>
  <c r="L246" i="3"/>
  <c r="L247" i="3"/>
  <c r="L248" i="3"/>
  <c r="L249" i="3"/>
  <c r="L250" i="3"/>
  <c r="L251" i="3"/>
  <c r="L252" i="3"/>
  <c r="L253" i="3"/>
  <c r="L254" i="3"/>
  <c r="L255" i="3"/>
  <c r="O203" i="3"/>
  <c r="O204" i="3"/>
  <c r="O205" i="3"/>
  <c r="O206" i="3"/>
  <c r="O207" i="3"/>
  <c r="O208" i="3"/>
  <c r="O209" i="3"/>
  <c r="O210" i="3"/>
  <c r="O211" i="3"/>
  <c r="O212" i="3"/>
  <c r="C213" i="3"/>
  <c r="D213" i="3"/>
  <c r="E213" i="3"/>
  <c r="F213" i="3"/>
  <c r="G213" i="3"/>
  <c r="H213" i="3"/>
  <c r="I213" i="3"/>
  <c r="J213" i="3"/>
  <c r="K213" i="3"/>
  <c r="L213" i="3"/>
  <c r="M213" i="3"/>
  <c r="R213" i="3" s="1"/>
  <c r="S271" i="3" s="1"/>
  <c r="O213" i="3"/>
  <c r="C214" i="3"/>
  <c r="D214" i="3"/>
  <c r="E214" i="3"/>
  <c r="F214" i="3"/>
  <c r="G214" i="3"/>
  <c r="H214" i="3"/>
  <c r="I214" i="3"/>
  <c r="J214" i="3"/>
  <c r="K214" i="3"/>
  <c r="L214" i="3"/>
  <c r="M214" i="3"/>
  <c r="R214" i="3" s="1"/>
  <c r="S272" i="3" s="1"/>
  <c r="O214" i="3"/>
  <c r="C215" i="3"/>
  <c r="D215" i="3"/>
  <c r="E215" i="3"/>
  <c r="F215" i="3"/>
  <c r="G215" i="3"/>
  <c r="H215" i="3"/>
  <c r="I215" i="3"/>
  <c r="J215" i="3"/>
  <c r="K215" i="3"/>
  <c r="L215" i="3"/>
  <c r="M215" i="3"/>
  <c r="R215" i="3" s="1"/>
  <c r="S273" i="3" s="1"/>
  <c r="O215" i="3"/>
  <c r="C216" i="3"/>
  <c r="D216" i="3"/>
  <c r="E216" i="3"/>
  <c r="F216" i="3"/>
  <c r="G216" i="3"/>
  <c r="H216" i="3"/>
  <c r="I216" i="3"/>
  <c r="J216" i="3"/>
  <c r="K216" i="3"/>
  <c r="L216" i="3"/>
  <c r="M216" i="3"/>
  <c r="R216" i="3" s="1"/>
  <c r="S274" i="3" s="1"/>
  <c r="O216" i="3"/>
  <c r="C217" i="3"/>
  <c r="D217" i="3"/>
  <c r="E217" i="3"/>
  <c r="F217" i="3"/>
  <c r="G217" i="3"/>
  <c r="H217" i="3"/>
  <c r="I217" i="3"/>
  <c r="J217" i="3"/>
  <c r="K217" i="3"/>
  <c r="L217" i="3"/>
  <c r="M217" i="3"/>
  <c r="R217" i="3" s="1"/>
  <c r="S275" i="3" s="1"/>
  <c r="O217" i="3"/>
  <c r="C218" i="3"/>
  <c r="D218" i="3"/>
  <c r="E218" i="3"/>
  <c r="F218" i="3"/>
  <c r="G218" i="3"/>
  <c r="H218" i="3"/>
  <c r="I218" i="3"/>
  <c r="J218" i="3"/>
  <c r="K218" i="3"/>
  <c r="L218" i="3"/>
  <c r="M218" i="3"/>
  <c r="R218" i="3" s="1"/>
  <c r="S276" i="3" s="1"/>
  <c r="O218" i="3"/>
  <c r="C219" i="3"/>
  <c r="D219" i="3"/>
  <c r="E219" i="3"/>
  <c r="F219" i="3"/>
  <c r="G219" i="3"/>
  <c r="H219" i="3"/>
  <c r="I219" i="3"/>
  <c r="J219" i="3"/>
  <c r="K219" i="3"/>
  <c r="L219" i="3"/>
  <c r="M219" i="3"/>
  <c r="R219" i="3" s="1"/>
  <c r="S277" i="3" s="1"/>
  <c r="O219" i="3"/>
  <c r="C220" i="3"/>
  <c r="D220" i="3"/>
  <c r="E220" i="3"/>
  <c r="F220" i="3"/>
  <c r="G220" i="3"/>
  <c r="H220" i="3"/>
  <c r="I220" i="3"/>
  <c r="J220" i="3"/>
  <c r="K220" i="3"/>
  <c r="L220" i="3"/>
  <c r="M220" i="3"/>
  <c r="R220" i="3" s="1"/>
  <c r="S278" i="3" s="1"/>
  <c r="O220" i="3"/>
  <c r="C221" i="3"/>
  <c r="D221" i="3"/>
  <c r="E221" i="3"/>
  <c r="F221" i="3"/>
  <c r="G221" i="3"/>
  <c r="H221" i="3"/>
  <c r="I221" i="3"/>
  <c r="J221" i="3"/>
  <c r="K221" i="3"/>
  <c r="L221" i="3"/>
  <c r="M221" i="3"/>
  <c r="R221" i="3" s="1"/>
  <c r="S279" i="3" s="1"/>
  <c r="O221" i="3"/>
  <c r="C222" i="3"/>
  <c r="D222" i="3"/>
  <c r="E222" i="3"/>
  <c r="F222" i="3"/>
  <c r="G222" i="3"/>
  <c r="H222" i="3"/>
  <c r="I222" i="3"/>
  <c r="J222" i="3"/>
  <c r="K222" i="3"/>
  <c r="L222" i="3"/>
  <c r="M222" i="3"/>
  <c r="R222" i="3" s="1"/>
  <c r="S280" i="3" s="1"/>
  <c r="O222" i="3"/>
  <c r="C223" i="3"/>
  <c r="D223" i="3"/>
  <c r="E223" i="3"/>
  <c r="F223" i="3"/>
  <c r="G223" i="3"/>
  <c r="H223" i="3"/>
  <c r="I223" i="3"/>
  <c r="J223" i="3"/>
  <c r="K223" i="3"/>
  <c r="L223" i="3"/>
  <c r="M223" i="3"/>
  <c r="R223" i="3" s="1"/>
  <c r="S281" i="3" s="1"/>
  <c r="O223" i="3"/>
  <c r="C224" i="3"/>
  <c r="D224" i="3"/>
  <c r="E224" i="3"/>
  <c r="F224" i="3"/>
  <c r="G224" i="3"/>
  <c r="H224" i="3"/>
  <c r="I224" i="3"/>
  <c r="J224" i="3"/>
  <c r="K224" i="3"/>
  <c r="L224" i="3"/>
  <c r="M224" i="3"/>
  <c r="R224" i="3" s="1"/>
  <c r="S282" i="3" s="1"/>
  <c r="O224" i="3"/>
  <c r="C225" i="3"/>
  <c r="D225" i="3"/>
  <c r="E225" i="3"/>
  <c r="F225" i="3"/>
  <c r="G225" i="3"/>
  <c r="H225" i="3"/>
  <c r="I225" i="3"/>
  <c r="J225" i="3"/>
  <c r="K225" i="3"/>
  <c r="L225" i="3"/>
  <c r="M225" i="3"/>
  <c r="R225" i="3" s="1"/>
  <c r="S283" i="3" s="1"/>
  <c r="O225" i="3"/>
  <c r="O202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BP6" i="5" a="1"/>
  <c r="BP6" i="5" s="1"/>
  <c r="BU6" i="5" a="1"/>
  <c r="BU6" i="5" s="1"/>
  <c r="CC6" i="5" a="1"/>
  <c r="CC6" i="5" s="1"/>
  <c r="CB6" i="5" a="1"/>
  <c r="CB6" i="5" s="1"/>
  <c r="CA6" i="5" a="1"/>
  <c r="CA6" i="5" s="1"/>
  <c r="BY6" i="5" a="1"/>
  <c r="BY6" i="5" s="1"/>
  <c r="BX6" i="5" a="1"/>
  <c r="BX6" i="5" s="1"/>
  <c r="BW6" i="5" a="1"/>
  <c r="BW6" i="5" s="1"/>
  <c r="BT6" i="5" a="1"/>
  <c r="BT6" i="5" s="1"/>
  <c r="BS6" i="5" a="1"/>
  <c r="BS6" i="5" s="1"/>
  <c r="BR6" i="5" a="1"/>
  <c r="BR6" i="5" s="1"/>
  <c r="BO6" i="5" a="1"/>
  <c r="BO6" i="5" s="1"/>
  <c r="BN6" i="5" a="1"/>
  <c r="BN6" i="5" s="1"/>
  <c r="BM6" i="5" a="1"/>
  <c r="BM6" i="5" s="1"/>
  <c r="BL6" i="5" a="1"/>
  <c r="BL6" i="5" s="1"/>
  <c r="BK6" i="5" a="1"/>
  <c r="BK6" i="5" s="1"/>
  <c r="BJ6" i="5" a="1"/>
  <c r="BJ6" i="5" s="1"/>
  <c r="BI6" i="5" a="1"/>
  <c r="BI6" i="5" s="1"/>
  <c r="BF6" i="5" a="1"/>
  <c r="BF6" i="5" s="1"/>
  <c r="BA6" i="5" a="1"/>
  <c r="BA6" i="5" s="1"/>
  <c r="AO6" i="5" a="1"/>
  <c r="AO6" i="5" s="1"/>
  <c r="AN6" i="5" a="1"/>
  <c r="AN6" i="5" s="1"/>
  <c r="AM6" i="5" a="1"/>
  <c r="AM6" i="5" s="1"/>
  <c r="AG6" i="5" a="1"/>
  <c r="AG6" i="5" s="1"/>
  <c r="AF6" i="5" a="1"/>
  <c r="AF6" i="5" s="1"/>
  <c r="AE6" i="5" a="1"/>
  <c r="AE6" i="5" s="1"/>
  <c r="AD6" i="5" a="1"/>
  <c r="AD6" i="5" s="1"/>
  <c r="AC6" i="5" a="1"/>
  <c r="AC6" i="5" s="1"/>
  <c r="AB6" i="5" a="1"/>
  <c r="AB6" i="5" s="1"/>
  <c r="AA6" i="5" a="1"/>
  <c r="AA6" i="5" s="1"/>
  <c r="Z6" i="5" a="1"/>
  <c r="Z6" i="5" s="1"/>
  <c r="T6" i="5" a="1"/>
  <c r="T6" i="5" s="1"/>
  <c r="L6" i="5" a="1"/>
  <c r="L6" i="5" s="1"/>
  <c r="K6" i="5" a="1"/>
  <c r="K6" i="5" s="1"/>
  <c r="J6" i="5" a="1"/>
  <c r="J6" i="5" s="1"/>
  <c r="I6" i="5" a="1"/>
  <c r="I6" i="5" s="1"/>
  <c r="AC174" i="3"/>
  <c r="AC175" i="3"/>
  <c r="AC176" i="3"/>
  <c r="AC177" i="3"/>
  <c r="AC178" i="3"/>
  <c r="AC179" i="3"/>
  <c r="AC180" i="3"/>
  <c r="AC181" i="3"/>
  <c r="AC182" i="3"/>
  <c r="AC183" i="3"/>
  <c r="AC184" i="3"/>
  <c r="AC185" i="3"/>
  <c r="AC186" i="3"/>
  <c r="AC187" i="3"/>
  <c r="AC188" i="3"/>
  <c r="AC189" i="3"/>
  <c r="AC190" i="3"/>
  <c r="AC191" i="3"/>
  <c r="AC192" i="3"/>
  <c r="AC193" i="3"/>
  <c r="AC194" i="3"/>
  <c r="AC195" i="3"/>
  <c r="AC196" i="3"/>
  <c r="AC197" i="3"/>
  <c r="AC146" i="3"/>
  <c r="AC147" i="3"/>
  <c r="AC148" i="3"/>
  <c r="AC149" i="3"/>
  <c r="AC150" i="3"/>
  <c r="AC151" i="3"/>
  <c r="AC152" i="3"/>
  <c r="AC153" i="3"/>
  <c r="AC154" i="3"/>
  <c r="AC155" i="3"/>
  <c r="AC156" i="3"/>
  <c r="AC157" i="3"/>
  <c r="AC158" i="3"/>
  <c r="AC159" i="3"/>
  <c r="AC160" i="3"/>
  <c r="AC161" i="3"/>
  <c r="AC162" i="3"/>
  <c r="AC163" i="3"/>
  <c r="AC164" i="3"/>
  <c r="AC165" i="3"/>
  <c r="AC166" i="3"/>
  <c r="AC167" i="3"/>
  <c r="AC168" i="3"/>
  <c r="AC169" i="3"/>
  <c r="V147" i="3"/>
  <c r="V148" i="3"/>
  <c r="V149" i="3"/>
  <c r="V150" i="3"/>
  <c r="V151" i="3"/>
  <c r="V152" i="3"/>
  <c r="V153" i="3"/>
  <c r="V154" i="3"/>
  <c r="G210" i="3" s="1"/>
  <c r="V155" i="3"/>
  <c r="G211" i="3" s="1"/>
  <c r="V156" i="3"/>
  <c r="G212" i="3" s="1"/>
  <c r="S174" i="3"/>
  <c r="T174" i="3"/>
  <c r="U174" i="3"/>
  <c r="V174" i="3"/>
  <c r="W174" i="3"/>
  <c r="X174" i="3"/>
  <c r="Y174" i="3"/>
  <c r="Z174" i="3"/>
  <c r="AA174" i="3"/>
  <c r="AB174" i="3"/>
  <c r="S175" i="3"/>
  <c r="T175" i="3"/>
  <c r="U175" i="3"/>
  <c r="V175" i="3"/>
  <c r="W175" i="3"/>
  <c r="X175" i="3"/>
  <c r="Y175" i="3"/>
  <c r="Z175" i="3"/>
  <c r="AA175" i="3"/>
  <c r="AB175" i="3"/>
  <c r="S176" i="3"/>
  <c r="T176" i="3"/>
  <c r="U176" i="3"/>
  <c r="V176" i="3"/>
  <c r="W176" i="3"/>
  <c r="X176" i="3"/>
  <c r="Y176" i="3"/>
  <c r="Z176" i="3"/>
  <c r="AA176" i="3"/>
  <c r="AB176" i="3"/>
  <c r="S177" i="3"/>
  <c r="T177" i="3"/>
  <c r="U177" i="3"/>
  <c r="V177" i="3"/>
  <c r="W177" i="3"/>
  <c r="X177" i="3"/>
  <c r="Y177" i="3"/>
  <c r="Z177" i="3"/>
  <c r="AA177" i="3"/>
  <c r="AB177" i="3"/>
  <c r="S178" i="3"/>
  <c r="T178" i="3"/>
  <c r="U178" i="3"/>
  <c r="V178" i="3"/>
  <c r="W178" i="3"/>
  <c r="X178" i="3"/>
  <c r="Y178" i="3"/>
  <c r="Z178" i="3"/>
  <c r="AA178" i="3"/>
  <c r="AB178" i="3"/>
  <c r="S179" i="3"/>
  <c r="T179" i="3"/>
  <c r="U179" i="3"/>
  <c r="V179" i="3"/>
  <c r="W179" i="3"/>
  <c r="X179" i="3"/>
  <c r="Y179" i="3"/>
  <c r="Z179" i="3"/>
  <c r="AA179" i="3"/>
  <c r="AB179" i="3"/>
  <c r="S180" i="3"/>
  <c r="T180" i="3"/>
  <c r="U180" i="3"/>
  <c r="V180" i="3"/>
  <c r="W180" i="3"/>
  <c r="X180" i="3"/>
  <c r="Y180" i="3"/>
  <c r="Z180" i="3"/>
  <c r="AA180" i="3"/>
  <c r="AB180" i="3"/>
  <c r="S181" i="3"/>
  <c r="T181" i="3"/>
  <c r="U181" i="3"/>
  <c r="V181" i="3"/>
  <c r="W181" i="3"/>
  <c r="X181" i="3"/>
  <c r="Y181" i="3"/>
  <c r="Z181" i="3"/>
  <c r="AA181" i="3"/>
  <c r="AB181" i="3"/>
  <c r="R175" i="3"/>
  <c r="R176" i="3"/>
  <c r="R177" i="3"/>
  <c r="R178" i="3"/>
  <c r="R179" i="3"/>
  <c r="R180" i="3"/>
  <c r="R181" i="3"/>
  <c r="R174" i="3"/>
  <c r="S146" i="3"/>
  <c r="T146" i="3"/>
  <c r="U146" i="3"/>
  <c r="V146" i="3"/>
  <c r="W146" i="3"/>
  <c r="X146" i="3"/>
  <c r="Y146" i="3"/>
  <c r="Z146" i="3"/>
  <c r="AA146" i="3"/>
  <c r="AB146" i="3"/>
  <c r="S147" i="3"/>
  <c r="T147" i="3"/>
  <c r="U147" i="3"/>
  <c r="W147" i="3"/>
  <c r="X147" i="3"/>
  <c r="Y147" i="3"/>
  <c r="Z147" i="3"/>
  <c r="AA147" i="3"/>
  <c r="AB147" i="3"/>
  <c r="S148" i="3"/>
  <c r="T148" i="3"/>
  <c r="U148" i="3"/>
  <c r="W148" i="3"/>
  <c r="X148" i="3"/>
  <c r="Y148" i="3"/>
  <c r="Z148" i="3"/>
  <c r="AA148" i="3"/>
  <c r="AB148" i="3"/>
  <c r="S149" i="3"/>
  <c r="T149" i="3"/>
  <c r="U149" i="3"/>
  <c r="W149" i="3"/>
  <c r="X149" i="3"/>
  <c r="Y149" i="3"/>
  <c r="Z149" i="3"/>
  <c r="AA149" i="3"/>
  <c r="AB149" i="3"/>
  <c r="S150" i="3"/>
  <c r="T150" i="3"/>
  <c r="U150" i="3"/>
  <c r="W150" i="3"/>
  <c r="X150" i="3"/>
  <c r="Y150" i="3"/>
  <c r="Z150" i="3"/>
  <c r="AA150" i="3"/>
  <c r="AB150" i="3"/>
  <c r="S151" i="3"/>
  <c r="T151" i="3"/>
  <c r="U151" i="3"/>
  <c r="W151" i="3"/>
  <c r="X151" i="3"/>
  <c r="Y151" i="3"/>
  <c r="Z151" i="3"/>
  <c r="AA151" i="3"/>
  <c r="AB151" i="3"/>
  <c r="S152" i="3"/>
  <c r="T152" i="3"/>
  <c r="U152" i="3"/>
  <c r="W152" i="3"/>
  <c r="X152" i="3"/>
  <c r="Y152" i="3"/>
  <c r="Z152" i="3"/>
  <c r="AA152" i="3"/>
  <c r="AB152" i="3"/>
  <c r="S153" i="3"/>
  <c r="T153" i="3"/>
  <c r="U153" i="3"/>
  <c r="W153" i="3"/>
  <c r="X153" i="3"/>
  <c r="Y153" i="3"/>
  <c r="Z153" i="3"/>
  <c r="AA153" i="3"/>
  <c r="AB153" i="3"/>
  <c r="S154" i="3"/>
  <c r="D210" i="3" s="1"/>
  <c r="T154" i="3"/>
  <c r="E210" i="3" s="1"/>
  <c r="U154" i="3"/>
  <c r="F210" i="3" s="1"/>
  <c r="W154" i="3"/>
  <c r="H210" i="3" s="1"/>
  <c r="X154" i="3"/>
  <c r="I210" i="3" s="1"/>
  <c r="Y154" i="3"/>
  <c r="J210" i="3" s="1"/>
  <c r="Z154" i="3"/>
  <c r="K210" i="3" s="1"/>
  <c r="AA154" i="3"/>
  <c r="L210" i="3" s="1"/>
  <c r="AB154" i="3"/>
  <c r="M210" i="3" s="1"/>
  <c r="R210" i="3" s="1"/>
  <c r="S268" i="3" s="1"/>
  <c r="S155" i="3"/>
  <c r="D211" i="3" s="1"/>
  <c r="T155" i="3"/>
  <c r="E211" i="3" s="1"/>
  <c r="U155" i="3"/>
  <c r="F211" i="3" s="1"/>
  <c r="W155" i="3"/>
  <c r="H211" i="3" s="1"/>
  <c r="X155" i="3"/>
  <c r="I211" i="3" s="1"/>
  <c r="Y155" i="3"/>
  <c r="J211" i="3" s="1"/>
  <c r="Z155" i="3"/>
  <c r="K211" i="3" s="1"/>
  <c r="AA155" i="3"/>
  <c r="L211" i="3" s="1"/>
  <c r="AB155" i="3"/>
  <c r="M211" i="3" s="1"/>
  <c r="R211" i="3" s="1"/>
  <c r="S269" i="3" s="1"/>
  <c r="S156" i="3"/>
  <c r="D212" i="3" s="1"/>
  <c r="T156" i="3"/>
  <c r="E212" i="3" s="1"/>
  <c r="U156" i="3"/>
  <c r="F212" i="3" s="1"/>
  <c r="W156" i="3"/>
  <c r="H212" i="3" s="1"/>
  <c r="X156" i="3"/>
  <c r="I212" i="3" s="1"/>
  <c r="Y156" i="3"/>
  <c r="J212" i="3" s="1"/>
  <c r="Z156" i="3"/>
  <c r="K212" i="3" s="1"/>
  <c r="AA156" i="3"/>
  <c r="L212" i="3" s="1"/>
  <c r="AB156" i="3"/>
  <c r="M212" i="3" s="1"/>
  <c r="R212" i="3" s="1"/>
  <c r="S270" i="3" s="1"/>
  <c r="R147" i="3"/>
  <c r="R148" i="3"/>
  <c r="R149" i="3"/>
  <c r="R150" i="3"/>
  <c r="R151" i="3"/>
  <c r="R152" i="3"/>
  <c r="R153" i="3"/>
  <c r="R154" i="3"/>
  <c r="C210" i="3" s="1"/>
  <c r="R155" i="3"/>
  <c r="C211" i="3" s="1"/>
  <c r="R156" i="3"/>
  <c r="C212" i="3" s="1"/>
  <c r="R146" i="3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3" i="1"/>
  <c r="CP7" i="5" l="1"/>
  <c r="CP27" i="5"/>
  <c r="CP13" i="5"/>
  <c r="CP15" i="5"/>
  <c r="CP17" i="5"/>
  <c r="CP25" i="5"/>
  <c r="CP8" i="5"/>
  <c r="CP28" i="5"/>
  <c r="CP9" i="5"/>
  <c r="CP29" i="5"/>
  <c r="CP10" i="5"/>
  <c r="CP6" i="5"/>
  <c r="CP11" i="5"/>
  <c r="CP12" i="5"/>
  <c r="CP14" i="5"/>
  <c r="CP16" i="5"/>
  <c r="CP18" i="5"/>
  <c r="CP19" i="5"/>
  <c r="CP20" i="5"/>
  <c r="CP21" i="5"/>
  <c r="CP22" i="5"/>
  <c r="CP23" i="5"/>
  <c r="CP24" i="5"/>
  <c r="CP26" i="5"/>
  <c r="E73" i="9"/>
  <c r="E45" i="11"/>
  <c r="E71" i="9"/>
  <c r="E50" i="9"/>
  <c r="E28" i="9"/>
  <c r="E6" i="9"/>
  <c r="E26" i="11"/>
  <c r="E48" i="11"/>
  <c r="E69" i="11"/>
  <c r="E70" i="9"/>
  <c r="E49" i="9"/>
  <c r="E27" i="9"/>
  <c r="E64" i="9"/>
  <c r="E41" i="9"/>
  <c r="E21" i="9"/>
  <c r="E13" i="11"/>
  <c r="E33" i="11"/>
  <c r="E56" i="11"/>
  <c r="E77" i="11"/>
  <c r="E63" i="9"/>
  <c r="E40" i="9"/>
  <c r="E20" i="9"/>
  <c r="E57" i="11"/>
  <c r="E78" i="11"/>
  <c r="E62" i="9"/>
  <c r="E39" i="9"/>
  <c r="E19" i="9"/>
  <c r="E15" i="11"/>
  <c r="E35" i="11"/>
  <c r="E58" i="11"/>
  <c r="E79" i="11"/>
  <c r="E4" i="9"/>
  <c r="E61" i="9"/>
  <c r="E38" i="9"/>
  <c r="E18" i="9"/>
  <c r="E16" i="11"/>
  <c r="E36" i="11"/>
  <c r="E59" i="11"/>
  <c r="E81" i="9"/>
  <c r="E60" i="9"/>
  <c r="E37" i="9"/>
  <c r="E17" i="9"/>
  <c r="E10" i="11"/>
  <c r="E11" i="9"/>
  <c r="K40" i="10"/>
  <c r="K37" i="10"/>
  <c r="K21" i="10"/>
  <c r="L21" i="10" s="1"/>
  <c r="H3" i="11" s="1"/>
  <c r="B34" i="10"/>
  <c r="B38" i="10"/>
  <c r="B41" i="10"/>
  <c r="B33" i="10"/>
  <c r="B37" i="10"/>
  <c r="B40" i="10"/>
  <c r="E5" i="9"/>
  <c r="E46" i="9"/>
  <c r="AJ163" i="3"/>
  <c r="AJ166" i="3"/>
  <c r="AJ167" i="3"/>
  <c r="AJ164" i="3"/>
  <c r="AJ168" i="3"/>
  <c r="AJ159" i="3"/>
  <c r="AJ169" i="3"/>
  <c r="AJ157" i="3"/>
  <c r="AJ165" i="3"/>
  <c r="AJ160" i="3"/>
  <c r="AJ158" i="3"/>
  <c r="V112" i="3"/>
  <c r="V100" i="3"/>
  <c r="T140" i="3"/>
  <c r="T128" i="3"/>
  <c r="AJ161" i="3"/>
  <c r="V113" i="3"/>
  <c r="V101" i="3"/>
  <c r="T141" i="3"/>
  <c r="T129" i="3"/>
  <c r="AJ162" i="3"/>
  <c r="V111" i="3"/>
  <c r="V99" i="3"/>
  <c r="T139" i="3"/>
  <c r="T127" i="3"/>
  <c r="V110" i="3"/>
  <c r="V98" i="3"/>
  <c r="T138" i="3"/>
  <c r="T126" i="3"/>
  <c r="T137" i="3"/>
  <c r="T125" i="3"/>
  <c r="V108" i="3"/>
  <c r="V96" i="3"/>
  <c r="T136" i="3"/>
  <c r="T124" i="3"/>
  <c r="V107" i="3"/>
  <c r="V95" i="3"/>
  <c r="T135" i="3"/>
  <c r="T123" i="3"/>
  <c r="V106" i="3"/>
  <c r="V94" i="3"/>
  <c r="T134" i="3"/>
  <c r="T122" i="3"/>
  <c r="T133" i="3"/>
  <c r="T121" i="3"/>
  <c r="V104" i="3"/>
  <c r="V92" i="3"/>
  <c r="T132" i="3"/>
  <c r="T120" i="3"/>
  <c r="V103" i="3"/>
  <c r="V91" i="3"/>
  <c r="T131" i="3"/>
  <c r="T119" i="3"/>
  <c r="V102" i="3"/>
  <c r="V90" i="3"/>
  <c r="T130" i="3"/>
  <c r="T118" i="3"/>
  <c r="AG476" i="3"/>
  <c r="V109" i="3"/>
  <c r="V97" i="3"/>
  <c r="V105" i="3"/>
  <c r="V93" i="3"/>
  <c r="AG471" i="3"/>
  <c r="AG479" i="3"/>
  <c r="AG477" i="3"/>
  <c r="AG473" i="3"/>
  <c r="AG472" i="3"/>
  <c r="AG478" i="3"/>
  <c r="AD474" i="3"/>
  <c r="AE474" i="3" s="1"/>
  <c r="AF474" i="3"/>
  <c r="AG474" i="3" s="1"/>
  <c r="AD481" i="3"/>
  <c r="AE481" i="3" s="1"/>
  <c r="AF481" i="3"/>
  <c r="AG481" i="3" s="1"/>
  <c r="AD480" i="3"/>
  <c r="AE480" i="3" s="1"/>
  <c r="AF480" i="3"/>
  <c r="AG480" i="3" s="1"/>
  <c r="AD475" i="3"/>
  <c r="AE475" i="3" s="1"/>
  <c r="AF475" i="3"/>
  <c r="AG475" i="3" s="1"/>
  <c r="AD476" i="3"/>
  <c r="AE476" i="3" s="1"/>
  <c r="AD479" i="3"/>
  <c r="AE479" i="3" s="1"/>
  <c r="AD477" i="3"/>
  <c r="AE477" i="3" s="1"/>
  <c r="AD465" i="3"/>
  <c r="AE465" i="3" s="1"/>
  <c r="P239" i="3" s="1"/>
  <c r="AD462" i="3"/>
  <c r="AE462" i="3" s="1"/>
  <c r="P236" i="3" s="1"/>
  <c r="AD464" i="3"/>
  <c r="AE464" i="3" s="1"/>
  <c r="P238" i="3" s="1"/>
  <c r="AD473" i="3"/>
  <c r="AE473" i="3" s="1"/>
  <c r="AD461" i="3"/>
  <c r="AE461" i="3" s="1"/>
  <c r="P235" i="3" s="1"/>
  <c r="AD472" i="3"/>
  <c r="AE472" i="3" s="1"/>
  <c r="AD460" i="3"/>
  <c r="AE460" i="3" s="1"/>
  <c r="P234" i="3" s="1"/>
  <c r="AD463" i="3"/>
  <c r="AE463" i="3" s="1"/>
  <c r="P237" i="3" s="1"/>
  <c r="AD471" i="3"/>
  <c r="AE471" i="3" s="1"/>
  <c r="AD459" i="3"/>
  <c r="AE459" i="3" s="1"/>
  <c r="P233" i="3" s="1"/>
  <c r="AD458" i="3"/>
  <c r="AE458" i="3" s="1"/>
  <c r="P232" i="3" s="1"/>
  <c r="AD470" i="3"/>
  <c r="AE470" i="3" s="1"/>
  <c r="P244" i="3" s="1"/>
  <c r="AD469" i="3"/>
  <c r="AE469" i="3" s="1"/>
  <c r="P243" i="3" s="1"/>
  <c r="AD468" i="3"/>
  <c r="AE468" i="3" s="1"/>
  <c r="P242" i="3" s="1"/>
  <c r="AD467" i="3"/>
  <c r="AE467" i="3" s="1"/>
  <c r="P241" i="3" s="1"/>
  <c r="AD478" i="3"/>
  <c r="AE478" i="3" s="1"/>
  <c r="AD466" i="3"/>
  <c r="AE466" i="3" s="1"/>
  <c r="P240" i="3" s="1"/>
  <c r="Q447" i="3"/>
  <c r="S446" i="3"/>
  <c r="R429" i="3"/>
  <c r="S428" i="3"/>
  <c r="S436" i="3"/>
  <c r="F290" i="3"/>
  <c r="S442" i="3"/>
  <c r="O431" i="3"/>
  <c r="D288" i="3"/>
  <c r="R451" i="3"/>
  <c r="R447" i="3"/>
  <c r="U443" i="3"/>
  <c r="Q450" i="3"/>
  <c r="S447" i="3"/>
  <c r="Q442" i="3"/>
  <c r="F296" i="3"/>
  <c r="Q449" i="3"/>
  <c r="R444" i="3"/>
  <c r="D294" i="3"/>
  <c r="U448" i="3"/>
  <c r="U444" i="3"/>
  <c r="S431" i="3"/>
  <c r="D290" i="3"/>
  <c r="U446" i="3"/>
  <c r="R441" i="3"/>
  <c r="AE35" i="5" a="1"/>
  <c r="AE35" i="5" s="1"/>
  <c r="AL167" i="3"/>
  <c r="AP167" i="3" s="1"/>
  <c r="AR167" i="3" s="1"/>
  <c r="AL155" i="3"/>
  <c r="AP155" i="3" s="1"/>
  <c r="AR155" i="3" s="1"/>
  <c r="AL166" i="3"/>
  <c r="AL154" i="3"/>
  <c r="AP154" i="3" s="1"/>
  <c r="AR154" i="3" s="1"/>
  <c r="D289" i="3"/>
  <c r="T450" i="3"/>
  <c r="T438" i="3"/>
  <c r="AL165" i="3"/>
  <c r="S445" i="3"/>
  <c r="AL164" i="3"/>
  <c r="F289" i="3"/>
  <c r="Q443" i="3"/>
  <c r="R431" i="3"/>
  <c r="N431" i="3"/>
  <c r="Q431" i="3" s="1"/>
  <c r="AL163" i="3"/>
  <c r="R430" i="3"/>
  <c r="N430" i="3"/>
  <c r="Q430" i="3" s="1"/>
  <c r="P430" i="3"/>
  <c r="S430" i="3" s="1"/>
  <c r="AL162" i="3"/>
  <c r="S441" i="3"/>
  <c r="T447" i="3"/>
  <c r="N429" i="3"/>
  <c r="Q429" i="3" s="1"/>
  <c r="P429" i="3"/>
  <c r="S429" i="3" s="1"/>
  <c r="AL161" i="3"/>
  <c r="D296" i="3"/>
  <c r="AL160" i="3"/>
  <c r="D295" i="3"/>
  <c r="S439" i="3"/>
  <c r="Q445" i="3"/>
  <c r="U445" i="3"/>
  <c r="Q444" i="3"/>
  <c r="T444" i="3"/>
  <c r="AL159" i="3"/>
  <c r="AL158" i="3"/>
  <c r="D293" i="3"/>
  <c r="U437" i="3"/>
  <c r="AL169" i="3"/>
  <c r="AL157" i="3"/>
  <c r="D292" i="3"/>
  <c r="Q448" i="3"/>
  <c r="AL168" i="3"/>
  <c r="AL156" i="3"/>
  <c r="AP156" i="3" s="1"/>
  <c r="AR156" i="3" s="1"/>
  <c r="F293" i="3"/>
  <c r="D291" i="3"/>
  <c r="S435" i="3"/>
  <c r="S448" i="3"/>
  <c r="E47" i="11"/>
  <c r="E47" i="9"/>
  <c r="U400" i="3" a="1"/>
  <c r="E422" i="3" s="1"/>
  <c r="BZ35" i="5" a="1"/>
  <c r="BZ35" i="5" s="1"/>
  <c r="BZ6" i="5" a="1"/>
  <c r="BZ6" i="5" s="1"/>
  <c r="K33" i="10"/>
  <c r="CR5" i="5"/>
  <c r="K26" i="10"/>
  <c r="E2" i="8"/>
  <c r="E4" i="8" s="1"/>
  <c r="D5" i="11" s="1"/>
  <c r="K30" i="10"/>
  <c r="K23" i="10"/>
  <c r="B31" i="10"/>
  <c r="B23" i="10"/>
  <c r="B24" i="10"/>
  <c r="B26" i="10"/>
  <c r="B27" i="10"/>
  <c r="B30" i="10"/>
  <c r="B3" i="11"/>
  <c r="B91" i="11"/>
  <c r="B63" i="11"/>
  <c r="B105" i="11"/>
  <c r="B90" i="11"/>
  <c r="B61" i="11"/>
  <c r="B104" i="11"/>
  <c r="B88" i="11"/>
  <c r="B47" i="11"/>
  <c r="B103" i="11"/>
  <c r="B87" i="11"/>
  <c r="B37" i="11"/>
  <c r="B102" i="11"/>
  <c r="B85" i="11"/>
  <c r="B32" i="11"/>
  <c r="B100" i="11"/>
  <c r="B84" i="11"/>
  <c r="B30" i="11"/>
  <c r="B99" i="11"/>
  <c r="B82" i="11"/>
  <c r="B23" i="11"/>
  <c r="B98" i="11"/>
  <c r="B80" i="11"/>
  <c r="B18" i="11"/>
  <c r="B93" i="11"/>
  <c r="B68" i="11"/>
  <c r="B92" i="11"/>
  <c r="B66" i="11"/>
  <c r="B75" i="11"/>
  <c r="B22" i="11"/>
  <c r="B15" i="11"/>
  <c r="B60" i="11"/>
  <c r="B69" i="9"/>
  <c r="B45" i="9"/>
  <c r="B56" i="9"/>
  <c r="B44" i="9"/>
  <c r="B35" i="9"/>
  <c r="B33" i="9"/>
  <c r="B23" i="9"/>
  <c r="B104" i="9"/>
  <c r="B21" i="9"/>
  <c r="B93" i="9"/>
  <c r="B8" i="9"/>
  <c r="B92" i="9"/>
  <c r="B83" i="9"/>
  <c r="B81" i="9"/>
  <c r="B59" i="11"/>
  <c r="B81" i="11"/>
  <c r="B51" i="11"/>
  <c r="B94" i="11"/>
  <c r="B79" i="11"/>
  <c r="B46" i="11"/>
  <c r="B36" i="11"/>
  <c r="B101" i="11"/>
  <c r="B89" i="11"/>
  <c r="B77" i="11"/>
  <c r="B50" i="11"/>
  <c r="B16" i="11"/>
  <c r="B86" i="11"/>
  <c r="B73" i="11"/>
  <c r="B45" i="11"/>
  <c r="B95" i="11"/>
  <c r="B83" i="11"/>
  <c r="B64" i="11"/>
  <c r="B33" i="11"/>
  <c r="B72" i="11"/>
  <c r="B58" i="11"/>
  <c r="B44" i="11"/>
  <c r="B28" i="11"/>
  <c r="B7" i="11"/>
  <c r="B71" i="11"/>
  <c r="B57" i="11"/>
  <c r="B42" i="11"/>
  <c r="B27" i="11"/>
  <c r="B6" i="11"/>
  <c r="B70" i="11"/>
  <c r="B56" i="11"/>
  <c r="B40" i="11"/>
  <c r="B26" i="11"/>
  <c r="B4" i="11"/>
  <c r="B69" i="11"/>
  <c r="B54" i="11"/>
  <c r="B39" i="11"/>
  <c r="B25" i="11"/>
  <c r="B52" i="11"/>
  <c r="B38" i="11"/>
  <c r="B24" i="11"/>
  <c r="B49" i="11"/>
  <c r="B35" i="11"/>
  <c r="B21" i="11"/>
  <c r="B76" i="11"/>
  <c r="B62" i="11"/>
  <c r="B48" i="11"/>
  <c r="B34" i="11"/>
  <c r="B20" i="11"/>
  <c r="BB6" i="5" a="1"/>
  <c r="BB6" i="5" s="1"/>
  <c r="B71" i="9"/>
  <c r="B80" i="9"/>
  <c r="B32" i="9"/>
  <c r="B68" i="9"/>
  <c r="B20" i="9"/>
  <c r="B59" i="9"/>
  <c r="B11" i="9"/>
  <c r="B105" i="9"/>
  <c r="B57" i="9"/>
  <c r="B9" i="9"/>
  <c r="B95" i="9"/>
  <c r="B47" i="9"/>
  <c r="B3" i="9"/>
  <c r="B94" i="9"/>
  <c r="B82" i="9"/>
  <c r="B70" i="9"/>
  <c r="B58" i="9"/>
  <c r="B46" i="9"/>
  <c r="B34" i="9"/>
  <c r="B22" i="9"/>
  <c r="B10" i="9"/>
  <c r="B103" i="9"/>
  <c r="B91" i="9"/>
  <c r="B79" i="9"/>
  <c r="B67" i="9"/>
  <c r="B55" i="9"/>
  <c r="B43" i="9"/>
  <c r="B31" i="9"/>
  <c r="B19" i="9"/>
  <c r="B7" i="9"/>
  <c r="B102" i="9"/>
  <c r="B90" i="9"/>
  <c r="B78" i="9"/>
  <c r="B66" i="9"/>
  <c r="B54" i="9"/>
  <c r="B42" i="9"/>
  <c r="B30" i="9"/>
  <c r="B18" i="9"/>
  <c r="B6" i="9"/>
  <c r="B101" i="9"/>
  <c r="B89" i="9"/>
  <c r="B77" i="9"/>
  <c r="B65" i="9"/>
  <c r="B53" i="9"/>
  <c r="B41" i="9"/>
  <c r="B29" i="9"/>
  <c r="B17" i="9"/>
  <c r="B5" i="9"/>
  <c r="B100" i="9"/>
  <c r="B88" i="9"/>
  <c r="B76" i="9"/>
  <c r="B64" i="9"/>
  <c r="B52" i="9"/>
  <c r="B40" i="9"/>
  <c r="B28" i="9"/>
  <c r="B16" i="9"/>
  <c r="B4" i="9"/>
  <c r="B99" i="9"/>
  <c r="B87" i="9"/>
  <c r="B75" i="9"/>
  <c r="B63" i="9"/>
  <c r="B51" i="9"/>
  <c r="B39" i="9"/>
  <c r="B27" i="9"/>
  <c r="B15" i="9"/>
  <c r="B98" i="9"/>
  <c r="B86" i="9"/>
  <c r="B74" i="9"/>
  <c r="B62" i="9"/>
  <c r="B50" i="9"/>
  <c r="B38" i="9"/>
  <c r="B26" i="9"/>
  <c r="B14" i="9"/>
  <c r="B97" i="9"/>
  <c r="B85" i="9"/>
  <c r="B73" i="9"/>
  <c r="B61" i="9"/>
  <c r="B49" i="9"/>
  <c r="B37" i="9"/>
  <c r="B25" i="9"/>
  <c r="B13" i="9"/>
  <c r="B96" i="9"/>
  <c r="B84" i="9"/>
  <c r="B72" i="9"/>
  <c r="B60" i="9"/>
  <c r="B48" i="9"/>
  <c r="B36" i="9"/>
  <c r="B24" i="9"/>
  <c r="B67" i="11"/>
  <c r="B55" i="11"/>
  <c r="B43" i="11"/>
  <c r="B31" i="11"/>
  <c r="B19" i="11"/>
  <c r="B65" i="11"/>
  <c r="B53" i="11"/>
  <c r="B41" i="11"/>
  <c r="B29" i="11"/>
  <c r="B17" i="11"/>
  <c r="B5" i="11"/>
  <c r="E72" i="11"/>
  <c r="E53" i="11"/>
  <c r="E53" i="9"/>
  <c r="B14" i="11"/>
  <c r="B13" i="11"/>
  <c r="B12" i="11"/>
  <c r="B11" i="11"/>
  <c r="B10" i="11"/>
  <c r="B9" i="11"/>
  <c r="D3" i="11"/>
  <c r="K20" i="10"/>
  <c r="L20" i="10" s="1"/>
  <c r="H3" i="9" s="1"/>
  <c r="W24" i="6"/>
  <c r="X29" i="6"/>
  <c r="X17" i="6"/>
  <c r="X5" i="6"/>
  <c r="X26" i="6"/>
  <c r="X14" i="6"/>
  <c r="X34" i="6"/>
  <c r="J516" i="3"/>
  <c r="J504" i="3"/>
  <c r="J517" i="3"/>
  <c r="J505" i="3"/>
  <c r="J515" i="3"/>
  <c r="J503" i="3"/>
  <c r="J514" i="3"/>
  <c r="J502" i="3"/>
  <c r="J513" i="3"/>
  <c r="J501" i="3"/>
  <c r="J512" i="3"/>
  <c r="J500" i="3"/>
  <c r="J511" i="3"/>
  <c r="J499" i="3"/>
  <c r="J510" i="3"/>
  <c r="J498" i="3"/>
  <c r="J509" i="3"/>
  <c r="J497" i="3"/>
  <c r="J508" i="3"/>
  <c r="J496" i="3"/>
  <c r="J507" i="3"/>
  <c r="J495" i="3"/>
  <c r="J506" i="3"/>
  <c r="J494" i="3"/>
  <c r="CM35" i="5" a="1"/>
  <c r="CM35" i="5" s="1"/>
  <c r="CL35" i="5" a="1"/>
  <c r="CL35" i="5" s="1"/>
  <c r="CK35" i="5" a="1"/>
  <c r="CK35" i="5" s="1"/>
  <c r="CJ35" i="5" a="1"/>
  <c r="CJ35" i="5" s="1"/>
  <c r="CI35" i="5" a="1"/>
  <c r="CI35" i="5" s="1"/>
  <c r="CH35" i="5" a="1"/>
  <c r="BX35" i="5" a="1"/>
  <c r="BX35" i="5" s="1"/>
  <c r="BT35" i="5" a="1"/>
  <c r="BT35" i="5" s="1"/>
  <c r="BV35" i="5" a="1"/>
  <c r="BV35" i="5" s="1"/>
  <c r="BU35" i="5" a="1"/>
  <c r="BU35" i="5" s="1"/>
  <c r="BR35" i="5" a="1"/>
  <c r="BR35" i="5" s="1"/>
  <c r="BN35" i="5" a="1"/>
  <c r="BN35" i="5" s="1"/>
  <c r="BM35" i="5" a="1"/>
  <c r="BM35" i="5" s="1"/>
  <c r="BO35" i="5" a="1"/>
  <c r="BO35" i="5" s="1"/>
  <c r="BL35" i="5" a="1"/>
  <c r="BL35" i="5" s="1"/>
  <c r="BC35" i="5" a="1"/>
  <c r="BC35" i="5" s="1"/>
  <c r="BB35" i="5" a="1"/>
  <c r="BB35" i="5" s="1"/>
  <c r="BD35" i="5" a="1"/>
  <c r="BD35" i="5" s="1"/>
  <c r="BE35" i="5" a="1"/>
  <c r="BE35" i="5" s="1"/>
  <c r="BG35" i="5" a="1"/>
  <c r="BG35" i="5" s="1"/>
  <c r="BH35" i="5" a="1"/>
  <c r="BH35" i="5" s="1"/>
  <c r="AW35" i="5" a="1"/>
  <c r="AW35" i="5" s="1"/>
  <c r="AX35" i="5" a="1"/>
  <c r="AX35" i="5" s="1"/>
  <c r="AY35" i="5" a="1"/>
  <c r="AY35" i="5" s="1"/>
  <c r="AZ35" i="5" a="1"/>
  <c r="AZ35" i="5" s="1"/>
  <c r="AP35" i="5" a="1"/>
  <c r="AP35" i="5" s="1"/>
  <c r="AQ35" i="5" a="1"/>
  <c r="AQ35" i="5" s="1"/>
  <c r="AS35" i="5" a="1"/>
  <c r="AS35" i="5" s="1"/>
  <c r="AT35" i="5" a="1"/>
  <c r="AT35" i="5" s="1"/>
  <c r="AU35" i="5" a="1"/>
  <c r="AU35" i="5" s="1"/>
  <c r="AV35" i="5" a="1"/>
  <c r="AV35" i="5" s="1"/>
  <c r="AK35" i="5" a="1"/>
  <c r="AK35" i="5" s="1"/>
  <c r="AH35" i="5" a="1"/>
  <c r="AH35" i="5" s="1"/>
  <c r="S432" i="3"/>
  <c r="R446" i="3"/>
  <c r="T431" i="3"/>
  <c r="N435" i="3"/>
  <c r="Q435" i="3" s="1"/>
  <c r="O435" i="3"/>
  <c r="R435" i="3" s="1"/>
  <c r="U447" i="3"/>
  <c r="Q441" i="3"/>
  <c r="U451" i="3"/>
  <c r="Q446" i="3"/>
  <c r="N434" i="3"/>
  <c r="Q434" i="3" s="1"/>
  <c r="O434" i="3"/>
  <c r="R434" i="3" s="1"/>
  <c r="Q451" i="3"/>
  <c r="U429" i="3"/>
  <c r="Q439" i="3"/>
  <c r="S434" i="3"/>
  <c r="N433" i="3"/>
  <c r="O433" i="3"/>
  <c r="R433" i="3" s="1"/>
  <c r="S451" i="3"/>
  <c r="N432" i="3"/>
  <c r="O432" i="3"/>
  <c r="R432" i="3" s="1"/>
  <c r="R440" i="3"/>
  <c r="U441" i="3"/>
  <c r="R449" i="3"/>
  <c r="U442" i="3"/>
  <c r="Q440" i="3"/>
  <c r="N428" i="3"/>
  <c r="Q428" i="3" s="1"/>
  <c r="O428" i="3"/>
  <c r="R428" i="3" s="1"/>
  <c r="U439" i="3"/>
  <c r="U450" i="3"/>
  <c r="U438" i="3"/>
  <c r="R439" i="3"/>
  <c r="R437" i="3"/>
  <c r="U440" i="3"/>
  <c r="Q437" i="3"/>
  <c r="S449" i="3"/>
  <c r="S437" i="3"/>
  <c r="T443" i="3"/>
  <c r="N436" i="3"/>
  <c r="O436" i="3"/>
  <c r="R436" i="3" s="1"/>
  <c r="U449" i="3"/>
  <c r="S438" i="3"/>
  <c r="S450" i="3"/>
  <c r="T449" i="3"/>
  <c r="R438" i="3"/>
  <c r="R450" i="3"/>
  <c r="T451" i="3"/>
  <c r="T439" i="3"/>
  <c r="T437" i="3"/>
  <c r="T448" i="3"/>
  <c r="T446" i="3"/>
  <c r="T434" i="3"/>
  <c r="T445" i="3"/>
  <c r="T433" i="3"/>
  <c r="T442" i="3"/>
  <c r="T430" i="3"/>
  <c r="T441" i="3"/>
  <c r="T429" i="3"/>
  <c r="T440" i="3"/>
  <c r="I207" i="3"/>
  <c r="L208" i="3"/>
  <c r="M208" i="3"/>
  <c r="R208" i="3" s="1"/>
  <c r="S266" i="3" s="1"/>
  <c r="M202" i="3"/>
  <c r="R202" i="3" s="1"/>
  <c r="S260" i="3" s="1"/>
  <c r="K202" i="3"/>
  <c r="C202" i="3"/>
  <c r="J207" i="3"/>
  <c r="D204" i="3"/>
  <c r="F208" i="3"/>
  <c r="F202" i="3"/>
  <c r="G205" i="3"/>
  <c r="F205" i="3"/>
  <c r="G207" i="3"/>
  <c r="E206" i="3"/>
  <c r="N208" i="3"/>
  <c r="I205" i="3"/>
  <c r="G204" i="3"/>
  <c r="E203" i="3"/>
  <c r="C203" i="3"/>
  <c r="L202" i="3"/>
  <c r="K208" i="3"/>
  <c r="G206" i="3"/>
  <c r="M203" i="3"/>
  <c r="R203" i="3" s="1"/>
  <c r="S261" i="3" s="1"/>
  <c r="N207" i="3"/>
  <c r="N220" i="3"/>
  <c r="M209" i="3"/>
  <c r="R209" i="3" s="1"/>
  <c r="S267" i="3" s="1"/>
  <c r="N219" i="3"/>
  <c r="I208" i="3"/>
  <c r="E204" i="3"/>
  <c r="L205" i="3"/>
  <c r="J204" i="3"/>
  <c r="L209" i="3"/>
  <c r="J208" i="3"/>
  <c r="H207" i="3"/>
  <c r="F206" i="3"/>
  <c r="D205" i="3"/>
  <c r="L203" i="3"/>
  <c r="J202" i="3"/>
  <c r="N218" i="3"/>
  <c r="N206" i="3"/>
  <c r="K203" i="3"/>
  <c r="I202" i="3"/>
  <c r="N217" i="3"/>
  <c r="N205" i="3"/>
  <c r="M204" i="3"/>
  <c r="R204" i="3" s="1"/>
  <c r="S262" i="3" s="1"/>
  <c r="J209" i="3"/>
  <c r="H208" i="3"/>
  <c r="F207" i="3"/>
  <c r="D206" i="3"/>
  <c r="L204" i="3"/>
  <c r="J203" i="3"/>
  <c r="H202" i="3"/>
  <c r="N216" i="3"/>
  <c r="N204" i="3"/>
  <c r="K209" i="3"/>
  <c r="I209" i="3"/>
  <c r="G208" i="3"/>
  <c r="E207" i="3"/>
  <c r="M205" i="3"/>
  <c r="R205" i="3" s="1"/>
  <c r="S263" i="3" s="1"/>
  <c r="K204" i="3"/>
  <c r="I203" i="3"/>
  <c r="G202" i="3"/>
  <c r="N215" i="3"/>
  <c r="N203" i="3"/>
  <c r="E205" i="3"/>
  <c r="C209" i="3"/>
  <c r="H203" i="3"/>
  <c r="N214" i="3"/>
  <c r="N202" i="3"/>
  <c r="D207" i="3"/>
  <c r="C208" i="3"/>
  <c r="G209" i="3"/>
  <c r="E208" i="3"/>
  <c r="M206" i="3"/>
  <c r="R206" i="3" s="1"/>
  <c r="S264" i="3" s="1"/>
  <c r="K205" i="3"/>
  <c r="I204" i="3"/>
  <c r="G203" i="3"/>
  <c r="E202" i="3"/>
  <c r="N225" i="3"/>
  <c r="N213" i="3"/>
  <c r="H209" i="3"/>
  <c r="C207" i="3"/>
  <c r="F209" i="3"/>
  <c r="D208" i="3"/>
  <c r="L206" i="3"/>
  <c r="J205" i="3"/>
  <c r="H204" i="3"/>
  <c r="F203" i="3"/>
  <c r="D202" i="3"/>
  <c r="N224" i="3"/>
  <c r="N212" i="3"/>
  <c r="H206" i="3"/>
  <c r="C206" i="3"/>
  <c r="E209" i="3"/>
  <c r="M207" i="3"/>
  <c r="R207" i="3" s="1"/>
  <c r="S265" i="3" s="1"/>
  <c r="K206" i="3"/>
  <c r="N223" i="3"/>
  <c r="N211" i="3"/>
  <c r="C205" i="3"/>
  <c r="D209" i="3"/>
  <c r="L207" i="3"/>
  <c r="J206" i="3"/>
  <c r="H205" i="3"/>
  <c r="F204" i="3"/>
  <c r="D203" i="3"/>
  <c r="N222" i="3"/>
  <c r="N210" i="3"/>
  <c r="C204" i="3"/>
  <c r="K207" i="3"/>
  <c r="I206" i="3"/>
  <c r="N221" i="3"/>
  <c r="N209" i="3"/>
  <c r="BH6" i="5" a="1"/>
  <c r="BH6" i="5" s="1"/>
  <c r="BC6" i="5" a="1"/>
  <c r="BC6" i="5" s="1"/>
  <c r="BD6" i="5" a="1"/>
  <c r="BD6" i="5" s="1"/>
  <c r="BE6" i="5" a="1"/>
  <c r="BE6" i="5" s="1"/>
  <c r="BG6" i="5" a="1"/>
  <c r="BG6" i="5" s="1"/>
  <c r="AZ6" i="5" a="1"/>
  <c r="AZ6" i="5" s="1"/>
  <c r="AX6" i="5" a="1"/>
  <c r="AX6" i="5" s="1"/>
  <c r="AY6" i="5" a="1"/>
  <c r="AY6" i="5" s="1"/>
  <c r="P225" i="3"/>
  <c r="P224" i="3"/>
  <c r="P223" i="3"/>
  <c r="P222" i="3"/>
  <c r="P221" i="3"/>
  <c r="P220" i="3"/>
  <c r="P219" i="3"/>
  <c r="P218" i="3"/>
  <c r="P217" i="3"/>
  <c r="P216" i="3"/>
  <c r="P215" i="3"/>
  <c r="P214" i="3"/>
  <c r="P213" i="3"/>
  <c r="P212" i="3"/>
  <c r="P211" i="3"/>
  <c r="P210" i="3"/>
  <c r="BV6" i="5" a="1"/>
  <c r="BV6" i="5" s="1"/>
  <c r="BQ6" i="5" a="1"/>
  <c r="BQ6" i="5" s="1"/>
  <c r="CD6" i="5" a="1"/>
  <c r="CD6" i="5" s="1"/>
  <c r="AJ6" i="5" a="1"/>
  <c r="AJ6" i="5" s="1"/>
  <c r="O6" i="5" a="1"/>
  <c r="O6" i="5" s="1"/>
  <c r="Q6" i="5" a="1"/>
  <c r="Q6" i="5" s="1"/>
  <c r="R6" i="5" a="1"/>
  <c r="R6" i="5" s="1"/>
  <c r="S6" i="5" a="1"/>
  <c r="S6" i="5" s="1"/>
  <c r="P6" i="5" a="1"/>
  <c r="P6" i="5" s="1"/>
  <c r="A6" i="5"/>
  <c r="CL6" i="5" s="1" a="1"/>
  <c r="CL6" i="5" s="1"/>
  <c r="F6" i="5" a="1"/>
  <c r="F6" i="5" s="1"/>
  <c r="A28" i="5"/>
  <c r="A22" i="5"/>
  <c r="A18" i="5"/>
  <c r="A16" i="5"/>
  <c r="A10" i="5"/>
  <c r="A19" i="5"/>
  <c r="A7" i="5"/>
  <c r="E6" i="5" a="1"/>
  <c r="E6" i="5" s="1"/>
  <c r="A29" i="5"/>
  <c r="A17" i="5"/>
  <c r="G6" i="5" a="1"/>
  <c r="G6" i="5" s="1"/>
  <c r="A27" i="5"/>
  <c r="A15" i="5"/>
  <c r="H6" i="5" a="1"/>
  <c r="H6" i="5" s="1"/>
  <c r="A26" i="5"/>
  <c r="A14" i="5"/>
  <c r="A25" i="5"/>
  <c r="A13" i="5"/>
  <c r="A24" i="5"/>
  <c r="A12" i="5"/>
  <c r="A23" i="5"/>
  <c r="A11" i="5"/>
  <c r="A21" i="5"/>
  <c r="A9" i="5"/>
  <c r="A20" i="5"/>
  <c r="AP164" i="3" l="1"/>
  <c r="AR164" i="3" s="1"/>
  <c r="AP162" i="3"/>
  <c r="AR162" i="3" s="1"/>
  <c r="AP166" i="3"/>
  <c r="AR166" i="3" s="1"/>
  <c r="AP159" i="3"/>
  <c r="AR159" i="3" s="1"/>
  <c r="AP163" i="3"/>
  <c r="AR163" i="3" s="1"/>
  <c r="L40" i="10"/>
  <c r="L37" i="10"/>
  <c r="AP169" i="3"/>
  <c r="AR169" i="3" s="1"/>
  <c r="AP157" i="3"/>
  <c r="AR157" i="3" s="1"/>
  <c r="P250" i="3"/>
  <c r="P245" i="3"/>
  <c r="AP168" i="3"/>
  <c r="AR168" i="3" s="1"/>
  <c r="O254" i="3" s="1"/>
  <c r="AP158" i="3"/>
  <c r="AR158" i="3" s="1"/>
  <c r="AP160" i="3"/>
  <c r="AR160" i="3" s="1"/>
  <c r="P254" i="3"/>
  <c r="P251" i="3"/>
  <c r="P253" i="3"/>
  <c r="AP161" i="3"/>
  <c r="AR161" i="3" s="1"/>
  <c r="AP165" i="3"/>
  <c r="AR165" i="3" s="1"/>
  <c r="E60" i="8"/>
  <c r="D61" i="11" s="1"/>
  <c r="A61" i="11" s="1"/>
  <c r="P249" i="3"/>
  <c r="P246" i="3"/>
  <c r="P252" i="3"/>
  <c r="P247" i="3"/>
  <c r="P255" i="3"/>
  <c r="P248" i="3"/>
  <c r="E401" i="3"/>
  <c r="O233" i="3" s="1"/>
  <c r="E406" i="3"/>
  <c r="O238" i="3" s="1"/>
  <c r="E418" i="3"/>
  <c r="E402" i="3"/>
  <c r="O234" i="3" s="1"/>
  <c r="E421" i="3"/>
  <c r="O253" i="3" s="1"/>
  <c r="E414" i="3"/>
  <c r="E413" i="3"/>
  <c r="E407" i="3"/>
  <c r="O239" i="3" s="1"/>
  <c r="E403" i="3"/>
  <c r="O235" i="3" s="1"/>
  <c r="E419" i="3"/>
  <c r="E415" i="3"/>
  <c r="E408" i="3"/>
  <c r="O240" i="3" s="1"/>
  <c r="E411" i="3"/>
  <c r="E404" i="3"/>
  <c r="O236" i="3" s="1"/>
  <c r="E420" i="3"/>
  <c r="E423" i="3"/>
  <c r="E416" i="3"/>
  <c r="E409" i="3"/>
  <c r="O241" i="3" s="1"/>
  <c r="E405" i="3"/>
  <c r="O237" i="3" s="1"/>
  <c r="E410" i="3"/>
  <c r="O242" i="3" s="1"/>
  <c r="E412" i="3"/>
  <c r="E417" i="3"/>
  <c r="T436" i="3"/>
  <c r="T435" i="3"/>
  <c r="T428" i="3"/>
  <c r="T432" i="3"/>
  <c r="U430" i="3"/>
  <c r="AI35" i="5" a="1"/>
  <c r="AI35" i="5" s="1"/>
  <c r="E66" i="8"/>
  <c r="D67" i="11" s="1"/>
  <c r="A67" i="11" s="1"/>
  <c r="BQ35" i="5" a="1"/>
  <c r="BQ35" i="5" s="1"/>
  <c r="E64" i="8"/>
  <c r="D65" i="11" s="1"/>
  <c r="A65" i="11" s="1"/>
  <c r="U431" i="3"/>
  <c r="U400" i="3"/>
  <c r="E400" i="3" s="1"/>
  <c r="O232" i="3" s="1"/>
  <c r="I401" i="3"/>
  <c r="G403" i="3"/>
  <c r="J406" i="3"/>
  <c r="H408" i="3"/>
  <c r="F410" i="3"/>
  <c r="D412" i="3"/>
  <c r="I413" i="3"/>
  <c r="G415" i="3"/>
  <c r="J418" i="3"/>
  <c r="H420" i="3"/>
  <c r="F422" i="3"/>
  <c r="C401" i="3"/>
  <c r="C413" i="3"/>
  <c r="F414" i="3"/>
  <c r="C417" i="3"/>
  <c r="F401" i="3"/>
  <c r="G413" i="3"/>
  <c r="J401" i="3"/>
  <c r="H403" i="3"/>
  <c r="F405" i="3"/>
  <c r="D407" i="3"/>
  <c r="I408" i="3"/>
  <c r="G410" i="3"/>
  <c r="J413" i="3"/>
  <c r="H415" i="3"/>
  <c r="F417" i="3"/>
  <c r="D419" i="3"/>
  <c r="I420" i="3"/>
  <c r="G422" i="3"/>
  <c r="C402" i="3"/>
  <c r="C414" i="3"/>
  <c r="H412" i="3"/>
  <c r="G419" i="3"/>
  <c r="I421" i="3"/>
  <c r="C410" i="3"/>
  <c r="D422" i="3"/>
  <c r="D402" i="3"/>
  <c r="I403" i="3"/>
  <c r="G405" i="3"/>
  <c r="J408" i="3"/>
  <c r="H410" i="3"/>
  <c r="F412" i="3"/>
  <c r="D414" i="3"/>
  <c r="I415" i="3"/>
  <c r="G417" i="3"/>
  <c r="J420" i="3"/>
  <c r="H422" i="3"/>
  <c r="C403" i="3"/>
  <c r="C415" i="3"/>
  <c r="J410" i="3"/>
  <c r="D416" i="3"/>
  <c r="J422" i="3"/>
  <c r="C421" i="3"/>
  <c r="I404" i="3"/>
  <c r="H423" i="3"/>
  <c r="D410" i="3"/>
  <c r="C411" i="3"/>
  <c r="J403" i="3"/>
  <c r="H405" i="3"/>
  <c r="F407" i="3"/>
  <c r="D409" i="3"/>
  <c r="I410" i="3"/>
  <c r="G412" i="3"/>
  <c r="J415" i="3"/>
  <c r="H417" i="3"/>
  <c r="F419" i="3"/>
  <c r="D421" i="3"/>
  <c r="I422" i="3"/>
  <c r="C404" i="3"/>
  <c r="C416" i="3"/>
  <c r="I417" i="3"/>
  <c r="C405" i="3"/>
  <c r="C409" i="3"/>
  <c r="G406" i="3"/>
  <c r="F408" i="3"/>
  <c r="F402" i="3"/>
  <c r="D404" i="3"/>
  <c r="I405" i="3"/>
  <c r="G407" i="3"/>
  <c r="F413" i="3"/>
  <c r="C422" i="3"/>
  <c r="J404" i="3"/>
  <c r="H418" i="3"/>
  <c r="G402" i="3"/>
  <c r="J405" i="3"/>
  <c r="H407" i="3"/>
  <c r="F409" i="3"/>
  <c r="D411" i="3"/>
  <c r="I412" i="3"/>
  <c r="G414" i="3"/>
  <c r="J417" i="3"/>
  <c r="H419" i="3"/>
  <c r="F421" i="3"/>
  <c r="D423" i="3"/>
  <c r="C406" i="3"/>
  <c r="C418" i="3"/>
  <c r="I419" i="3"/>
  <c r="G421" i="3"/>
  <c r="C407" i="3"/>
  <c r="C419" i="3"/>
  <c r="G423" i="3"/>
  <c r="J409" i="3"/>
  <c r="G418" i="3"/>
  <c r="H406" i="3"/>
  <c r="F420" i="3"/>
  <c r="H402" i="3"/>
  <c r="F404" i="3"/>
  <c r="D406" i="3"/>
  <c r="I407" i="3"/>
  <c r="G409" i="3"/>
  <c r="J412" i="3"/>
  <c r="H414" i="3"/>
  <c r="F416" i="3"/>
  <c r="D418" i="3"/>
  <c r="D415" i="3"/>
  <c r="J416" i="3"/>
  <c r="D401" i="3"/>
  <c r="I402" i="3"/>
  <c r="G404" i="3"/>
  <c r="J407" i="3"/>
  <c r="H409" i="3"/>
  <c r="F411" i="3"/>
  <c r="D413" i="3"/>
  <c r="I414" i="3"/>
  <c r="G416" i="3"/>
  <c r="J419" i="3"/>
  <c r="H421" i="3"/>
  <c r="F423" i="3"/>
  <c r="C408" i="3"/>
  <c r="C420" i="3"/>
  <c r="D408" i="3"/>
  <c r="H416" i="3"/>
  <c r="D420" i="3"/>
  <c r="D403" i="3"/>
  <c r="I416" i="3"/>
  <c r="I411" i="3"/>
  <c r="C423" i="3"/>
  <c r="J402" i="3"/>
  <c r="H404" i="3"/>
  <c r="F406" i="3"/>
  <c r="I409" i="3"/>
  <c r="G411" i="3"/>
  <c r="J414" i="3"/>
  <c r="F418" i="3"/>
  <c r="H411" i="3"/>
  <c r="J421" i="3"/>
  <c r="G401" i="3"/>
  <c r="I423" i="3"/>
  <c r="H401" i="3"/>
  <c r="F403" i="3"/>
  <c r="D405" i="3"/>
  <c r="I406" i="3"/>
  <c r="G408" i="3"/>
  <c r="J411" i="3"/>
  <c r="H413" i="3"/>
  <c r="F415" i="3"/>
  <c r="D417" i="3"/>
  <c r="I418" i="3"/>
  <c r="G420" i="3"/>
  <c r="J423" i="3"/>
  <c r="C412" i="3"/>
  <c r="E20" i="8"/>
  <c r="D21" i="11" s="1"/>
  <c r="A21" i="11" s="1"/>
  <c r="E47" i="8"/>
  <c r="D48" i="11" s="1"/>
  <c r="A48" i="11" s="1"/>
  <c r="E75" i="8"/>
  <c r="D76" i="11" s="1"/>
  <c r="A76" i="11" s="1"/>
  <c r="E3" i="8"/>
  <c r="D4" i="11" s="1"/>
  <c r="A4" i="11" s="1"/>
  <c r="E59" i="8"/>
  <c r="D60" i="11" s="1"/>
  <c r="A60" i="11" s="1"/>
  <c r="E15" i="8"/>
  <c r="D16" i="11" s="1"/>
  <c r="A16" i="11" s="1"/>
  <c r="E67" i="8"/>
  <c r="D68" i="11" s="1"/>
  <c r="A68" i="11" s="1"/>
  <c r="E31" i="8"/>
  <c r="D32" i="11" s="1"/>
  <c r="A32" i="11" s="1"/>
  <c r="E41" i="8"/>
  <c r="D42" i="11" s="1"/>
  <c r="A42" i="11" s="1"/>
  <c r="E8" i="8"/>
  <c r="D9" i="11" s="1"/>
  <c r="A9" i="11" s="1"/>
  <c r="E65" i="8"/>
  <c r="D66" i="11" s="1"/>
  <c r="A66" i="11" s="1"/>
  <c r="E51" i="8"/>
  <c r="D52" i="11" s="1"/>
  <c r="A52" i="11" s="1"/>
  <c r="E32" i="8"/>
  <c r="D33" i="11" s="1"/>
  <c r="A33" i="11" s="1"/>
  <c r="E36" i="8"/>
  <c r="D37" i="11" s="1"/>
  <c r="A37" i="11" s="1"/>
  <c r="E57" i="8"/>
  <c r="D58" i="11" s="1"/>
  <c r="A58" i="11" s="1"/>
  <c r="E50" i="8"/>
  <c r="D51" i="11" s="1"/>
  <c r="A51" i="11" s="1"/>
  <c r="E22" i="8"/>
  <c r="D23" i="11" s="1"/>
  <c r="A23" i="11" s="1"/>
  <c r="E35" i="8"/>
  <c r="D36" i="11" s="1"/>
  <c r="A36" i="11" s="1"/>
  <c r="E5" i="8"/>
  <c r="D6" i="11" s="1"/>
  <c r="A6" i="11" s="1"/>
  <c r="E44" i="8"/>
  <c r="D45" i="11" s="1"/>
  <c r="A45" i="11" s="1"/>
  <c r="E71" i="8"/>
  <c r="D72" i="11" s="1"/>
  <c r="A72" i="11" s="1"/>
  <c r="E38" i="8"/>
  <c r="D39" i="11" s="1"/>
  <c r="A39" i="11" s="1"/>
  <c r="E17" i="8"/>
  <c r="D18" i="11" s="1"/>
  <c r="A18" i="11" s="1"/>
  <c r="E21" i="8"/>
  <c r="D22" i="11" s="1"/>
  <c r="A22" i="11" s="1"/>
  <c r="E13" i="8"/>
  <c r="D14" i="11" s="1"/>
  <c r="A14" i="11" s="1"/>
  <c r="E43" i="8"/>
  <c r="D44" i="11" s="1"/>
  <c r="A44" i="11" s="1"/>
  <c r="E29" i="8"/>
  <c r="D30" i="11" s="1"/>
  <c r="A30" i="11" s="1"/>
  <c r="E45" i="8"/>
  <c r="D46" i="11" s="1"/>
  <c r="A46" i="11" s="1"/>
  <c r="E25" i="8"/>
  <c r="D26" i="11" s="1"/>
  <c r="A26" i="11" s="1"/>
  <c r="E48" i="8"/>
  <c r="D49" i="11" s="1"/>
  <c r="A49" i="11" s="1"/>
  <c r="E53" i="8"/>
  <c r="D54" i="11" s="1"/>
  <c r="A54" i="11" s="1"/>
  <c r="E69" i="8"/>
  <c r="D70" i="11" s="1"/>
  <c r="A70" i="11" s="1"/>
  <c r="E39" i="8"/>
  <c r="D40" i="11" s="1"/>
  <c r="A40" i="11" s="1"/>
  <c r="E14" i="8"/>
  <c r="D15" i="11" s="1"/>
  <c r="A15" i="11" s="1"/>
  <c r="E42" i="8"/>
  <c r="D43" i="11" s="1"/>
  <c r="A43" i="11" s="1"/>
  <c r="E10" i="8"/>
  <c r="D11" i="11" s="1"/>
  <c r="A11" i="11" s="1"/>
  <c r="E63" i="8"/>
  <c r="D64" i="11" s="1"/>
  <c r="A64" i="11" s="1"/>
  <c r="E78" i="8"/>
  <c r="D79" i="11" s="1"/>
  <c r="A79" i="11" s="1"/>
  <c r="E11" i="8"/>
  <c r="D12" i="11" s="1"/>
  <c r="A12" i="11" s="1"/>
  <c r="E19" i="8"/>
  <c r="D20" i="11" s="1"/>
  <c r="A20" i="11" s="1"/>
  <c r="E16" i="8"/>
  <c r="D17" i="11" s="1"/>
  <c r="A17" i="11" s="1"/>
  <c r="E77" i="8"/>
  <c r="D78" i="11" s="1"/>
  <c r="A78" i="11" s="1"/>
  <c r="E56" i="8"/>
  <c r="D57" i="11" s="1"/>
  <c r="A57" i="11" s="1"/>
  <c r="E34" i="8"/>
  <c r="D35" i="11" s="1"/>
  <c r="A35" i="11" s="1"/>
  <c r="E37" i="8"/>
  <c r="D38" i="11" s="1"/>
  <c r="A38" i="11" s="1"/>
  <c r="E24" i="8"/>
  <c r="D25" i="11" s="1"/>
  <c r="A25" i="11" s="1"/>
  <c r="E62" i="8"/>
  <c r="D63" i="11" s="1"/>
  <c r="A63" i="11" s="1"/>
  <c r="E28" i="8"/>
  <c r="D29" i="11" s="1"/>
  <c r="A29" i="11" s="1"/>
  <c r="E6" i="8"/>
  <c r="D7" i="11" s="1"/>
  <c r="A7" i="11" s="1"/>
  <c r="E68" i="8"/>
  <c r="D69" i="11" s="1"/>
  <c r="A69" i="11" s="1"/>
  <c r="E46" i="8"/>
  <c r="D47" i="11" s="1"/>
  <c r="A47" i="11" s="1"/>
  <c r="E49" i="8"/>
  <c r="D50" i="11" s="1"/>
  <c r="A50" i="11" s="1"/>
  <c r="E72" i="8"/>
  <c r="D73" i="11" s="1"/>
  <c r="A73" i="11" s="1"/>
  <c r="E7" i="8"/>
  <c r="D8" i="11" s="1"/>
  <c r="A8" i="11" s="1"/>
  <c r="E40" i="8"/>
  <c r="D41" i="11" s="1"/>
  <c r="A41" i="11" s="1"/>
  <c r="E18" i="8"/>
  <c r="D19" i="11" s="1"/>
  <c r="A19" i="11" s="1"/>
  <c r="E80" i="8"/>
  <c r="D81" i="11" s="1"/>
  <c r="A81" i="11" s="1"/>
  <c r="E58" i="8"/>
  <c r="D59" i="11" s="1"/>
  <c r="A59" i="11" s="1"/>
  <c r="E61" i="8"/>
  <c r="D62" i="11" s="1"/>
  <c r="A62" i="11" s="1"/>
  <c r="E26" i="8"/>
  <c r="D27" i="11" s="1"/>
  <c r="A27" i="11" s="1"/>
  <c r="E12" i="8"/>
  <c r="D13" i="11" s="1"/>
  <c r="A13" i="11" s="1"/>
  <c r="E52" i="8"/>
  <c r="D53" i="11" s="1"/>
  <c r="A53" i="11" s="1"/>
  <c r="E30" i="8"/>
  <c r="D31" i="11" s="1"/>
  <c r="A31" i="11" s="1"/>
  <c r="E9" i="8"/>
  <c r="D10" i="11" s="1"/>
  <c r="A10" i="11" s="1"/>
  <c r="E70" i="8"/>
  <c r="D71" i="11" s="1"/>
  <c r="A71" i="11" s="1"/>
  <c r="E73" i="8"/>
  <c r="D74" i="11" s="1"/>
  <c r="A74" i="11" s="1"/>
  <c r="E74" i="8"/>
  <c r="D75" i="11" s="1"/>
  <c r="A75" i="11" s="1"/>
  <c r="E55" i="8"/>
  <c r="D56" i="11" s="1"/>
  <c r="A56" i="11" s="1"/>
  <c r="E76" i="8"/>
  <c r="D77" i="11" s="1"/>
  <c r="A77" i="11" s="1"/>
  <c r="E54" i="8"/>
  <c r="D55" i="11" s="1"/>
  <c r="A55" i="11" s="1"/>
  <c r="E33" i="8"/>
  <c r="D34" i="11" s="1"/>
  <c r="A34" i="11" s="1"/>
  <c r="E23" i="8"/>
  <c r="D24" i="11" s="1"/>
  <c r="A24" i="11" s="1"/>
  <c r="E27" i="8"/>
  <c r="D28" i="11" s="1"/>
  <c r="A28" i="11" s="1"/>
  <c r="E79" i="8"/>
  <c r="D80" i="11" s="1"/>
  <c r="A80" i="11" s="1"/>
  <c r="A5" i="11"/>
  <c r="L33" i="10"/>
  <c r="A3" i="11"/>
  <c r="L26" i="10"/>
  <c r="L30" i="10"/>
  <c r="K10" i="10" s="1"/>
  <c r="L23" i="10"/>
  <c r="K9" i="10" s="1"/>
  <c r="D2" i="8"/>
  <c r="D3" i="9"/>
  <c r="A3" i="9" s="1"/>
  <c r="P203" i="3"/>
  <c r="P209" i="3"/>
  <c r="CO35" i="5" a="1"/>
  <c r="CH35" i="5"/>
  <c r="CN35" i="5" s="1"/>
  <c r="CW35" i="5" s="1"/>
  <c r="CN47" i="5"/>
  <c r="CW47" i="5" s="1"/>
  <c r="CN36" i="5"/>
  <c r="CW36" i="5" s="1"/>
  <c r="CN48" i="5"/>
  <c r="CW48" i="5" s="1"/>
  <c r="CN37" i="5"/>
  <c r="CW37" i="5" s="1"/>
  <c r="CN49" i="5"/>
  <c r="CW49" i="5" s="1"/>
  <c r="CN38" i="5"/>
  <c r="CW38" i="5" s="1"/>
  <c r="CN50" i="5"/>
  <c r="CW50" i="5" s="1"/>
  <c r="CN39" i="5"/>
  <c r="CW39" i="5" s="1"/>
  <c r="CN51" i="5"/>
  <c r="CW51" i="5" s="1"/>
  <c r="CN40" i="5"/>
  <c r="CW40" i="5" s="1"/>
  <c r="CN52" i="5"/>
  <c r="CW52" i="5" s="1"/>
  <c r="CN41" i="5"/>
  <c r="CW41" i="5" s="1"/>
  <c r="CN53" i="5"/>
  <c r="CW53" i="5" s="1"/>
  <c r="CN42" i="5"/>
  <c r="CW42" i="5" s="1"/>
  <c r="CN54" i="5"/>
  <c r="CW54" i="5" s="1"/>
  <c r="CN43" i="5"/>
  <c r="CW43" i="5" s="1"/>
  <c r="CN55" i="5"/>
  <c r="CW55" i="5" s="1"/>
  <c r="CN57" i="5"/>
  <c r="CW57" i="5" s="1"/>
  <c r="CN44" i="5"/>
  <c r="CW44" i="5" s="1"/>
  <c r="CN56" i="5"/>
  <c r="CW56" i="5" s="1"/>
  <c r="CN45" i="5"/>
  <c r="CW45" i="5" s="1"/>
  <c r="CN46" i="5"/>
  <c r="CW46" i="5" s="1"/>
  <c r="CN58" i="5"/>
  <c r="CW58" i="5" s="1"/>
  <c r="P208" i="3"/>
  <c r="U436" i="3"/>
  <c r="Q436" i="3"/>
  <c r="U435" i="3"/>
  <c r="Q433" i="3"/>
  <c r="U433" i="3"/>
  <c r="U428" i="3"/>
  <c r="Q432" i="3"/>
  <c r="U432" i="3"/>
  <c r="U434" i="3"/>
  <c r="P205" i="3"/>
  <c r="P204" i="3"/>
  <c r="P207" i="3"/>
  <c r="P206" i="3"/>
  <c r="P202" i="3"/>
  <c r="AI6" i="5" a="1"/>
  <c r="AI6" i="5" s="1"/>
  <c r="Y6" i="5" a="1"/>
  <c r="Y6" i="5" s="1"/>
  <c r="AK6" i="5" a="1"/>
  <c r="AK6" i="5" s="1"/>
  <c r="CM6" i="5" a="1"/>
  <c r="CM6" i="5" s="1"/>
  <c r="W6" i="5" a="1"/>
  <c r="W6" i="5" s="1"/>
  <c r="N6" i="5" a="1"/>
  <c r="V6" i="5" a="1"/>
  <c r="V6" i="5" s="1"/>
  <c r="U6" i="5" a="1"/>
  <c r="U6" i="5" s="1"/>
  <c r="AH6" i="5" s="1" a="1"/>
  <c r="AH6" i="5" s="1"/>
  <c r="AL6" i="5" a="1"/>
  <c r="AL6" i="5" s="1"/>
  <c r="X6" i="5" a="1"/>
  <c r="X6" i="5" s="1"/>
  <c r="CH6" i="5" a="1"/>
  <c r="CH6" i="5" s="1"/>
  <c r="CI6" i="5" s="1"/>
  <c r="CG6" i="5" a="1"/>
  <c r="CG6" i="5" s="1"/>
  <c r="CK18" i="5"/>
  <c r="CK15" i="5"/>
  <c r="CK12" i="5"/>
  <c r="CK7" i="5"/>
  <c r="CK10" i="5"/>
  <c r="CK9" i="5"/>
  <c r="CK11" i="5"/>
  <c r="CK6" i="5"/>
  <c r="CK24" i="5"/>
  <c r="CK13" i="5"/>
  <c r="CK14" i="5"/>
  <c r="CK21" i="5"/>
  <c r="O250" i="3" l="1"/>
  <c r="O248" i="3"/>
  <c r="O245" i="3"/>
  <c r="O252" i="3"/>
  <c r="O249" i="3"/>
  <c r="O255" i="3"/>
  <c r="O243" i="3"/>
  <c r="M35" i="5" a="1"/>
  <c r="M35" i="5" s="1"/>
  <c r="O246" i="3"/>
  <c r="O244" i="3"/>
  <c r="O247" i="3"/>
  <c r="O251" i="3"/>
  <c r="N35" i="5" a="1"/>
  <c r="N35" i="5" s="1"/>
  <c r="U35" i="5" a="1"/>
  <c r="U35" i="5" s="1"/>
  <c r="I400" i="3"/>
  <c r="AV6" i="5" s="1" a="1"/>
  <c r="AV6" i="5" s="1"/>
  <c r="D400" i="3"/>
  <c r="AQ6" i="5" s="1" a="1"/>
  <c r="AQ6" i="5" s="1"/>
  <c r="F400" i="3"/>
  <c r="AS6" i="5" s="1" a="1"/>
  <c r="AS6" i="5" s="1"/>
  <c r="G400" i="3"/>
  <c r="AT6" i="5" s="1" a="1"/>
  <c r="AT6" i="5" s="1"/>
  <c r="H400" i="3"/>
  <c r="AU6" i="5" s="1" a="1"/>
  <c r="AU6" i="5" s="1"/>
  <c r="J400" i="3"/>
  <c r="AW6" i="5" s="1" a="1"/>
  <c r="AW6" i="5" s="1"/>
  <c r="C400" i="3"/>
  <c r="AP6" i="5" s="1" a="1"/>
  <c r="AP6" i="5" s="1"/>
  <c r="CV55" i="5"/>
  <c r="G102" i="11" s="1"/>
  <c r="CU55" i="5"/>
  <c r="H102" i="11" s="1"/>
  <c r="CV49" i="5"/>
  <c r="G96" i="11" s="1"/>
  <c r="CU49" i="5"/>
  <c r="H96" i="11" s="1"/>
  <c r="CV38" i="5"/>
  <c r="G85" i="11" s="1"/>
  <c r="CU38" i="5"/>
  <c r="H85" i="11" s="1"/>
  <c r="CV43" i="5"/>
  <c r="G90" i="11" s="1"/>
  <c r="CU43" i="5"/>
  <c r="H90" i="11" s="1"/>
  <c r="CV37" i="5"/>
  <c r="G84" i="11" s="1"/>
  <c r="CU37" i="5"/>
  <c r="H84" i="11" s="1"/>
  <c r="CV54" i="5"/>
  <c r="G101" i="11" s="1"/>
  <c r="CU54" i="5"/>
  <c r="H101" i="11" s="1"/>
  <c r="CV48" i="5"/>
  <c r="G95" i="11" s="1"/>
  <c r="CU48" i="5"/>
  <c r="H95" i="11" s="1"/>
  <c r="CV42" i="5"/>
  <c r="G89" i="11" s="1"/>
  <c r="CU42" i="5"/>
  <c r="H89" i="11" s="1"/>
  <c r="CV36" i="5"/>
  <c r="G83" i="11" s="1"/>
  <c r="CU36" i="5"/>
  <c r="H83" i="11" s="1"/>
  <c r="CV53" i="5"/>
  <c r="G100" i="11" s="1"/>
  <c r="CU53" i="5"/>
  <c r="H100" i="11" s="1"/>
  <c r="CV47" i="5"/>
  <c r="G94" i="11" s="1"/>
  <c r="CU47" i="5"/>
  <c r="H94" i="11" s="1"/>
  <c r="CV41" i="5"/>
  <c r="G88" i="11" s="1"/>
  <c r="CU41" i="5"/>
  <c r="H88" i="11" s="1"/>
  <c r="CV35" i="5"/>
  <c r="G82" i="11" s="1"/>
  <c r="CU35" i="5"/>
  <c r="H82" i="11" s="1"/>
  <c r="CV46" i="5"/>
  <c r="G93" i="11" s="1"/>
  <c r="CU46" i="5"/>
  <c r="H93" i="11" s="1"/>
  <c r="CU40" i="5"/>
  <c r="H87" i="11" s="1"/>
  <c r="CV40" i="5"/>
  <c r="G87" i="11" s="1"/>
  <c r="CV57" i="5"/>
  <c r="G104" i="11" s="1"/>
  <c r="CU57" i="5"/>
  <c r="H104" i="11" s="1"/>
  <c r="CV45" i="5"/>
  <c r="G92" i="11" s="1"/>
  <c r="CU45" i="5"/>
  <c r="H92" i="11" s="1"/>
  <c r="CV51" i="5"/>
  <c r="G98" i="11" s="1"/>
  <c r="CU51" i="5"/>
  <c r="H98" i="11" s="1"/>
  <c r="CV52" i="5"/>
  <c r="G99" i="11" s="1"/>
  <c r="CU52" i="5"/>
  <c r="H99" i="11" s="1"/>
  <c r="CV56" i="5"/>
  <c r="G103" i="11" s="1"/>
  <c r="CU56" i="5"/>
  <c r="H103" i="11" s="1"/>
  <c r="CV39" i="5"/>
  <c r="G86" i="11" s="1"/>
  <c r="CU39" i="5"/>
  <c r="H86" i="11" s="1"/>
  <c r="CV58" i="5"/>
  <c r="G105" i="11" s="1"/>
  <c r="CU58" i="5"/>
  <c r="H105" i="11" s="1"/>
  <c r="CV44" i="5"/>
  <c r="G91" i="11" s="1"/>
  <c r="CU44" i="5"/>
  <c r="H91" i="11" s="1"/>
  <c r="CV50" i="5"/>
  <c r="G97" i="11" s="1"/>
  <c r="CU50" i="5"/>
  <c r="H97" i="11" s="1"/>
  <c r="D9" i="8"/>
  <c r="D10" i="9" s="1"/>
  <c r="A10" i="9" s="1"/>
  <c r="D21" i="8"/>
  <c r="D22" i="9" s="1"/>
  <c r="A22" i="9" s="1"/>
  <c r="D33" i="8"/>
  <c r="D34" i="9" s="1"/>
  <c r="A34" i="9" s="1"/>
  <c r="D45" i="8"/>
  <c r="D46" i="9" s="1"/>
  <c r="A46" i="9" s="1"/>
  <c r="D57" i="8"/>
  <c r="D58" i="9" s="1"/>
  <c r="A58" i="9" s="1"/>
  <c r="D69" i="8"/>
  <c r="D70" i="9" s="1"/>
  <c r="A70" i="9" s="1"/>
  <c r="D19" i="8"/>
  <c r="D20" i="9" s="1"/>
  <c r="A20" i="9" s="1"/>
  <c r="D55" i="8"/>
  <c r="D56" i="9" s="1"/>
  <c r="A56" i="9" s="1"/>
  <c r="D10" i="8"/>
  <c r="D11" i="9" s="1"/>
  <c r="A11" i="9" s="1"/>
  <c r="D22" i="8"/>
  <c r="D23" i="9" s="1"/>
  <c r="A23" i="9" s="1"/>
  <c r="D34" i="8"/>
  <c r="D35" i="9" s="1"/>
  <c r="A35" i="9" s="1"/>
  <c r="D46" i="8"/>
  <c r="D47" i="9" s="1"/>
  <c r="A47" i="9" s="1"/>
  <c r="D58" i="8"/>
  <c r="D59" i="9" s="1"/>
  <c r="A59" i="9" s="1"/>
  <c r="D70" i="8"/>
  <c r="D71" i="9" s="1"/>
  <c r="A71" i="9" s="1"/>
  <c r="D11" i="8"/>
  <c r="D12" i="9" s="1"/>
  <c r="A12" i="9" s="1"/>
  <c r="D23" i="8"/>
  <c r="D24" i="9" s="1"/>
  <c r="A24" i="9" s="1"/>
  <c r="D35" i="8"/>
  <c r="D36" i="9" s="1"/>
  <c r="A36" i="9" s="1"/>
  <c r="D47" i="8"/>
  <c r="D48" i="9" s="1"/>
  <c r="A48" i="9" s="1"/>
  <c r="D59" i="8"/>
  <c r="D60" i="9" s="1"/>
  <c r="A60" i="9" s="1"/>
  <c r="D71" i="8"/>
  <c r="D72" i="9" s="1"/>
  <c r="A72" i="9" s="1"/>
  <c r="D12" i="8"/>
  <c r="D13" i="9" s="1"/>
  <c r="A13" i="9" s="1"/>
  <c r="D24" i="8"/>
  <c r="D25" i="9" s="1"/>
  <c r="A25" i="9" s="1"/>
  <c r="D36" i="8"/>
  <c r="D37" i="9" s="1"/>
  <c r="A37" i="9" s="1"/>
  <c r="D48" i="8"/>
  <c r="D49" i="9" s="1"/>
  <c r="A49" i="9" s="1"/>
  <c r="D60" i="8"/>
  <c r="D61" i="9" s="1"/>
  <c r="A61" i="9" s="1"/>
  <c r="D72" i="8"/>
  <c r="D73" i="9" s="1"/>
  <c r="A73" i="9" s="1"/>
  <c r="D13" i="8"/>
  <c r="D14" i="9" s="1"/>
  <c r="A14" i="9" s="1"/>
  <c r="D25" i="8"/>
  <c r="D26" i="9" s="1"/>
  <c r="A26" i="9" s="1"/>
  <c r="D37" i="8"/>
  <c r="D38" i="9" s="1"/>
  <c r="A38" i="9" s="1"/>
  <c r="D49" i="8"/>
  <c r="D50" i="9" s="1"/>
  <c r="A50" i="9" s="1"/>
  <c r="D61" i="8"/>
  <c r="D62" i="9" s="1"/>
  <c r="A62" i="9" s="1"/>
  <c r="D73" i="8"/>
  <c r="D74" i="9" s="1"/>
  <c r="A74" i="9" s="1"/>
  <c r="D67" i="8"/>
  <c r="D68" i="9" s="1"/>
  <c r="A68" i="9" s="1"/>
  <c r="D14" i="8"/>
  <c r="D15" i="9" s="1"/>
  <c r="A15" i="9" s="1"/>
  <c r="D26" i="8"/>
  <c r="D27" i="9" s="1"/>
  <c r="A27" i="9" s="1"/>
  <c r="D38" i="8"/>
  <c r="D39" i="9" s="1"/>
  <c r="A39" i="9" s="1"/>
  <c r="D50" i="8"/>
  <c r="D51" i="9" s="1"/>
  <c r="A51" i="9" s="1"/>
  <c r="D62" i="8"/>
  <c r="D63" i="9" s="1"/>
  <c r="A63" i="9" s="1"/>
  <c r="D74" i="8"/>
  <c r="D75" i="9" s="1"/>
  <c r="A75" i="9" s="1"/>
  <c r="D3" i="8"/>
  <c r="D4" i="9" s="1"/>
  <c r="A4" i="9" s="1"/>
  <c r="D15" i="8"/>
  <c r="D16" i="9" s="1"/>
  <c r="A16" i="9" s="1"/>
  <c r="D27" i="8"/>
  <c r="D28" i="9" s="1"/>
  <c r="A28" i="9" s="1"/>
  <c r="D39" i="8"/>
  <c r="D40" i="9" s="1"/>
  <c r="A40" i="9" s="1"/>
  <c r="D51" i="8"/>
  <c r="D52" i="9" s="1"/>
  <c r="A52" i="9" s="1"/>
  <c r="D63" i="8"/>
  <c r="D64" i="9" s="1"/>
  <c r="A64" i="9" s="1"/>
  <c r="D75" i="8"/>
  <c r="D76" i="9" s="1"/>
  <c r="A76" i="9" s="1"/>
  <c r="D31" i="8"/>
  <c r="D32" i="9" s="1"/>
  <c r="A32" i="9" s="1"/>
  <c r="D4" i="8"/>
  <c r="D5" i="9" s="1"/>
  <c r="A5" i="9" s="1"/>
  <c r="D16" i="8"/>
  <c r="D17" i="9" s="1"/>
  <c r="A17" i="9" s="1"/>
  <c r="D28" i="8"/>
  <c r="D29" i="9" s="1"/>
  <c r="A29" i="9" s="1"/>
  <c r="D40" i="8"/>
  <c r="D41" i="9" s="1"/>
  <c r="A41" i="9" s="1"/>
  <c r="D52" i="8"/>
  <c r="D53" i="9" s="1"/>
  <c r="A53" i="9" s="1"/>
  <c r="D64" i="8"/>
  <c r="D65" i="9" s="1"/>
  <c r="A65" i="9" s="1"/>
  <c r="D76" i="8"/>
  <c r="D77" i="9" s="1"/>
  <c r="A77" i="9" s="1"/>
  <c r="D7" i="8"/>
  <c r="D8" i="9" s="1"/>
  <c r="A8" i="9" s="1"/>
  <c r="D5" i="8"/>
  <c r="D6" i="9" s="1"/>
  <c r="A6" i="9" s="1"/>
  <c r="D17" i="8"/>
  <c r="D18" i="9" s="1"/>
  <c r="A18" i="9" s="1"/>
  <c r="D29" i="8"/>
  <c r="D30" i="9" s="1"/>
  <c r="A30" i="9" s="1"/>
  <c r="D41" i="8"/>
  <c r="D42" i="9" s="1"/>
  <c r="A42" i="9" s="1"/>
  <c r="D53" i="8"/>
  <c r="D54" i="9" s="1"/>
  <c r="A54" i="9" s="1"/>
  <c r="D65" i="8"/>
  <c r="D66" i="9" s="1"/>
  <c r="A66" i="9" s="1"/>
  <c r="D77" i="8"/>
  <c r="D78" i="9" s="1"/>
  <c r="A78" i="9" s="1"/>
  <c r="D6" i="8"/>
  <c r="D7" i="9" s="1"/>
  <c r="A7" i="9" s="1"/>
  <c r="D18" i="8"/>
  <c r="D19" i="9" s="1"/>
  <c r="A19" i="9" s="1"/>
  <c r="D30" i="8"/>
  <c r="D31" i="9" s="1"/>
  <c r="A31" i="9" s="1"/>
  <c r="D42" i="8"/>
  <c r="D43" i="9" s="1"/>
  <c r="A43" i="9" s="1"/>
  <c r="D54" i="8"/>
  <c r="D55" i="9" s="1"/>
  <c r="A55" i="9" s="1"/>
  <c r="D66" i="8"/>
  <c r="D67" i="9" s="1"/>
  <c r="A67" i="9" s="1"/>
  <c r="D78" i="8"/>
  <c r="D79" i="9" s="1"/>
  <c r="A79" i="9" s="1"/>
  <c r="D43" i="8"/>
  <c r="D44" i="9" s="1"/>
  <c r="A44" i="9" s="1"/>
  <c r="D8" i="8"/>
  <c r="D9" i="9" s="1"/>
  <c r="A9" i="9" s="1"/>
  <c r="D20" i="8"/>
  <c r="D21" i="9" s="1"/>
  <c r="A21" i="9" s="1"/>
  <c r="D32" i="8"/>
  <c r="D33" i="9" s="1"/>
  <c r="A33" i="9" s="1"/>
  <c r="D44" i="8"/>
  <c r="D45" i="9" s="1"/>
  <c r="A45" i="9" s="1"/>
  <c r="D56" i="8"/>
  <c r="D57" i="9" s="1"/>
  <c r="A57" i="9" s="1"/>
  <c r="D68" i="8"/>
  <c r="D69" i="9" s="1"/>
  <c r="A69" i="9" s="1"/>
  <c r="D80" i="8"/>
  <c r="D81" i="9" s="1"/>
  <c r="A81" i="9" s="1"/>
  <c r="D79" i="8"/>
  <c r="D80" i="9" s="1"/>
  <c r="A80" i="9" s="1"/>
  <c r="CO35" i="5"/>
  <c r="CR35" i="5" s="1"/>
  <c r="D82" i="11" s="1"/>
  <c r="CR41" i="5"/>
  <c r="D88" i="11" s="1"/>
  <c r="CR53" i="5"/>
  <c r="D100" i="11" s="1"/>
  <c r="CR42" i="5"/>
  <c r="D89" i="11" s="1"/>
  <c r="CR54" i="5"/>
  <c r="D101" i="11" s="1"/>
  <c r="CR43" i="5"/>
  <c r="D90" i="11" s="1"/>
  <c r="CR55" i="5"/>
  <c r="D102" i="11" s="1"/>
  <c r="CR44" i="5"/>
  <c r="D91" i="11" s="1"/>
  <c r="CR56" i="5"/>
  <c r="D103" i="11" s="1"/>
  <c r="CR51" i="5"/>
  <c r="D98" i="11" s="1"/>
  <c r="CR45" i="5"/>
  <c r="D92" i="11" s="1"/>
  <c r="CR57" i="5"/>
  <c r="D104" i="11" s="1"/>
  <c r="CR46" i="5"/>
  <c r="D93" i="11" s="1"/>
  <c r="CR58" i="5"/>
  <c r="D105" i="11" s="1"/>
  <c r="CR47" i="5"/>
  <c r="D94" i="11" s="1"/>
  <c r="CR36" i="5"/>
  <c r="D83" i="11" s="1"/>
  <c r="CR48" i="5"/>
  <c r="D95" i="11" s="1"/>
  <c r="CR37" i="5"/>
  <c r="D84" i="11" s="1"/>
  <c r="CR49" i="5"/>
  <c r="D96" i="11" s="1"/>
  <c r="CR38" i="5"/>
  <c r="D85" i="11" s="1"/>
  <c r="CR50" i="5"/>
  <c r="D97" i="11" s="1"/>
  <c r="CR40" i="5"/>
  <c r="D87" i="11" s="1"/>
  <c r="CR52" i="5"/>
  <c r="D99" i="11" s="1"/>
  <c r="CR39" i="5"/>
  <c r="D86" i="11" s="1"/>
  <c r="CT58" i="5"/>
  <c r="CT52" i="5"/>
  <c r="CT46" i="5"/>
  <c r="CT56" i="5"/>
  <c r="CT39" i="5"/>
  <c r="CT44" i="5"/>
  <c r="CT50" i="5"/>
  <c r="CT57" i="5"/>
  <c r="CT55" i="5"/>
  <c r="CT49" i="5"/>
  <c r="CT43" i="5"/>
  <c r="CT37" i="5"/>
  <c r="CT38" i="5"/>
  <c r="CT54" i="5"/>
  <c r="CT48" i="5"/>
  <c r="CT42" i="5"/>
  <c r="CT36" i="5"/>
  <c r="CT53" i="5"/>
  <c r="CT47" i="5"/>
  <c r="CT41" i="5"/>
  <c r="CT35" i="5"/>
  <c r="CT40" i="5"/>
  <c r="CT45" i="5"/>
  <c r="CT51" i="5"/>
  <c r="CO6" i="5" a="1"/>
  <c r="CI23" i="5"/>
  <c r="CI11" i="5"/>
  <c r="CI16" i="5"/>
  <c r="CI22" i="5"/>
  <c r="CI15" i="5"/>
  <c r="CI21" i="5"/>
  <c r="CI17" i="5"/>
  <c r="CI26" i="5"/>
  <c r="CI9" i="5"/>
  <c r="CI12" i="5"/>
  <c r="CI29" i="5"/>
  <c r="CI27" i="5"/>
  <c r="CI10" i="5"/>
  <c r="CI14" i="5"/>
  <c r="CI20" i="5"/>
  <c r="CI28" i="5"/>
  <c r="CI8" i="5"/>
  <c r="CI25" i="5"/>
  <c r="CI19" i="5"/>
  <c r="CI13" i="5"/>
  <c r="CI7" i="5"/>
  <c r="CI24" i="5"/>
  <c r="CI18" i="5"/>
  <c r="N6" i="5"/>
  <c r="CN6" i="5"/>
  <c r="CW6" i="5" s="1"/>
  <c r="CK16" i="5"/>
  <c r="CK27" i="5"/>
  <c r="CK17" i="5"/>
  <c r="CQ35" i="5" l="1"/>
  <c r="I82" i="11" s="1"/>
  <c r="A82" i="11" s="1"/>
  <c r="CQ44" i="5"/>
  <c r="I91" i="11" s="1"/>
  <c r="A91" i="11" s="1"/>
  <c r="CQ49" i="5"/>
  <c r="I96" i="11" s="1"/>
  <c r="A96" i="11" s="1"/>
  <c r="CQ55" i="5"/>
  <c r="I102" i="11" s="1"/>
  <c r="A102" i="11" s="1"/>
  <c r="CQ37" i="5"/>
  <c r="I84" i="11" s="1"/>
  <c r="A84" i="11" s="1"/>
  <c r="CQ43" i="5"/>
  <c r="I90" i="11" s="1"/>
  <c r="A90" i="11" s="1"/>
  <c r="CQ53" i="5"/>
  <c r="I100" i="11" s="1"/>
  <c r="A100" i="11" s="1"/>
  <c r="CQ58" i="5"/>
  <c r="I105" i="11" s="1"/>
  <c r="A105" i="11" s="1"/>
  <c r="CQ42" i="5"/>
  <c r="I89" i="11" s="1"/>
  <c r="A89" i="11" s="1"/>
  <c r="CQ41" i="5"/>
  <c r="I88" i="11" s="1"/>
  <c r="A88" i="11" s="1"/>
  <c r="CQ52" i="5"/>
  <c r="I99" i="11" s="1"/>
  <c r="A99" i="11" s="1"/>
  <c r="CQ57" i="5"/>
  <c r="I104" i="11" s="1"/>
  <c r="A104" i="11" s="1"/>
  <c r="CQ40" i="5"/>
  <c r="I87" i="11" s="1"/>
  <c r="A87" i="11" s="1"/>
  <c r="CQ48" i="5"/>
  <c r="I95" i="11" s="1"/>
  <c r="A95" i="11" s="1"/>
  <c r="CQ36" i="5"/>
  <c r="I83" i="11" s="1"/>
  <c r="A83" i="11" s="1"/>
  <c r="CQ47" i="5"/>
  <c r="I94" i="11" s="1"/>
  <c r="A94" i="11" s="1"/>
  <c r="CQ45" i="5"/>
  <c r="I92" i="11" s="1"/>
  <c r="A92" i="11" s="1"/>
  <c r="CQ39" i="5"/>
  <c r="I86" i="11" s="1"/>
  <c r="A86" i="11" s="1"/>
  <c r="CQ54" i="5"/>
  <c r="I101" i="11" s="1"/>
  <c r="A101" i="11" s="1"/>
  <c r="CQ46" i="5"/>
  <c r="I93" i="11" s="1"/>
  <c r="A93" i="11" s="1"/>
  <c r="CQ50" i="5"/>
  <c r="I97" i="11" s="1"/>
  <c r="A97" i="11" s="1"/>
  <c r="CQ56" i="5"/>
  <c r="I103" i="11" s="1"/>
  <c r="A103" i="11" s="1"/>
  <c r="CQ38" i="5"/>
  <c r="I85" i="11" s="1"/>
  <c r="A85" i="11" s="1"/>
  <c r="M6" i="5" a="1"/>
  <c r="M6" i="5" s="1"/>
  <c r="CQ6" i="5" s="1"/>
  <c r="I82" i="9" s="1"/>
  <c r="CQ51" i="5"/>
  <c r="I98" i="11" s="1"/>
  <c r="CV6" i="5"/>
  <c r="G82" i="9" s="1"/>
  <c r="CU6" i="5"/>
  <c r="H82" i="9" s="1"/>
  <c r="CO6" i="5"/>
  <c r="CR6" i="5" s="1"/>
  <c r="D82" i="9" s="1"/>
  <c r="CR7" i="5"/>
  <c r="D83" i="9" s="1"/>
  <c r="CR19" i="5"/>
  <c r="D95" i="9" s="1"/>
  <c r="CR8" i="5"/>
  <c r="D84" i="9" s="1"/>
  <c r="CR20" i="5"/>
  <c r="D96" i="9" s="1"/>
  <c r="CR9" i="5"/>
  <c r="D85" i="9" s="1"/>
  <c r="CR21" i="5"/>
  <c r="D97" i="9" s="1"/>
  <c r="CR10" i="5"/>
  <c r="D86" i="9" s="1"/>
  <c r="CR22" i="5"/>
  <c r="D98" i="9" s="1"/>
  <c r="CR17" i="5"/>
  <c r="D93" i="9" s="1"/>
  <c r="CR11" i="5"/>
  <c r="D87" i="9" s="1"/>
  <c r="CR23" i="5"/>
  <c r="D99" i="9" s="1"/>
  <c r="CR12" i="5"/>
  <c r="D88" i="9" s="1"/>
  <c r="CR24" i="5"/>
  <c r="D100" i="9" s="1"/>
  <c r="CR29" i="5"/>
  <c r="D105" i="9" s="1"/>
  <c r="CR13" i="5"/>
  <c r="D89" i="9" s="1"/>
  <c r="CR25" i="5"/>
  <c r="D101" i="9" s="1"/>
  <c r="CR14" i="5"/>
  <c r="D90" i="9" s="1"/>
  <c r="CR26" i="5"/>
  <c r="D102" i="9" s="1"/>
  <c r="CR15" i="5"/>
  <c r="D91" i="9" s="1"/>
  <c r="CR27" i="5"/>
  <c r="D103" i="9" s="1"/>
  <c r="CR16" i="5"/>
  <c r="D92" i="9" s="1"/>
  <c r="CR28" i="5"/>
  <c r="D104" i="9" s="1"/>
  <c r="CR18" i="5"/>
  <c r="D94" i="9" s="1"/>
  <c r="CT33" i="5"/>
  <c r="CT6" i="5"/>
  <c r="CN10" i="5"/>
  <c r="CW10" i="5" s="1"/>
  <c r="CN24" i="5"/>
  <c r="CW24" i="5" s="1"/>
  <c r="CN12" i="5"/>
  <c r="CW12" i="5" s="1"/>
  <c r="CN13" i="5"/>
  <c r="CW13" i="5" s="1"/>
  <c r="CN21" i="5"/>
  <c r="CW21" i="5" s="1"/>
  <c r="CN8" i="5"/>
  <c r="CW8" i="5" s="1"/>
  <c r="CN15" i="5"/>
  <c r="CW15" i="5" s="1"/>
  <c r="CN14" i="5"/>
  <c r="CW14" i="5" s="1"/>
  <c r="CN11" i="5"/>
  <c r="CW11" i="5" s="1"/>
  <c r="CN7" i="5"/>
  <c r="CW7" i="5" s="1"/>
  <c r="CN9" i="5"/>
  <c r="CW9" i="5" s="1"/>
  <c r="CN18" i="5"/>
  <c r="CW18" i="5" s="1"/>
  <c r="CN16" i="5"/>
  <c r="CW16" i="5" s="1"/>
  <c r="CN27" i="5"/>
  <c r="CW27" i="5" s="1"/>
  <c r="CK19" i="5"/>
  <c r="CN17" i="5"/>
  <c r="CW17" i="5" s="1"/>
  <c r="CK20" i="5"/>
  <c r="CQ7" i="5" l="1"/>
  <c r="I83" i="9" s="1"/>
  <c r="CQ11" i="5"/>
  <c r="I87" i="9" s="1"/>
  <c r="CQ24" i="5"/>
  <c r="I100" i="9" s="1"/>
  <c r="CQ9" i="5"/>
  <c r="I85" i="9" s="1"/>
  <c r="CQ25" i="5"/>
  <c r="I101" i="9" s="1"/>
  <c r="CQ23" i="5"/>
  <c r="I99" i="9" s="1"/>
  <c r="CQ16" i="5"/>
  <c r="I92" i="9" s="1"/>
  <c r="CQ22" i="5"/>
  <c r="I98" i="9" s="1"/>
  <c r="CQ12" i="5"/>
  <c r="I88" i="9" s="1"/>
  <c r="CQ21" i="5"/>
  <c r="I97" i="9" s="1"/>
  <c r="CQ15" i="5"/>
  <c r="I91" i="9" s="1"/>
  <c r="CQ26" i="5"/>
  <c r="I102" i="9" s="1"/>
  <c r="CQ17" i="5"/>
  <c r="I93" i="9" s="1"/>
  <c r="CQ18" i="5"/>
  <c r="I94" i="9" s="1"/>
  <c r="CQ13" i="5"/>
  <c r="I89" i="9" s="1"/>
  <c r="CQ14" i="5"/>
  <c r="I90" i="9" s="1"/>
  <c r="CQ27" i="5"/>
  <c r="I103" i="9" s="1"/>
  <c r="CQ29" i="5"/>
  <c r="I105" i="9" s="1"/>
  <c r="CQ10" i="5"/>
  <c r="I86" i="9" s="1"/>
  <c r="CQ19" i="5"/>
  <c r="I95" i="9" s="1"/>
  <c r="CQ20" i="5"/>
  <c r="I96" i="9" s="1"/>
  <c r="CQ28" i="5"/>
  <c r="I104" i="9" s="1"/>
  <c r="CQ8" i="5"/>
  <c r="I84" i="9" s="1"/>
  <c r="A82" i="9"/>
  <c r="CV14" i="5"/>
  <c r="G90" i="9" s="1"/>
  <c r="CU14" i="5"/>
  <c r="H90" i="9" s="1"/>
  <c r="CV8" i="5"/>
  <c r="G84" i="9" s="1"/>
  <c r="CU8" i="5"/>
  <c r="H84" i="9" s="1"/>
  <c r="CV21" i="5"/>
  <c r="G97" i="9" s="1"/>
  <c r="CU21" i="5"/>
  <c r="H97" i="9" s="1"/>
  <c r="CV13" i="5"/>
  <c r="G89" i="9" s="1"/>
  <c r="CU13" i="5"/>
  <c r="H89" i="9" s="1"/>
  <c r="CV15" i="5"/>
  <c r="G91" i="9" s="1"/>
  <c r="CU15" i="5"/>
  <c r="H91" i="9" s="1"/>
  <c r="CV17" i="5"/>
  <c r="G93" i="9" s="1"/>
  <c r="CU17" i="5"/>
  <c r="H93" i="9" s="1"/>
  <c r="CV12" i="5"/>
  <c r="G88" i="9" s="1"/>
  <c r="CU12" i="5"/>
  <c r="H88" i="9" s="1"/>
  <c r="CV27" i="5"/>
  <c r="G103" i="9" s="1"/>
  <c r="CU27" i="5"/>
  <c r="H103" i="9" s="1"/>
  <c r="CV24" i="5"/>
  <c r="G100" i="9" s="1"/>
  <c r="CU24" i="5"/>
  <c r="H100" i="9" s="1"/>
  <c r="CV16" i="5"/>
  <c r="G92" i="9" s="1"/>
  <c r="CU16" i="5"/>
  <c r="H92" i="9" s="1"/>
  <c r="CV10" i="5"/>
  <c r="G86" i="9" s="1"/>
  <c r="CU10" i="5"/>
  <c r="H86" i="9" s="1"/>
  <c r="CV18" i="5"/>
  <c r="G94" i="9" s="1"/>
  <c r="CU18" i="5"/>
  <c r="H94" i="9" s="1"/>
  <c r="CV9" i="5"/>
  <c r="G85" i="9" s="1"/>
  <c r="CU9" i="5"/>
  <c r="H85" i="9" s="1"/>
  <c r="CV7" i="5"/>
  <c r="G83" i="9" s="1"/>
  <c r="CU7" i="5"/>
  <c r="H83" i="9" s="1"/>
  <c r="CU11" i="5"/>
  <c r="H87" i="9" s="1"/>
  <c r="CV11" i="5"/>
  <c r="G87" i="9" s="1"/>
  <c r="CT11" i="5"/>
  <c r="CT16" i="5"/>
  <c r="CT18" i="5"/>
  <c r="CT15" i="5"/>
  <c r="CT17" i="5"/>
  <c r="CT13" i="5"/>
  <c r="CT10" i="5"/>
  <c r="CT9" i="5"/>
  <c r="CT7" i="5"/>
  <c r="CT14" i="5"/>
  <c r="CT8" i="5"/>
  <c r="CT21" i="5"/>
  <c r="CT12" i="5"/>
  <c r="CT27" i="5"/>
  <c r="CT24" i="5"/>
  <c r="CN20" i="5"/>
  <c r="CW20" i="5" s="1"/>
  <c r="CN19" i="5"/>
  <c r="CW19" i="5" s="1"/>
  <c r="CK22" i="5"/>
  <c r="CK23" i="5"/>
  <c r="A94" i="9" l="1"/>
  <c r="A93" i="9"/>
  <c r="A87" i="9"/>
  <c r="A103" i="9"/>
  <c r="A92" i="9"/>
  <c r="A89" i="9"/>
  <c r="A85" i="9"/>
  <c r="A88" i="9"/>
  <c r="A90" i="9"/>
  <c r="A86" i="9"/>
  <c r="A91" i="9"/>
  <c r="A97" i="9"/>
  <c r="A83" i="9"/>
  <c r="A84" i="9"/>
  <c r="A100" i="9"/>
  <c r="CV19" i="5"/>
  <c r="G95" i="9" s="1"/>
  <c r="CU19" i="5"/>
  <c r="H95" i="9" s="1"/>
  <c r="CV20" i="5"/>
  <c r="G96" i="9" s="1"/>
  <c r="CU20" i="5"/>
  <c r="H96" i="9" s="1"/>
  <c r="CT19" i="5"/>
  <c r="CT20" i="5"/>
  <c r="CN23" i="5"/>
  <c r="CW23" i="5" s="1"/>
  <c r="CN22" i="5"/>
  <c r="CW22" i="5" s="1"/>
  <c r="CK26" i="5"/>
  <c r="CK25" i="5"/>
  <c r="A95" i="9" l="1"/>
  <c r="A96" i="9"/>
  <c r="CU23" i="5"/>
  <c r="H99" i="9" s="1"/>
  <c r="CV23" i="5"/>
  <c r="G99" i="9" s="1"/>
  <c r="CV22" i="5"/>
  <c r="G98" i="9" s="1"/>
  <c r="CU22" i="5"/>
  <c r="H98" i="9" s="1"/>
  <c r="CT23" i="5"/>
  <c r="CT22" i="5"/>
  <c r="CN26" i="5"/>
  <c r="CW26" i="5" s="1"/>
  <c r="CN25" i="5"/>
  <c r="CW25" i="5" s="1"/>
  <c r="CK29" i="5"/>
  <c r="CK28" i="5"/>
  <c r="A98" i="9" l="1"/>
  <c r="A99" i="9"/>
  <c r="CV25" i="5"/>
  <c r="G101" i="9" s="1"/>
  <c r="CU25" i="5"/>
  <c r="H101" i="9" s="1"/>
  <c r="CV26" i="5"/>
  <c r="G102" i="9" s="1"/>
  <c r="CU26" i="5"/>
  <c r="H102" i="9" s="1"/>
  <c r="CT25" i="5"/>
  <c r="CT26" i="5"/>
  <c r="CN29" i="5"/>
  <c r="CW29" i="5" s="1"/>
  <c r="CN28" i="5"/>
  <c r="CW28" i="5" s="1"/>
  <c r="A102" i="9" l="1"/>
  <c r="A101" i="9"/>
  <c r="CV28" i="5"/>
  <c r="G104" i="9" s="1"/>
  <c r="CU28" i="5"/>
  <c r="H104" i="9" s="1"/>
  <c r="CV29" i="5"/>
  <c r="G105" i="9" s="1"/>
  <c r="CU29" i="5"/>
  <c r="H105" i="9" s="1"/>
  <c r="CT28" i="5"/>
  <c r="CT29" i="5"/>
  <c r="A105" i="9" l="1"/>
  <c r="A104" i="9"/>
  <c r="CT4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<sst xmlns="http://schemas.openxmlformats.org/spreadsheetml/2006/main" count="2794" uniqueCount="850">
  <si>
    <t xml:space="preserve"> 1 TEXT 1 /Zng-1_32_125634-Schwarz</t>
  </si>
  <si>
    <t xml:space="preserve"> 2 CATE 1 /TBH-CATA-SUPP-S&amp;C-FP-001</t>
  </si>
  <si>
    <t xml:space="preserve"> 3 CATE 2 /TBH-CATA-SUPP-S&amp;C-FP-002</t>
  </si>
  <si>
    <t xml:space="preserve"> 4 CATE 3 /TBH-CATA-SUPP-S&amp;C-FP-003</t>
  </si>
  <si>
    <t xml:space="preserve"> 5 CATE 4 /TBH-CATA-SUPP-S&amp;C-FP-004</t>
  </si>
  <si>
    <t xml:space="preserve"> 6 CATE 5 /TBH-CATA-SUPP-S&amp;C-SS-001</t>
  </si>
  <si>
    <t xml:space="preserve"> 7 CATE 6 /TBH-CATA-SUPP-S&amp;C-SS-002</t>
  </si>
  <si>
    <t xml:space="preserve"> 8 CATE 7 /TBH-CATA-SUPP-S&amp;C-SS-003</t>
  </si>
  <si>
    <t xml:space="preserve"> 9 CATE 8 /TBH-CATA-SUPP-S&amp;C-SS-004</t>
  </si>
  <si>
    <t>10 CATE 9 /TBH-CATA-SUPP-S&amp;C-GS-001</t>
  </si>
  <si>
    <t>11 CATE 10/TBH-CATA-SUPP-S&amp;C-GS-002</t>
  </si>
  <si>
    <t>12 CATE 11/TBH-CATA-SUPP-S&amp;C-GS-003</t>
  </si>
  <si>
    <t>13 CATE 12/TBH-CATA-SUPP-S&amp;C-GS-004</t>
  </si>
  <si>
    <t>14 CATE 13/TBH-CATA-SUPP-S&amp;C-PFP-001</t>
  </si>
  <si>
    <t>15 CATE 14/TBH-CATA-SUPP-S&amp;C-PFP-002</t>
  </si>
  <si>
    <t>16 CATE 15/TBH-CATA-SUPP-S&amp;C-PFP-003</t>
  </si>
  <si>
    <t>17 CATE 16/TBH-CATA-SUPP-S&amp;C-PFP-004</t>
  </si>
  <si>
    <t>fix point</t>
  </si>
  <si>
    <t>slide support</t>
  </si>
  <si>
    <t xml:space="preserve">guided slide support </t>
  </si>
  <si>
    <t>partial fix point</t>
  </si>
  <si>
    <t>FP</t>
  </si>
  <si>
    <t>SS</t>
  </si>
  <si>
    <t>GS</t>
  </si>
  <si>
    <t>PFP</t>
  </si>
  <si>
    <t>Black</t>
  </si>
  <si>
    <t>White-Light</t>
  </si>
  <si>
    <t>White-Heavy</t>
  </si>
  <si>
    <t>/Zng-1_31_084160-D+K_light</t>
  </si>
  <si>
    <t>/Zng-1_31_084150-D+K_heavy</t>
  </si>
  <si>
    <t>/TBH-CATA-SUPP-E&amp;C</t>
  </si>
  <si>
    <t>Company</t>
  </si>
  <si>
    <t>E</t>
  </si>
  <si>
    <t>U</t>
  </si>
  <si>
    <t>C</t>
  </si>
  <si>
    <t>-</t>
  </si>
  <si>
    <t>Delimeter</t>
  </si>
  <si>
    <t>V</t>
  </si>
  <si>
    <t>ATTA</t>
  </si>
  <si>
    <t>Note 1</t>
  </si>
  <si>
    <t>X</t>
  </si>
  <si>
    <t>Standard
Inital</t>
  </si>
  <si>
    <t>Note 2</t>
  </si>
  <si>
    <t>undefined
Connection</t>
  </si>
  <si>
    <t>undefined
Pressure</t>
  </si>
  <si>
    <t>Note 3</t>
  </si>
  <si>
    <t>DN1</t>
  </si>
  <si>
    <t>nominal
Dia 1</t>
  </si>
  <si>
    <t>nominal
Dia 2</t>
  </si>
  <si>
    <t>DN2</t>
  </si>
  <si>
    <t>no wall 
thickness</t>
  </si>
  <si>
    <t>Page 394</t>
  </si>
  <si>
    <t>Page 399</t>
  </si>
  <si>
    <t>Page 401</t>
  </si>
  <si>
    <t>Standard that defines the part</t>
  </si>
  <si>
    <t>Attachment special types</t>
  </si>
  <si>
    <t>EuC or who?</t>
  </si>
  <si>
    <t>Descriptor (Light, heavy or C-steel tubes)</t>
  </si>
  <si>
    <t>1/2”</t>
  </si>
  <si>
    <t>x</t>
  </si>
  <si>
    <t>M8</t>
  </si>
  <si>
    <t>3/4”</t>
  </si>
  <si>
    <t>1”</t>
  </si>
  <si>
    <t>2”</t>
  </si>
  <si>
    <t>M10</t>
  </si>
  <si>
    <t>3”</t>
  </si>
  <si>
    <t>4”</t>
  </si>
  <si>
    <t>M12</t>
  </si>
  <si>
    <t>5”</t>
  </si>
  <si>
    <t>6”</t>
  </si>
  <si>
    <t>8”</t>
  </si>
  <si>
    <t>10”</t>
  </si>
  <si>
    <t>M16</t>
  </si>
  <si>
    <t>12”</t>
  </si>
  <si>
    <t>14”</t>
  </si>
  <si>
    <t>16”</t>
  </si>
  <si>
    <t>18”</t>
  </si>
  <si>
    <t>20”</t>
  </si>
  <si>
    <t>24”</t>
  </si>
  <si>
    <t>M20</t>
  </si>
  <si>
    <t>28”</t>
  </si>
  <si>
    <t>32”</t>
  </si>
  <si>
    <t>M24</t>
  </si>
  <si>
    <t>36”</t>
  </si>
  <si>
    <t>40”</t>
  </si>
  <si>
    <t>48”</t>
  </si>
  <si>
    <t>1¼”</t>
  </si>
  <si>
    <t>1½”</t>
  </si>
  <si>
    <t>2½”</t>
  </si>
  <si>
    <t>DN</t>
  </si>
  <si>
    <t>IN</t>
  </si>
  <si>
    <t>OD</t>
  </si>
  <si>
    <t>A</t>
  </si>
  <si>
    <t>D2</t>
  </si>
  <si>
    <t>f</t>
  </si>
  <si>
    <t>r</t>
  </si>
  <si>
    <t>B</t>
  </si>
  <si>
    <t>Bolt</t>
  </si>
  <si>
    <t>BLEN</t>
  </si>
  <si>
    <t>Torque</t>
  </si>
  <si>
    <t>M30</t>
  </si>
  <si>
    <t>Rohrschelle_leicht</t>
  </si>
  <si>
    <t>Rohrschelle_schwer</t>
  </si>
  <si>
    <t>Flachnocken</t>
  </si>
  <si>
    <t>S</t>
  </si>
  <si>
    <t>leicht_STK</t>
  </si>
  <si>
    <t>schwer_STK</t>
  </si>
  <si>
    <t>x2</t>
  </si>
  <si>
    <t>a2</t>
  </si>
  <si>
    <t>W</t>
  </si>
  <si>
    <t>H</t>
  </si>
  <si>
    <t>Axialstopp</t>
  </si>
  <si>
    <t>sC</t>
  </si>
  <si>
    <t>CL</t>
  </si>
  <si>
    <t>D</t>
  </si>
  <si>
    <t>T</t>
  </si>
  <si>
    <t>GB_GS</t>
  </si>
  <si>
    <t>SB_SS</t>
  </si>
  <si>
    <t>L</t>
  </si>
  <si>
    <t>M</t>
  </si>
  <si>
    <t>N</t>
  </si>
  <si>
    <t>P</t>
  </si>
  <si>
    <t>Ausf</t>
  </si>
  <si>
    <t>Prim_Supp_leicht_Csteel</t>
  </si>
  <si>
    <t>Prim_Supp_schwer_Csteel</t>
  </si>
  <si>
    <t>NAME</t>
  </si>
  <si>
    <t>PA1</t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</si>
  <si>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</si>
  <si>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</si>
  <si>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</si>
  <si>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</si>
  <si>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</si>
  <si>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</si>
  <si>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</si>
  <si>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</si>
  <si>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</si>
  <si>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</si>
  <si>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</si>
  <si>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PA13</t>
  </si>
  <si>
    <t>PA14</t>
  </si>
  <si>
    <t>PA15</t>
  </si>
  <si>
    <t>PA16</t>
  </si>
  <si>
    <t>PA17</t>
  </si>
  <si>
    <t>PA18</t>
  </si>
  <si>
    <t>PA19</t>
  </si>
  <si>
    <t>PA20</t>
  </si>
  <si>
    <t>PA21</t>
  </si>
  <si>
    <t>PA22</t>
  </si>
  <si>
    <t>PA23</t>
  </si>
  <si>
    <t>PA24</t>
  </si>
  <si>
    <t>PA25</t>
  </si>
  <si>
    <t>PA26</t>
  </si>
  <si>
    <t>PA27</t>
  </si>
  <si>
    <t>PA28</t>
  </si>
  <si>
    <t>PA29</t>
  </si>
  <si>
    <t>PA30</t>
  </si>
  <si>
    <t>PA31</t>
  </si>
  <si>
    <t>PA32</t>
  </si>
  <si>
    <t>PA33</t>
  </si>
  <si>
    <t>PA34</t>
  </si>
  <si>
    <t>PA35</t>
  </si>
  <si>
    <t>PA36</t>
  </si>
  <si>
    <t>PA37</t>
  </si>
  <si>
    <t>PA38</t>
  </si>
  <si>
    <t>PA39</t>
  </si>
  <si>
    <t>PA40</t>
  </si>
  <si>
    <t>PA41</t>
  </si>
  <si>
    <t>PA42</t>
  </si>
  <si>
    <t>PA43</t>
  </si>
  <si>
    <t>PA44</t>
  </si>
  <si>
    <t>PA45</t>
  </si>
  <si>
    <t>PA46</t>
  </si>
  <si>
    <t>PA47</t>
  </si>
  <si>
    <t>PA48</t>
  </si>
  <si>
    <t>PA49</t>
  </si>
  <si>
    <t>PA50</t>
  </si>
  <si>
    <t>PA51</t>
  </si>
  <si>
    <t>PA52</t>
  </si>
  <si>
    <t>PA53</t>
  </si>
  <si>
    <t>PA54</t>
  </si>
  <si>
    <t>PA55</t>
  </si>
  <si>
    <t>PA56</t>
  </si>
  <si>
    <t>PA57</t>
  </si>
  <si>
    <t>PA58</t>
  </si>
  <si>
    <t>PA59</t>
  </si>
  <si>
    <t>PA60</t>
  </si>
  <si>
    <t>PA61</t>
  </si>
  <si>
    <t>PA62</t>
  </si>
  <si>
    <t>PA63</t>
  </si>
  <si>
    <t>PA64</t>
  </si>
  <si>
    <t>PA65</t>
  </si>
  <si>
    <t>PA66</t>
  </si>
  <si>
    <t>PA67</t>
  </si>
  <si>
    <t>PA68</t>
  </si>
  <si>
    <t>PA69</t>
  </si>
  <si>
    <t>PA70</t>
  </si>
  <si>
    <t>PA71</t>
  </si>
  <si>
    <t>PA72</t>
  </si>
  <si>
    <t>PA73</t>
  </si>
  <si>
    <t>PA74</t>
  </si>
  <si>
    <t>PA75</t>
  </si>
  <si>
    <t>PA76</t>
  </si>
  <si>
    <t>PA77</t>
  </si>
  <si>
    <t>PA78</t>
  </si>
  <si>
    <t>ATT</t>
  </si>
  <si>
    <t>MASS - Total Weight in [kg]</t>
  </si>
  <si>
    <t>CLAA - Clamp outer witdh (A+2xC)</t>
  </si>
  <si>
    <t>CLWI - Clamp sheet swidth (B)</t>
  </si>
  <si>
    <t>CLDZ - Clamps clearance (f)</t>
  </si>
  <si>
    <t>CLDX - Clamps - stiffplate dist.(Z)</t>
  </si>
  <si>
    <t>CANG - Angle of clamp ori</t>
  </si>
  <si>
    <t>unset</t>
  </si>
  <si>
    <t>FDIE - Foot biggest height (E)</t>
  </si>
  <si>
    <t>FDIL - Foot length (L)</t>
  </si>
  <si>
    <t>GBBW - Guide border bottom width</t>
  </si>
  <si>
    <t>GBIH - Guide border inner height</t>
  </si>
  <si>
    <t>FCLL - Fixed point cleat length x</t>
  </si>
  <si>
    <t>FCLW - Fixed point cleat width y</t>
  </si>
  <si>
    <t>WELA - Prefered Weldsize A</t>
  </si>
  <si>
    <t>DNIN</t>
  </si>
  <si>
    <t>DNOU</t>
  </si>
  <si>
    <t>ODIN</t>
  </si>
  <si>
    <t>ODOU</t>
  </si>
  <si>
    <t>COIN</t>
  </si>
  <si>
    <t>COOU</t>
  </si>
  <si>
    <t>WTIN</t>
  </si>
  <si>
    <t>WTOU</t>
  </si>
  <si>
    <t>MASS</t>
  </si>
  <si>
    <t>s_Blech</t>
  </si>
  <si>
    <t>Standard</t>
  </si>
  <si>
    <t>Clamp</t>
  </si>
  <si>
    <t>C+A+C</t>
  </si>
  <si>
    <t>s/sC</t>
  </si>
  <si>
    <t>Coco</t>
  </si>
  <si>
    <t>Null</t>
  </si>
  <si>
    <t>Angle</t>
  </si>
  <si>
    <t>Foot</t>
  </si>
  <si>
    <t>Schuh_Laenge</t>
  </si>
  <si>
    <t>Leicht</t>
  </si>
  <si>
    <t>Schwer</t>
  </si>
  <si>
    <t>iT</t>
  </si>
  <si>
    <t>iT…inv.T-Träger</t>
  </si>
  <si>
    <t>U_height</t>
  </si>
  <si>
    <t>Ext</t>
  </si>
  <si>
    <t>orange…aus Zng.</t>
  </si>
  <si>
    <t>2U</t>
  </si>
  <si>
    <t>2U…doppel U-Profil</t>
  </si>
  <si>
    <t>2Uv…doppel U+Verstärk.</t>
  </si>
  <si>
    <t>2Ue…doppel U mit Überstand</t>
  </si>
  <si>
    <t>2Uev…doppel U mit Überstand + Verstärk</t>
  </si>
  <si>
    <t>2Uv</t>
  </si>
  <si>
    <t>2Ue</t>
  </si>
  <si>
    <t>2Uev</t>
  </si>
  <si>
    <t>Clamp inset</t>
  </si>
  <si>
    <t>Schelle_Abs_vom_Rand</t>
  </si>
  <si>
    <t>D_K</t>
  </si>
  <si>
    <t>Guide</t>
  </si>
  <si>
    <t>GBBW</t>
  </si>
  <si>
    <t>GBIH</t>
  </si>
  <si>
    <t>GMAS</t>
  </si>
  <si>
    <t>GBWI</t>
  </si>
  <si>
    <t>GBHE</t>
  </si>
  <si>
    <t>GBLE</t>
  </si>
  <si>
    <t>GBTH</t>
  </si>
  <si>
    <t>GBDS</t>
  </si>
  <si>
    <t>BWID</t>
  </si>
  <si>
    <t>CLEA</t>
  </si>
  <si>
    <t>LTHK - H thickness</t>
  </si>
  <si>
    <t>LWID - W width</t>
  </si>
  <si>
    <t>FOLH - Foot - outer L height</t>
  </si>
  <si>
    <t>FSLT - Foot - stiff. L thickness</t>
  </si>
  <si>
    <t>Stiffener</t>
  </si>
  <si>
    <t>Def Beam</t>
  </si>
  <si>
    <t>Def Clea</t>
  </si>
  <si>
    <t>W in Y</t>
  </si>
  <si>
    <t>??</t>
  </si>
  <si>
    <t>THK in Z</t>
  </si>
  <si>
    <t>THK</t>
  </si>
  <si>
    <t>Length</t>
  </si>
  <si>
    <t>More THK</t>
  </si>
  <si>
    <t>Axialstopp_DK</t>
  </si>
  <si>
    <t>L_DK</t>
  </si>
  <si>
    <t>Flachnocken_DK</t>
  </si>
  <si>
    <t>DK_STK</t>
  </si>
  <si>
    <t>Angle_LH</t>
  </si>
  <si>
    <t>Angle_DK</t>
  </si>
  <si>
    <t>THK_PLT</t>
  </si>
  <si>
    <t>THK_SHOE</t>
  </si>
  <si>
    <t>L-STEEL</t>
  </si>
  <si>
    <t>Width of Clamp Bolt Plate</t>
  </si>
  <si>
    <t>Clearance between Bolt Plate</t>
  </si>
  <si>
    <t>Thickness of Bolt Plate</t>
  </si>
  <si>
    <t>Required Lenght of Bolt excl Nuts and Washer</t>
  </si>
  <si>
    <t>Weld</t>
  </si>
  <si>
    <t>DK</t>
  </si>
  <si>
    <t>ODIN - Actual diameter inlet</t>
  </si>
  <si>
    <t>ODOU - Actual diameter outlet</t>
  </si>
  <si>
    <t>COIN - Component Connection Inlet</t>
  </si>
  <si>
    <t>COOU - Component Connection Outlet</t>
  </si>
  <si>
    <t>WTIN - wall thickness inlet</t>
  </si>
  <si>
    <t>WTOU - wall thickness outlet</t>
  </si>
  <si>
    <t>CLDI - Clamp inner diameter</t>
  </si>
  <si>
    <t>CLTH - Clamp wall thickness (sC)</t>
  </si>
  <si>
    <t>CLHE - Clamp - clearance to bottom (BoP-sC)</t>
  </si>
  <si>
    <t>HEIG - Centerline (CL)</t>
  </si>
  <si>
    <t>Bolt_Plate</t>
  </si>
  <si>
    <t>Sliding_Plate</t>
  </si>
  <si>
    <t>Bolt Plate for custom Clamps</t>
  </si>
  <si>
    <t>FDIO - Clamp inset from end of Shoe</t>
  </si>
  <si>
    <t>GBWI - Guide total width</t>
  </si>
  <si>
    <t>GBHE - Guide total height</t>
  </si>
  <si>
    <t>GBDS - Guide to support clearance</t>
  </si>
  <si>
    <t>FCLH - Fixed point cleat thickness z</t>
  </si>
  <si>
    <t>BWID - Secondary Supp.Beam default width</t>
  </si>
  <si>
    <t>CLEA - Clearance Stop to Beam</t>
  </si>
  <si>
    <t>LLEN - L length of Axial stop</t>
  </si>
  <si>
    <t>FDIB - Foot width (A) or Dist betw. L-Steel</t>
  </si>
  <si>
    <t>End of PARA</t>
  </si>
  <si>
    <t>Finding PTSE/GMSE</t>
  </si>
  <si>
    <t>Amount of Cleats</t>
  </si>
  <si>
    <t>Kind of shoe</t>
  </si>
  <si>
    <t>Single or double</t>
  </si>
  <si>
    <t>Has Stiffener</t>
  </si>
  <si>
    <t>only DK</t>
  </si>
  <si>
    <t>THK_Schwer</t>
  </si>
  <si>
    <t>FOLL - Foot - outer L width or U-Baseplate extension</t>
  </si>
  <si>
    <t>FSLO - Foot - stiff. End inset</t>
  </si>
  <si>
    <t>FSLL - Foot - stiff. Offset from L-bot</t>
  </si>
  <si>
    <t>THK_DK_Fixed</t>
  </si>
  <si>
    <t>THK_DK_Slid</t>
  </si>
  <si>
    <t>Bot_Dist_DK_Fixed</t>
  </si>
  <si>
    <t>Bot_Dist_DK_Slid</t>
  </si>
  <si>
    <t>Inset_DK_Slid</t>
  </si>
  <si>
    <t>Code</t>
  </si>
  <si>
    <t>distD</t>
  </si>
  <si>
    <t>inset</t>
  </si>
  <si>
    <t>H_DK_Slid</t>
  </si>
  <si>
    <t>H_DK_Fixed</t>
  </si>
  <si>
    <t>Sliding_Plate / Fill_Plate</t>
  </si>
  <si>
    <t>SSTH - Sliding/Fill Shoe Thickness</t>
  </si>
  <si>
    <t>LL</t>
  </si>
  <si>
    <t>GU</t>
  </si>
  <si>
    <t>GULL</t>
  </si>
  <si>
    <t>GP</t>
  </si>
  <si>
    <t>AX</t>
  </si>
  <si>
    <t>CL02</t>
  </si>
  <si>
    <t>CL00</t>
  </si>
  <si>
    <t>CL04</t>
  </si>
  <si>
    <t>CL08</t>
  </si>
  <si>
    <t>CL16</t>
  </si>
  <si>
    <t>ST</t>
  </si>
  <si>
    <t>Single</t>
  </si>
  <si>
    <t>Dual</t>
  </si>
  <si>
    <t>T-Const.</t>
  </si>
  <si>
    <t>U-Const.</t>
  </si>
  <si>
    <t>Double L</t>
  </si>
  <si>
    <t>Guide needing Ls (for U)</t>
  </si>
  <si>
    <t>no Guide</t>
  </si>
  <si>
    <t>Fill Plate (as big as Beam)</t>
  </si>
  <si>
    <t>Point_Type</t>
  </si>
  <si>
    <t>GB</t>
  </si>
  <si>
    <t>partial Fixpoint</t>
  </si>
  <si>
    <t>Fixpoint</t>
  </si>
  <si>
    <t>Guided</t>
  </si>
  <si>
    <t>Sliding</t>
  </si>
  <si>
    <t>Desc</t>
  </si>
  <si>
    <t>Function</t>
  </si>
  <si>
    <t>Plate</t>
  </si>
  <si>
    <t>L_Stahl_LH</t>
  </si>
  <si>
    <t>Material</t>
  </si>
  <si>
    <t>Stainless</t>
  </si>
  <si>
    <t>Carbon</t>
  </si>
  <si>
    <t>Prim_Supp_leicht_edel</t>
  </si>
  <si>
    <t>Prim_Supp_schwer_edel</t>
  </si>
  <si>
    <t>Prim_Supp</t>
  </si>
  <si>
    <t>Rohrschelle</t>
  </si>
  <si>
    <t>Ausführung</t>
  </si>
  <si>
    <t>schwer</t>
  </si>
  <si>
    <t>leicht</t>
  </si>
  <si>
    <t>STK_Auswahl</t>
  </si>
  <si>
    <t>leicht_Laenge</t>
  </si>
  <si>
    <t>schwer_Laenge</t>
  </si>
  <si>
    <t>L_Auswahl</t>
  </si>
  <si>
    <t>A_Leicht</t>
  </si>
  <si>
    <t>A_Schwer</t>
  </si>
  <si>
    <t>A_Auswahl</t>
  </si>
  <si>
    <t>Abs_Auswahl</t>
  </si>
  <si>
    <t>THK_Auswahl</t>
  </si>
  <si>
    <t>End of Code</t>
  </si>
  <si>
    <t>GMSE+PTSE</t>
  </si>
  <si>
    <t>Fixed</t>
  </si>
  <si>
    <t>Partially Fixed</t>
  </si>
  <si>
    <t>Digit8</t>
  </si>
  <si>
    <t>Digit11</t>
  </si>
  <si>
    <t>Cata-Code</t>
  </si>
  <si>
    <t>Material Specialty</t>
  </si>
  <si>
    <t>Para</t>
  </si>
  <si>
    <t>Guiding L</t>
  </si>
  <si>
    <t>Needs_L</t>
  </si>
  <si>
    <t>LGUH - Guiding L Height</t>
  </si>
  <si>
    <t>LGUW - Guiding L Width</t>
  </si>
  <si>
    <t>LGUT - Guiding L THK</t>
  </si>
  <si>
    <t>LGUL - Guiding L Length</t>
  </si>
  <si>
    <t>Needs_Guide</t>
  </si>
  <si>
    <t>Needs_Axial</t>
  </si>
  <si>
    <t>Needs_Cams</t>
  </si>
  <si>
    <t>DRWG - Drawing Number</t>
  </si>
  <si>
    <t>Material:</t>
  </si>
  <si>
    <t>Lagerfun:</t>
  </si>
  <si>
    <t>ZFOR - permitted vert load 100C</t>
  </si>
  <si>
    <t>YFOR - permitted later load 100C</t>
  </si>
  <si>
    <t>XFOR - permitted axial load 100C</t>
  </si>
  <si>
    <t>DK_Function</t>
  </si>
  <si>
    <t>Bottom_Implements</t>
  </si>
  <si>
    <t>Single_Double</t>
  </si>
  <si>
    <t>Construction</t>
  </si>
  <si>
    <t>Cams</t>
  </si>
  <si>
    <t>DK_Has_Guide</t>
  </si>
  <si>
    <t>DK_Bottom_Implement</t>
  </si>
  <si>
    <t>DK_Has_Axial</t>
  </si>
  <si>
    <t>DK_Has_Cams</t>
  </si>
  <si>
    <t>Guide_DK</t>
  </si>
  <si>
    <t>lt. Auswahl</t>
  </si>
  <si>
    <t>DK_W_BaseCL</t>
  </si>
  <si>
    <t>W_Fixed</t>
  </si>
  <si>
    <t>W_Sliding</t>
  </si>
  <si>
    <t>CL_Fixed</t>
  </si>
  <si>
    <t>CL_Sliding</t>
  </si>
  <si>
    <t>With with GP</t>
  </si>
  <si>
    <t>No SS, no FP</t>
  </si>
  <si>
    <t>LT_Stahl_DK_Sliding</t>
  </si>
  <si>
    <t>LT_Stahl_DK_Fixed</t>
  </si>
  <si>
    <t>Type</t>
  </si>
  <si>
    <t>No Ground Plate</t>
  </si>
  <si>
    <t>Is BOP</t>
  </si>
  <si>
    <t>Dist betw. L</t>
  </si>
  <si>
    <t>Fill_Plate</t>
  </si>
  <si>
    <t>No_SHOE</t>
  </si>
  <si>
    <t>DK_Final_CL</t>
  </si>
  <si>
    <t>LT_Stahl_DK</t>
  </si>
  <si>
    <t>L=BWID</t>
  </si>
  <si>
    <t>W=Total Width</t>
  </si>
  <si>
    <t>+FP</t>
  </si>
  <si>
    <t>+SS</t>
  </si>
  <si>
    <t>PFP_DIFF</t>
  </si>
  <si>
    <t>GS_DIFF</t>
  </si>
  <si>
    <t>GB__DIFF</t>
  </si>
  <si>
    <t>CL_Auswahl</t>
  </si>
  <si>
    <t>CL_MAX</t>
  </si>
  <si>
    <t>Ground_Plate</t>
  </si>
  <si>
    <t>Overhang_W</t>
  </si>
  <si>
    <t>Overhang_L</t>
  </si>
  <si>
    <t>SPTH - Sliding/Fill/Ground Plate height</t>
  </si>
  <si>
    <t>SPLE - Sliding/Fill/Ground Plate length</t>
  </si>
  <si>
    <t>SPTH - Sliding/Fill/Ground Plate width</t>
  </si>
  <si>
    <t>per side</t>
  </si>
  <si>
    <t>Rohrschellen_DK</t>
  </si>
  <si>
    <t>A22</t>
  </si>
  <si>
    <t>custom</t>
  </si>
  <si>
    <t>A27</t>
  </si>
  <si>
    <t>A34</t>
  </si>
  <si>
    <t>A43</t>
  </si>
  <si>
    <t>A49</t>
  </si>
  <si>
    <t>A61</t>
  </si>
  <si>
    <t>A77</t>
  </si>
  <si>
    <t>A89</t>
  </si>
  <si>
    <t>A115</t>
  </si>
  <si>
    <t>A140</t>
  </si>
  <si>
    <t>A169</t>
  </si>
  <si>
    <t>A220</t>
  </si>
  <si>
    <t>A273</t>
  </si>
  <si>
    <t>A324</t>
  </si>
  <si>
    <t>A356</t>
  </si>
  <si>
    <t>A407</t>
  </si>
  <si>
    <t>A508</t>
  </si>
  <si>
    <t>https://www.heco.de/webservice/downloads/product-sheet/1861/de/heco-Produktblatt-1861-Edelstahl-Rohrschellen-schwer-DIN-3567.pdf</t>
  </si>
  <si>
    <t>Zng: 1.31</t>
  </si>
  <si>
    <t>Zng: 1.32</t>
  </si>
  <si>
    <t>BoP-sC</t>
  </si>
  <si>
    <t>DC</t>
  </si>
  <si>
    <t>Bolt_plate_gap</t>
  </si>
  <si>
    <t>Bolt_plate_thk</t>
  </si>
  <si>
    <t>B of Clamp</t>
  </si>
  <si>
    <t>FDIT - Foot sheet thickness (sf) or L Thickness</t>
  </si>
  <si>
    <t>Arch_Angle</t>
  </si>
  <si>
    <t>Stiffener_DK</t>
  </si>
  <si>
    <t>SEL_THK</t>
  </si>
  <si>
    <t>SEL_Bot_Dist</t>
  </si>
  <si>
    <t>SEL_Inset</t>
  </si>
  <si>
    <t>SEL_H</t>
  </si>
  <si>
    <t>J</t>
  </si>
  <si>
    <t>K</t>
  </si>
  <si>
    <t>Code for GMSE and PTSE</t>
  </si>
  <si>
    <t>S_T_GU_X_X_CL00_X</t>
  </si>
  <si>
    <t>D_U_GU_X_X_CL00_X</t>
  </si>
  <si>
    <t>D_U_GU_X_X_CL00_ST</t>
  </si>
  <si>
    <t>S_T_X_X_X_CL00_X</t>
  </si>
  <si>
    <t>D_U_X_X_X_CL00_X</t>
  </si>
  <si>
    <t>D_U_X_X_X_CL00_ST</t>
  </si>
  <si>
    <t>D_U_GULL_X_X_CL00_X</t>
  </si>
  <si>
    <t>D_U_GULL_X_X_CL00_ST</t>
  </si>
  <si>
    <t>S_T_GU_X_AX_CL08_X</t>
  </si>
  <si>
    <t>D_LL_GU_X_AX_CL08_ST</t>
  </si>
  <si>
    <t>D_LL_GU_X_AX_CL12_ST</t>
  </si>
  <si>
    <t>D_LL_GU_FP_AX_CL12_ST</t>
  </si>
  <si>
    <t>DC_LL_GU_FP_AX_CL16_ST</t>
  </si>
  <si>
    <t>S_T_X_X_X_CL08_X</t>
  </si>
  <si>
    <t>D_LL_X_GP_X_CL08_ST</t>
  </si>
  <si>
    <t>D_LL_X_GP_X_CL12_ST</t>
  </si>
  <si>
    <t>DC_LL_X_GP_X_CL16_ST</t>
  </si>
  <si>
    <t>D_LL_GU_X_X_CL00_ST</t>
  </si>
  <si>
    <t>D_LL_GU_SS_X_CL00_ST</t>
  </si>
  <si>
    <t>DC_LL_GU_SS_X_CL00_ST</t>
  </si>
  <si>
    <t>D_LL_X_X_X_CL00_ST</t>
  </si>
  <si>
    <t>D_LL_X_SS_X_CL00_ST</t>
  </si>
  <si>
    <t>DC_LL_X_SS_X_CL00_ST</t>
  </si>
  <si>
    <t>Finden</t>
  </si>
  <si>
    <t>S_T_GU_X_AX_CL02_X</t>
  </si>
  <si>
    <t>S_T_X_X_X_CL02_X</t>
  </si>
  <si>
    <t>S_T_GU_X_AX_CL04_X</t>
  </si>
  <si>
    <t>S_T_X_X_X_CL04_X</t>
  </si>
  <si>
    <t>D_U_GU_X_AX_CL08_ST</t>
  </si>
  <si>
    <t>D_U_GU_X_AX_CL08_X</t>
  </si>
  <si>
    <t>D_U_GULL_X_AX_CL08_ST</t>
  </si>
  <si>
    <t>D_U_GULL_X_AX_CL08_X</t>
  </si>
  <si>
    <t>D_U_X_X_X_CL08_ST</t>
  </si>
  <si>
    <t>D_U_X_X_X_CL08_X</t>
  </si>
  <si>
    <t>!allCode.delete()</t>
  </si>
  <si>
    <t>!allCode = array()</t>
  </si>
  <si>
    <t>Append</t>
  </si>
  <si>
    <t>In Cata</t>
  </si>
  <si>
    <t>/EuC-CATA-SUPP/COMMON/</t>
  </si>
  <si>
    <t>GMSE</t>
  </si>
  <si>
    <t>PTSE</t>
  </si>
  <si>
    <t>GMREF</t>
  </si>
  <si>
    <t>PTREF</t>
  </si>
  <si>
    <t>CL12</t>
  </si>
  <si>
    <t>doppelt</t>
  </si>
  <si>
    <t>einzel</t>
  </si>
  <si>
    <t>doppelt, geschweisste Ausf.</t>
  </si>
  <si>
    <t>mit Fuehrung</t>
  </si>
  <si>
    <t>mit Fuehrung, L aufgeschweisst</t>
  </si>
  <si>
    <t>mit Futterblech</t>
  </si>
  <si>
    <t>mit Bodenplatte</t>
  </si>
  <si>
    <t>mit Gleitplatten</t>
  </si>
  <si>
    <t>G</t>
  </si>
  <si>
    <t>mit Axialstopp</t>
  </si>
  <si>
    <t>aus 2 L-Profilen</t>
  </si>
  <si>
    <t>aus U-Traeger/gebogenem Blech</t>
  </si>
  <si>
    <t>als T-Traeger/Konstruktion</t>
  </si>
  <si>
    <t>mit Versteif</t>
  </si>
  <si>
    <t>mit</t>
  </si>
  <si>
    <t>GBTH - Guide Thickness</t>
  </si>
  <si>
    <t>X-Force</t>
  </si>
  <si>
    <t>Y-Force</t>
  </si>
  <si>
    <t>Z-Force</t>
  </si>
  <si>
    <t>DRWG</t>
  </si>
  <si>
    <t>Zng. 1.31</t>
  </si>
  <si>
    <t>Zng. 1.32</t>
  </si>
  <si>
    <t>Stext</t>
  </si>
  <si>
    <t>TEXT</t>
  </si>
  <si>
    <t>CATE</t>
  </si>
  <si>
    <t>Name</t>
  </si>
  <si>
    <t>TYPE</t>
  </si>
  <si>
    <t>new</t>
  </si>
  <si>
    <t>Fix point</t>
  </si>
  <si>
    <t>Desc_EN</t>
  </si>
  <si>
    <t>Desc_DE</t>
  </si>
  <si>
    <t>Partial fix point</t>
  </si>
  <si>
    <t>Guided slide support</t>
  </si>
  <si>
    <t>Slide support</t>
  </si>
  <si>
    <t>Teilfestpunkt</t>
  </si>
  <si>
    <t>Fuehrungslager</t>
  </si>
  <si>
    <t>Gleitlager</t>
  </si>
  <si>
    <t>Festpunkt</t>
  </si>
  <si>
    <t>Detail_Func</t>
  </si>
  <si>
    <t>Detail_Purp</t>
  </si>
  <si>
    <t>fuer D&amp;K Leitungen</t>
  </si>
  <si>
    <t>for S&amp;C pipes</t>
  </si>
  <si>
    <t>for V&amp;A pipes</t>
  </si>
  <si>
    <t>for W&amp;P pipes</t>
  </si>
  <si>
    <t>fuer V&amp;L Leitungen</t>
  </si>
  <si>
    <t>fuer W&amp;S Leitungen</t>
  </si>
  <si>
    <t>FOR_EN</t>
  </si>
  <si>
    <t>FOR_DE</t>
  </si>
  <si>
    <t>DRWG_EN</t>
  </si>
  <si>
    <t>DRWG_DE</t>
  </si>
  <si>
    <t>CAT_EN</t>
  </si>
  <si>
    <t>CAT_DE</t>
  </si>
  <si>
    <t>Sel</t>
  </si>
  <si>
    <t>Cat. II &amp; III</t>
  </si>
  <si>
    <t>Kat. II &amp; III</t>
  </si>
  <si>
    <t>Rtext ( 'Fix point - for S&amp;C pipes - VP drawing no. 1.32-125634 - DN ' + STR ( ATTRIB PARA[1 ] ) + ' - Cat. II &amp; III' )</t>
  </si>
  <si>
    <t>Stext ( 'Festpunkt - fuer D&amp;K Leitungen - VP Zeichnungsnr. 1.32-125634 - DN ' + STR ( ATTRIB PARA[1 ] ) + ' - Kat. II &amp; III' )</t>
  </si>
  <si>
    <t>DN ' + STR ( ATTRIB PARA[1 ] ) + '</t>
  </si>
  <si>
    <t>LIGHT-HEAVY</t>
  </si>
  <si>
    <t>SCOM</t>
  </si>
  <si>
    <t>Support,</t>
  </si>
  <si>
    <t>DESC</t>
  </si>
  <si>
    <t>Gtype ATTA</t>
  </si>
  <si>
    <t>PURP PIPE</t>
  </si>
  <si>
    <t>GTYPE ATTA</t>
  </si>
  <si>
    <t>SC</t>
  </si>
  <si>
    <t>PURP PARA</t>
  </si>
  <si>
    <t xml:space="preserve"> </t>
  </si>
  <si>
    <t>LEN</t>
  </si>
  <si>
    <t>Dist betw</t>
  </si>
  <si>
    <t>FCLA - Fixed point cleat angle of arch</t>
  </si>
  <si>
    <t>FSLH - Foot - stiff. height</t>
  </si>
  <si>
    <t>ok</t>
  </si>
  <si>
    <t>Left to do:</t>
  </si>
  <si>
    <t>Korrigierte CL</t>
  </si>
  <si>
    <t>EN</t>
  </si>
  <si>
    <t>DE</t>
  </si>
  <si>
    <t>HL</t>
  </si>
  <si>
    <t>CAT</t>
  </si>
  <si>
    <t>ASS_EN</t>
  </si>
  <si>
    <t>ASS_DE</t>
  </si>
  <si>
    <t>Assembly per drawing no. 1.31-084150</t>
  </si>
  <si>
    <t>Assembly per drawing no. 1.31-084160</t>
  </si>
  <si>
    <t>Assembly per drawing no. 1.32-125634</t>
  </si>
  <si>
    <t>Zusammenbau lt. Zng. Nr. 1.31-084160</t>
  </si>
  <si>
    <t>Zusammenbau lt. Zng. Nr. 1.31-084150</t>
  </si>
  <si>
    <t>Zusammenbau lt. Zng. Nr. 1.32-125634</t>
  </si>
  <si>
    <t>SB</t>
  </si>
  <si>
    <t>1.31-084007</t>
  </si>
  <si>
    <t>1.31-084008</t>
  </si>
  <si>
    <t>1.31-084009</t>
  </si>
  <si>
    <t>1.31-084010</t>
  </si>
  <si>
    <t>1.31-084011</t>
  </si>
  <si>
    <t>1.31-084012</t>
  </si>
  <si>
    <t>1.31-084013</t>
  </si>
  <si>
    <t>1.31-084014</t>
  </si>
  <si>
    <t>1.31-084015</t>
  </si>
  <si>
    <t>1.31-084016</t>
  </si>
  <si>
    <t>1.31-084017</t>
  </si>
  <si>
    <t>1.31-084018</t>
  </si>
  <si>
    <t>1.31-084019</t>
  </si>
  <si>
    <t>1.31-084020</t>
  </si>
  <si>
    <t>1.31-084021</t>
  </si>
  <si>
    <t>1.31-084022</t>
  </si>
  <si>
    <t>1.31-084023</t>
  </si>
  <si>
    <t>1.31-084024</t>
  </si>
  <si>
    <t>1.31-084025</t>
  </si>
  <si>
    <t>1.31-084026</t>
  </si>
  <si>
    <t>1.31-084027</t>
  </si>
  <si>
    <t>1.31-084028</t>
  </si>
  <si>
    <t>1.31-084029</t>
  </si>
  <si>
    <t>1.31-084030</t>
  </si>
  <si>
    <t>1.31-084057</t>
  </si>
  <si>
    <t>1.31-084058</t>
  </si>
  <si>
    <t>1.31-084059</t>
  </si>
  <si>
    <t>1.31-084060</t>
  </si>
  <si>
    <t>1.31-084061</t>
  </si>
  <si>
    <t>1.31-084062</t>
  </si>
  <si>
    <t>1.31-084063</t>
  </si>
  <si>
    <t>1.31-084064</t>
  </si>
  <si>
    <t>1.31-084065</t>
  </si>
  <si>
    <t>1.31-084066</t>
  </si>
  <si>
    <t>1.31-084067</t>
  </si>
  <si>
    <t>1.31-084068</t>
  </si>
  <si>
    <t>1.31-084069</t>
  </si>
  <si>
    <t>1.31-084070</t>
  </si>
  <si>
    <t>1.31-084071</t>
  </si>
  <si>
    <t>1.31-084072</t>
  </si>
  <si>
    <t>1.31-084073</t>
  </si>
  <si>
    <t>1.31-084074</t>
  </si>
  <si>
    <t>1.31-084075</t>
  </si>
  <si>
    <t>1.31-084076</t>
  </si>
  <si>
    <t>1.31-084077</t>
  </si>
  <si>
    <t>1.31-084078</t>
  </si>
  <si>
    <t>1.31-084079</t>
  </si>
  <si>
    <t>1.31-084080</t>
  </si>
  <si>
    <t>1.31-084032</t>
  </si>
  <si>
    <t>1.31-084033</t>
  </si>
  <si>
    <t>1.31-084034</t>
  </si>
  <si>
    <t>1.31-084035</t>
  </si>
  <si>
    <t>1.31-084036</t>
  </si>
  <si>
    <t>1.31-084037</t>
  </si>
  <si>
    <t>1.31-084038</t>
  </si>
  <si>
    <t>1.31-084039</t>
  </si>
  <si>
    <t>1.31-084040</t>
  </si>
  <si>
    <t>1.31-084041</t>
  </si>
  <si>
    <t>1.31-084042</t>
  </si>
  <si>
    <t>1.31-084043</t>
  </si>
  <si>
    <t>1.31-084044</t>
  </si>
  <si>
    <t>1.31-084045</t>
  </si>
  <si>
    <t>1.31-084046</t>
  </si>
  <si>
    <t>1.31-084047</t>
  </si>
  <si>
    <t>1.31-084048</t>
  </si>
  <si>
    <t>1.31-084049</t>
  </si>
  <si>
    <t>1.31-084050</t>
  </si>
  <si>
    <t>1.31-084051</t>
  </si>
  <si>
    <t>1.31-084052</t>
  </si>
  <si>
    <t>1.31-084053</t>
  </si>
  <si>
    <t>1.31-084054</t>
  </si>
  <si>
    <t>1.31-084055</t>
  </si>
  <si>
    <t>1.31-084082</t>
  </si>
  <si>
    <t>1.31-084083</t>
  </si>
  <si>
    <t>1.31-084084</t>
  </si>
  <si>
    <t>1.31-084085</t>
  </si>
  <si>
    <t>1.31-084086</t>
  </si>
  <si>
    <t>1.31-084087</t>
  </si>
  <si>
    <t>1.31-084088</t>
  </si>
  <si>
    <t>1.31-084089</t>
  </si>
  <si>
    <t>1.31-084090</t>
  </si>
  <si>
    <t>1.31-084091</t>
  </si>
  <si>
    <t>1.31-084092</t>
  </si>
  <si>
    <t>1.31-084093</t>
  </si>
  <si>
    <t>1.31-084094</t>
  </si>
  <si>
    <t>1.31-084095</t>
  </si>
  <si>
    <t>1.31-084096</t>
  </si>
  <si>
    <t>1.31-084097</t>
  </si>
  <si>
    <t>1.31-084098</t>
  </si>
  <si>
    <t>1.31-084099</t>
  </si>
  <si>
    <t>1.31-084100</t>
  </si>
  <si>
    <t>1.31-084101</t>
  </si>
  <si>
    <t>1.31-084102</t>
  </si>
  <si>
    <t>1.31-084103</t>
  </si>
  <si>
    <t>1.31-084104</t>
  </si>
  <si>
    <t>1.31-084105</t>
  </si>
  <si>
    <t>Light_C</t>
  </si>
  <si>
    <t>Light_S</t>
  </si>
  <si>
    <t>Heavy_C</t>
  </si>
  <si>
    <t>Heavy_S</t>
  </si>
  <si>
    <t>SC_Slide</t>
  </si>
  <si>
    <t>SC_Fixed</t>
  </si>
  <si>
    <t>1.32-</t>
  </si>
  <si>
    <t>1.32-125021</t>
  </si>
  <si>
    <t>1.32-125026</t>
  </si>
  <si>
    <t>1.32-125027</t>
  </si>
  <si>
    <t>1.32-125028</t>
  </si>
  <si>
    <t>1.32-125029</t>
  </si>
  <si>
    <t>1.32-125038</t>
  </si>
  <si>
    <t>1.32-125039</t>
  </si>
  <si>
    <t>1.32-125040</t>
  </si>
  <si>
    <t>1.32-125080</t>
  </si>
  <si>
    <t>1.32-125081</t>
  </si>
  <si>
    <t>1.32-125082</t>
  </si>
  <si>
    <t>1.32-125083</t>
  </si>
  <si>
    <t>1.32-125084</t>
  </si>
  <si>
    <t>1.32-125090</t>
  </si>
  <si>
    <t>1.32-125091</t>
  </si>
  <si>
    <t>1.32-125092</t>
  </si>
  <si>
    <t>1.32-125093</t>
  </si>
  <si>
    <t>1.32-125094</t>
  </si>
  <si>
    <t>1.32-125095</t>
  </si>
  <si>
    <t>1.32-125096</t>
  </si>
  <si>
    <t>1.32-125097</t>
  </si>
  <si>
    <t>1.32-125098</t>
  </si>
  <si>
    <t>1.32-125099</t>
  </si>
  <si>
    <t>1.32-125100</t>
  </si>
  <si>
    <t>1.32-125101</t>
  </si>
  <si>
    <t>1.32-125102</t>
  </si>
  <si>
    <t>1.32-125103</t>
  </si>
  <si>
    <t>1.32-125104</t>
  </si>
  <si>
    <t>1.32-125105</t>
  </si>
  <si>
    <t>1.32-125115</t>
  </si>
  <si>
    <t>1.32-125116</t>
  </si>
  <si>
    <t>1.32-125117</t>
  </si>
  <si>
    <t>1.32-125118</t>
  </si>
  <si>
    <t>1.32-125119</t>
  </si>
  <si>
    <t>1.32-125141</t>
  </si>
  <si>
    <t>1.32-125142</t>
  </si>
  <si>
    <t>1.32-125143</t>
  </si>
  <si>
    <t>VP primary support drawing no. 1.31-0</t>
  </si>
  <si>
    <t>VP Primaerhalter Zeichnungsnr. 1.31-0</t>
  </si>
  <si>
    <t>VP Primaerhalter Zeichnungsnr. 1.32-</t>
  </si>
  <si>
    <t>VP primary support drawing no. 1.32-</t>
  </si>
  <si>
    <t>' + STR ( ATTRIB PARA[74 ] ) + '</t>
  </si>
  <si>
    <t>SEL_HL</t>
  </si>
  <si>
    <t>SEL_SC</t>
  </si>
  <si>
    <t>Guide_CSteel</t>
  </si>
  <si>
    <t>Dichte: [g/mm³]</t>
  </si>
  <si>
    <t>Ausführung:</t>
  </si>
  <si>
    <t>Gewicht</t>
  </si>
  <si>
    <t>HL_Carbon</t>
  </si>
  <si>
    <t>HL_Stainless</t>
  </si>
  <si>
    <t>HL_Sel</t>
  </si>
  <si>
    <t>SC_Sel</t>
  </si>
  <si>
    <t>doubled!</t>
  </si>
  <si>
    <t>Weight of Plate, no GP!</t>
  </si>
  <si>
    <t>Gew_Platte</t>
  </si>
  <si>
    <t>Spalte5</t>
  </si>
  <si>
    <t>Gleitplatte</t>
  </si>
  <si>
    <t>Hat_Gleitplatte</t>
  </si>
  <si>
    <t>Futterblech</t>
  </si>
  <si>
    <t>Hat_Futterblech</t>
  </si>
  <si>
    <t>Gew_FL</t>
  </si>
  <si>
    <t>HL_Einzel</t>
  </si>
  <si>
    <t>DK_Einzel</t>
  </si>
  <si>
    <t>Gewicht_HL</t>
  </si>
  <si>
    <t>Gewicht_DK</t>
  </si>
  <si>
    <t>single</t>
  </si>
  <si>
    <t>Gew_Axial</t>
  </si>
  <si>
    <t>Gewicht_Sel</t>
  </si>
  <si>
    <t>Prim</t>
  </si>
  <si>
    <t>Ax</t>
  </si>
  <si>
    <t>Cam</t>
  </si>
  <si>
    <t>both</t>
  </si>
  <si>
    <t>double</t>
  </si>
  <si>
    <t>beide</t>
  </si>
  <si>
    <t>beid</t>
  </si>
  <si>
    <t>für schwarze geführte U</t>
  </si>
  <si>
    <t>DNIN - Nominal diameter inlet</t>
  </si>
  <si>
    <t>DNOU - Nominal diameter outlet</t>
  </si>
  <si>
    <t>Lasten_DK</t>
  </si>
  <si>
    <t>FPX</t>
  </si>
  <si>
    <t>FPY</t>
  </si>
  <si>
    <t>FPZ</t>
  </si>
  <si>
    <t>ALLX</t>
  </si>
  <si>
    <t>ALLY</t>
  </si>
  <si>
    <t>ALLZ</t>
  </si>
  <si>
    <t>SELX</t>
  </si>
  <si>
    <t>SELY</t>
  </si>
  <si>
    <t>SELZ</t>
  </si>
  <si>
    <t>Rohrklasse</t>
  </si>
  <si>
    <t>400A16H16_R01</t>
  </si>
  <si>
    <t>400A16H22_R01</t>
  </si>
  <si>
    <t>400A20C00_R01</t>
  </si>
  <si>
    <t>400A40H16_R01</t>
  </si>
  <si>
    <t>400A40H22_R01</t>
  </si>
  <si>
    <t>400A50C00_R01</t>
  </si>
  <si>
    <t>schwarzer Stahl</t>
  </si>
  <si>
    <t>Luft, Wasser, Bestand, Vakuum</t>
  </si>
  <si>
    <t>Halter Dampf+Kondensat</t>
  </si>
  <si>
    <t>Halter Schwer</t>
  </si>
  <si>
    <t>Halter Leicht</t>
  </si>
  <si>
    <t>Ja</t>
  </si>
  <si>
    <t>zulässige Medien</t>
  </si>
  <si>
    <t>Edelstahl</t>
  </si>
  <si>
    <t>Gibt es nur in 1.0038</t>
  </si>
  <si>
    <t>Wasser und Stoff</t>
  </si>
  <si>
    <t>Luft und Vakuum</t>
  </si>
  <si>
    <r>
      <t xml:space="preserve">Luft, Wasser, Bestand, Vakuum, </t>
    </r>
    <r>
      <rPr>
        <strike/>
        <sz val="10"/>
        <color rgb="FFFF0000"/>
        <rFont val="Arial"/>
        <family val="2"/>
      </rPr>
      <t>Dampf</t>
    </r>
    <r>
      <rPr>
        <sz val="10"/>
        <color theme="1"/>
        <rFont val="Arial"/>
        <family val="2"/>
      </rPr>
      <t>, Kondensat, Öl</t>
    </r>
  </si>
  <si>
    <r>
      <t xml:space="preserve">Dampf, Kondensat, </t>
    </r>
    <r>
      <rPr>
        <strike/>
        <sz val="10"/>
        <color rgb="FFFF0000"/>
        <rFont val="Arial"/>
        <family val="2"/>
      </rPr>
      <t>Öl</t>
    </r>
  </si>
  <si>
    <t>Mit Einlage</t>
  </si>
  <si>
    <t>mit Einlage</t>
  </si>
  <si>
    <t>with Insert</t>
  </si>
  <si>
    <t>CAT and Insert</t>
  </si>
  <si>
    <t>with insert</t>
  </si>
  <si>
    <t>LIGHT</t>
  </si>
  <si>
    <t>HEAVY</t>
  </si>
  <si>
    <t>DTREF /EuC-CATA-SUPP/COMMON/2-DTSE</t>
  </si>
  <si>
    <t>/EuC-CATA-SUPP/COMMON/2-DTSE</t>
  </si>
  <si>
    <t>/EuC-CATA-SUPP/COMMON/MATERIAL/C-Steel</t>
  </si>
  <si>
    <t>/EuC-CATA-SUPP/COMMON/MATERIAL/Stainless-Steel</t>
  </si>
  <si>
    <t>none</t>
  </si>
  <si>
    <t>WENN(Prim_Supp[Ext]&lt;&gt;0;"_Csteel";"")</t>
  </si>
  <si>
    <t>WENN($A$2="Carbon";"_Csteel";"")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</si>
</sst>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theme="1"/>
      <name val="Arial"/>
      <family val="2"/>
    </font>
    <font>
      <b/>
      <sz val="10"/>
      <color theme="0"/>
      <name val="Arial"/>
      <family val="2"/>
    </font>
    <font>
      <sz val="8"/>
      <name val="Arial"/>
      <family val="2"/>
    </font>
    <font>
      <sz val="10"/>
      <color rgb="FFC00000"/>
      <name val="Arial"/>
      <family val="2"/>
    </font>
    <font>
      <sz val="8"/>
      <color rgb="FF000000"/>
      <name val="Arial Unicode MS"/>
      <family val="2"/>
    </font>
    <font>
      <sz val="8"/>
      <color rgb="FFFF0000"/>
      <name val="Arial Unicode MS"/>
      <family val="2"/>
    </font>
    <font>
      <b/>
      <sz val="10"/>
      <color rgb="FFFF0000"/>
      <name val="Arial"/>
      <family val="2"/>
    </font>
    <font>
      <sz val="10"/>
      <color rgb="FFFFC000"/>
      <name val="Arial"/>
      <family val="2"/>
    </font>
    <font>
      <sz val="8"/>
      <name val="Arial Unicode MS"/>
      <family val="2"/>
    </font>
    <font>
      <sz val="10"/>
      <color rgb="FFFF0000"/>
      <name val="Arial"/>
      <family val="2"/>
    </font>
    <font>
      <sz val="10"/>
      <color rgb="FF7030A0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color theme="4" tint="-0.249977111117893"/>
      <name val="Arial"/>
      <family val="2"/>
    </font>
    <font>
      <sz val="10"/>
      <name val="Arial"/>
      <family val="2"/>
    </font>
    <font>
      <strike/>
      <sz val="10"/>
      <color rgb="FFFF0000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F0F0FF"/>
      </patternFill>
    </fill>
    <fill>
      <patternFill patternType="solid">
        <fgColor theme="4" tint="0.39997558519241921"/>
        <bgColor theme="4"/>
      </patternFill>
    </fill>
    <fill>
      <patternFill patternType="solid">
        <fgColor rgb="FF00B0F0"/>
        <bgColor theme="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-0.249977111117893"/>
        <bgColor theme="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7030A0"/>
        <bgColor theme="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theme="4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/>
        <bgColor theme="5"/>
      </patternFill>
    </fill>
    <fill>
      <patternFill patternType="solid">
        <fgColor rgb="FFFF0000"/>
        <bgColor theme="4" tint="0.79998168889431442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206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4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4" tint="0.39997558519241921"/>
      </top>
      <bottom/>
      <diagonal/>
    </border>
    <border>
      <left/>
      <right style="thin">
        <color theme="5" tint="0.39997558519241921"/>
      </right>
      <top style="thin">
        <color theme="5" tint="0.39997558519241921"/>
      </top>
      <bottom/>
      <diagonal/>
    </border>
    <border>
      <left/>
      <right style="thin">
        <color theme="5" tint="0.3999755851924192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2" borderId="0" xfId="0" applyFill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3" borderId="12" xfId="0" applyFill="1" applyBorder="1"/>
    <xf numFmtId="0" fontId="0" fillId="3" borderId="13" xfId="0" applyFill="1" applyBorder="1"/>
    <xf numFmtId="0" fontId="0" fillId="0" borderId="12" xfId="0" applyBorder="1"/>
    <xf numFmtId="0" fontId="0" fillId="0" borderId="13" xfId="0" applyBorder="1"/>
    <xf numFmtId="0" fontId="1" fillId="4" borderId="12" xfId="0" applyFont="1" applyFill="1" applyBorder="1"/>
    <xf numFmtId="0" fontId="1" fillId="4" borderId="13" xfId="0" applyFont="1" applyFill="1" applyBorder="1"/>
    <xf numFmtId="0" fontId="1" fillId="4" borderId="15" xfId="0" applyFont="1" applyFill="1" applyBorder="1"/>
    <xf numFmtId="0" fontId="1" fillId="4" borderId="16" xfId="0" applyFont="1" applyFill="1" applyBorder="1"/>
    <xf numFmtId="0" fontId="0" fillId="3" borderId="17" xfId="0" applyFill="1" applyBorder="1"/>
    <xf numFmtId="0" fontId="3" fillId="3" borderId="12" xfId="0" applyFont="1" applyFill="1" applyBorder="1"/>
    <xf numFmtId="0" fontId="0" fillId="0" borderId="17" xfId="0" applyBorder="1"/>
    <xf numFmtId="0" fontId="0" fillId="0" borderId="15" xfId="0" applyBorder="1"/>
    <xf numFmtId="0" fontId="1" fillId="4" borderId="17" xfId="0" applyFont="1" applyFill="1" applyBorder="1"/>
    <xf numFmtId="0" fontId="1" fillId="4" borderId="0" xfId="0" applyFont="1" applyFill="1"/>
    <xf numFmtId="0" fontId="0" fillId="0" borderId="19" xfId="0" applyBorder="1"/>
    <xf numFmtId="0" fontId="4" fillId="0" borderId="20" xfId="0" applyFont="1" applyBorder="1" applyAlignment="1">
      <alignment horizontal="left" vertical="top" textRotation="45"/>
    </xf>
    <xf numFmtId="0" fontId="4" fillId="5" borderId="20" xfId="0" applyFont="1" applyFill="1" applyBorder="1" applyAlignment="1">
      <alignment horizontal="left" vertical="top" textRotation="45"/>
    </xf>
    <xf numFmtId="0" fontId="6" fillId="4" borderId="17" xfId="0" applyFont="1" applyFill="1" applyBorder="1"/>
    <xf numFmtId="0" fontId="6" fillId="4" borderId="0" xfId="0" applyFont="1" applyFill="1"/>
    <xf numFmtId="0" fontId="1" fillId="6" borderId="0" xfId="0" applyFont="1" applyFill="1"/>
    <xf numFmtId="0" fontId="1" fillId="6" borderId="17" xfId="0" applyFont="1" applyFill="1" applyBorder="1"/>
    <xf numFmtId="0" fontId="7" fillId="0" borderId="0" xfId="0" applyFont="1"/>
    <xf numFmtId="0" fontId="1" fillId="0" borderId="0" xfId="0" applyFont="1"/>
    <xf numFmtId="0" fontId="1" fillId="7" borderId="17" xfId="0" applyFont="1" applyFill="1" applyBorder="1"/>
    <xf numFmtId="0" fontId="0" fillId="2" borderId="19" xfId="0" applyFill="1" applyBorder="1"/>
    <xf numFmtId="0" fontId="0" fillId="2" borderId="13" xfId="0" applyFill="1" applyBorder="1"/>
    <xf numFmtId="0" fontId="8" fillId="5" borderId="20" xfId="0" applyFont="1" applyFill="1" applyBorder="1" applyAlignment="1">
      <alignment horizontal="left" vertical="top" textRotation="45"/>
    </xf>
    <xf numFmtId="0" fontId="8" fillId="0" borderId="20" xfId="0" applyFont="1" applyBorder="1" applyAlignment="1">
      <alignment horizontal="left" vertical="top" textRotation="45"/>
    </xf>
    <xf numFmtId="0" fontId="0" fillId="0" borderId="11" xfId="0" applyBorder="1"/>
    <xf numFmtId="0" fontId="0" fillId="3" borderId="11" xfId="0" applyFill="1" applyBorder="1"/>
    <xf numFmtId="0" fontId="1" fillId="4" borderId="11" xfId="0" applyFont="1" applyFill="1" applyBorder="1"/>
    <xf numFmtId="0" fontId="0" fillId="8" borderId="0" xfId="0" applyFill="1"/>
    <xf numFmtId="0" fontId="1" fillId="4" borderId="21" xfId="0" applyFont="1" applyFill="1" applyBorder="1"/>
    <xf numFmtId="0" fontId="0" fillId="3" borderId="21" xfId="0" applyFill="1" applyBorder="1"/>
    <xf numFmtId="0" fontId="4" fillId="9" borderId="20" xfId="0" applyFont="1" applyFill="1" applyBorder="1" applyAlignment="1">
      <alignment horizontal="left" vertical="top" textRotation="45"/>
    </xf>
    <xf numFmtId="0" fontId="1" fillId="10" borderId="0" xfId="0" applyFont="1" applyFill="1"/>
    <xf numFmtId="0" fontId="1" fillId="10" borderId="17" xfId="0" applyFont="1" applyFill="1" applyBorder="1"/>
    <xf numFmtId="0" fontId="0" fillId="11" borderId="0" xfId="0" applyFill="1"/>
    <xf numFmtId="0" fontId="5" fillId="12" borderId="20" xfId="0" applyFont="1" applyFill="1" applyBorder="1" applyAlignment="1">
      <alignment horizontal="left" vertical="top" textRotation="45"/>
    </xf>
    <xf numFmtId="0" fontId="1" fillId="13" borderId="0" xfId="0" applyFont="1" applyFill="1"/>
    <xf numFmtId="0" fontId="1" fillId="13" borderId="17" xfId="0" applyFont="1" applyFill="1" applyBorder="1"/>
    <xf numFmtId="0" fontId="1" fillId="15" borderId="18" xfId="0" applyFont="1" applyFill="1" applyBorder="1"/>
    <xf numFmtId="0" fontId="1" fillId="14" borderId="0" xfId="0" applyFont="1" applyFill="1"/>
    <xf numFmtId="0" fontId="0" fillId="0" borderId="22" xfId="0" applyBorder="1"/>
    <xf numFmtId="0" fontId="1" fillId="17" borderId="23" xfId="0" applyFont="1" applyFill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17" borderId="19" xfId="0" applyFont="1" applyFill="1" applyBorder="1"/>
    <xf numFmtId="0" fontId="0" fillId="16" borderId="24" xfId="0" applyFill="1" applyBorder="1"/>
    <xf numFmtId="0" fontId="0" fillId="0" borderId="25" xfId="0" applyBorder="1"/>
    <xf numFmtId="0" fontId="0" fillId="16" borderId="25" xfId="0" applyFill="1" applyBorder="1"/>
    <xf numFmtId="0" fontId="9" fillId="0" borderId="0" xfId="0" applyFont="1"/>
    <xf numFmtId="0" fontId="0" fillId="12" borderId="0" xfId="0" applyFill="1"/>
    <xf numFmtId="0" fontId="0" fillId="9" borderId="19" xfId="0" applyFill="1" applyBorder="1"/>
    <xf numFmtId="0" fontId="0" fillId="9" borderId="13" xfId="0" applyFill="1" applyBorder="1"/>
    <xf numFmtId="0" fontId="0" fillId="0" borderId="0" xfId="0" quotePrefix="1"/>
    <xf numFmtId="0" fontId="10" fillId="0" borderId="0" xfId="0" applyFont="1"/>
    <xf numFmtId="17" fontId="1" fillId="4" borderId="18" xfId="0" applyNumberFormat="1" applyFont="1" applyFill="1" applyBorder="1"/>
    <xf numFmtId="0" fontId="0" fillId="14" borderId="17" xfId="0" applyFill="1" applyBorder="1"/>
    <xf numFmtId="0" fontId="0" fillId="14" borderId="0" xfId="0" applyFill="1"/>
    <xf numFmtId="0" fontId="0" fillId="18" borderId="12" xfId="0" applyFill="1" applyBorder="1"/>
    <xf numFmtId="0" fontId="0" fillId="18" borderId="13" xfId="0" applyFill="1" applyBorder="1"/>
    <xf numFmtId="0" fontId="0" fillId="0" borderId="26" xfId="0" applyBorder="1"/>
    <xf numFmtId="0" fontId="1" fillId="12" borderId="0" xfId="0" applyFont="1" applyFill="1"/>
    <xf numFmtId="17" fontId="0" fillId="0" borderId="0" xfId="0" applyNumberFormat="1"/>
    <xf numFmtId="0" fontId="0" fillId="19" borderId="0" xfId="0" applyFill="1"/>
    <xf numFmtId="0" fontId="0" fillId="20" borderId="0" xfId="0" applyFill="1"/>
    <xf numFmtId="0" fontId="0" fillId="20" borderId="0" xfId="0" quotePrefix="1" applyFill="1"/>
    <xf numFmtId="0" fontId="0" fillId="21" borderId="0" xfId="0" applyFill="1"/>
    <xf numFmtId="0" fontId="0" fillId="22" borderId="0" xfId="0" applyFill="1"/>
    <xf numFmtId="0" fontId="9" fillId="22" borderId="0" xfId="0" applyFont="1" applyFill="1"/>
    <xf numFmtId="0" fontId="0" fillId="9" borderId="0" xfId="0" applyFill="1"/>
    <xf numFmtId="0" fontId="11" fillId="23" borderId="27" xfId="0" applyFont="1" applyFill="1" applyBorder="1" applyAlignment="1">
      <alignment horizontal="left" vertical="top" wrapText="1"/>
    </xf>
    <xf numFmtId="0" fontId="11" fillId="24" borderId="27" xfId="0" applyFont="1" applyFill="1" applyBorder="1" applyAlignment="1">
      <alignment horizontal="left" vertical="top" wrapText="1"/>
    </xf>
    <xf numFmtId="0" fontId="11" fillId="25" borderId="27" xfId="0" applyFont="1" applyFill="1" applyBorder="1" applyAlignment="1">
      <alignment horizontal="left" vertical="top" wrapText="1"/>
    </xf>
    <xf numFmtId="0" fontId="13" fillId="3" borderId="0" xfId="0" applyFont="1" applyFill="1"/>
    <xf numFmtId="0" fontId="13" fillId="0" borderId="0" xfId="0" applyFont="1"/>
    <xf numFmtId="0" fontId="13" fillId="0" borderId="28" xfId="0" applyFont="1" applyBorder="1"/>
    <xf numFmtId="0" fontId="14" fillId="0" borderId="0" xfId="0" applyFont="1"/>
    <xf numFmtId="0" fontId="12" fillId="26" borderId="0" xfId="0" applyFont="1" applyFill="1"/>
    <xf numFmtId="0" fontId="1" fillId="0" borderId="29" xfId="0" applyFont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Standard" xfId="0" builtinId="0"/>
  </cellStyles>
  <dxfs count="189"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8" tint="0.79998168889431442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5" tint="0.79998168889431442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4" tint="0.79998168889431442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5" tint="0.79998168889431442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</border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249977111117893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border diagonalUp="0" diagonalDown="0">
        <left/>
        <right style="thin">
          <color theme="5" tint="0.39997558519241921"/>
        </right>
        <top style="thin">
          <color theme="5" tint="0.39997558519241921"/>
        </top>
        <bottom/>
        <vertical/>
        <horizontal/>
      </border>
    </dxf>
    <dxf>
      <border diagonalUp="0" diagonalDown="0">
        <left/>
        <right style="thin">
          <color theme="5" tint="0.39997558519241921"/>
        </right>
        <top style="thin">
          <color theme="5" tint="0.39997558519241921"/>
        </top>
        <bottom/>
        <vertical/>
        <horizontal/>
      </border>
    </dxf>
    <dxf>
      <border diagonalUp="0" diagonalDown="0">
        <left/>
        <right style="thin">
          <color theme="5" tint="0.39997558519241921"/>
        </right>
        <top style="thin">
          <color theme="5" tint="0.39997558519241921"/>
        </top>
        <bottom/>
        <vertical/>
        <horizontal/>
      </border>
    </dxf>
    <dxf>
      <numFmt numFmtId="0" formatCode="General"/>
      <border diagonalUp="0" diagonalDown="0">
        <left/>
        <right style="thin">
          <color theme="5" tint="0.39997558519241921"/>
        </right>
        <top style="thin">
          <color theme="5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border diagonalUp="0" diagonalDown="0">
        <left/>
        <right style="thin">
          <color theme="5" tint="0.39997558519241921"/>
        </right>
        <top style="thin">
          <color theme="5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border diagonalUp="0" diagonalDown="0">
        <left/>
        <right style="thin">
          <color theme="5" tint="0.39997558519241921"/>
        </right>
        <top style="thin">
          <color theme="5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theme="4"/>
          <bgColor theme="4"/>
        </patternFill>
      </fill>
    </dxf>
    <dxf>
      <font>
        <strike val="0"/>
        <outline val="0"/>
        <shadow val="0"/>
        <u val="none"/>
        <vertAlign val="baseline"/>
        <sz val="10"/>
        <color rgb="FF7030A0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rgb="FF7030A0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rgb="FF7030A0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rgb="FF7030A0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rgb="FF7030A0"/>
        <name val="Arial"/>
        <family val="2"/>
        <scheme val="none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outline="0">
        <left style="thin">
          <color theme="4" tint="0.39997558519241921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</border>
    </dxf>
    <dxf>
      <numFmt numFmtId="0" formatCode="General"/>
      <border diagonalUp="0" diagonalDown="0">
        <left/>
        <right style="thin">
          <color theme="5" tint="0.39997558519241921"/>
        </right>
        <top style="thin">
          <color theme="5" tint="0.39997558519241921"/>
        </top>
        <bottom/>
        <vertical/>
        <horizontal/>
      </border>
    </dxf>
    <dxf>
      <border diagonalUp="0" diagonalDown="0">
        <left/>
        <right style="thin">
          <color theme="5" tint="0.39997558519241921"/>
        </right>
        <top style="thin">
          <color theme="5" tint="0.39997558519241921"/>
        </top>
        <bottom/>
        <vertical/>
        <horizontal/>
      </border>
    </dxf>
    <dxf>
      <numFmt numFmtId="0" formatCode="General"/>
      <border diagonalUp="0" diagonalDown="0">
        <left/>
        <right style="thin">
          <color theme="5" tint="0.39997558519241921"/>
        </right>
        <top style="thin">
          <color theme="5" tint="0.39997558519241921"/>
        </top>
        <bottom/>
        <vertical/>
        <horizontal/>
      </border>
    </dxf>
    <dxf>
      <numFmt numFmtId="0" formatCode="General"/>
      <border diagonalUp="0" diagonalDown="0">
        <left/>
        <right style="thin">
          <color theme="5" tint="0.39997558519241921"/>
        </right>
        <top style="thin">
          <color theme="5" tint="0.39997558519241921"/>
        </top>
        <bottom/>
        <vertical/>
        <horizontal/>
      </border>
    </dxf>
    <dxf>
      <numFmt numFmtId="0" formatCode="General"/>
      <border diagonalUp="0" diagonalDown="0">
        <left/>
        <right style="thin">
          <color theme="5" tint="0.39997558519241921"/>
        </right>
        <top style="thin">
          <color theme="5" tint="0.39997558519241921"/>
        </top>
        <bottom/>
        <vertical/>
        <horizontal/>
      </border>
    </dxf>
    <dxf>
      <numFmt numFmtId="0" formatCode="General"/>
      <border diagonalUp="0" diagonalDown="0">
        <left/>
        <right style="thin">
          <color theme="5" tint="0.39997558519241921"/>
        </right>
        <top style="thin">
          <color theme="5" tint="0.39997558519241921"/>
        </top>
        <bottom/>
        <vertical/>
        <horizontal/>
      </border>
    </dxf>
    <dxf>
      <numFmt numFmtId="0" formatCode="General"/>
      <border diagonalUp="0" diagonalDown="0">
        <left/>
        <right style="thin">
          <color theme="5" tint="0.39997558519241921"/>
        </right>
        <top style="thin">
          <color theme="5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border diagonalUp="0" diagonalDown="0">
        <left/>
        <right style="thin">
          <color theme="5" tint="0.39997558519241921"/>
        </right>
        <top style="thin">
          <color theme="5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border diagonalUp="0" diagonalDown="0">
        <left/>
        <right style="thin">
          <color theme="5" tint="0.39997558519241921"/>
        </right>
        <top style="thin">
          <color theme="5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theme="4"/>
          <bgColor theme="4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</border>
    </dxf>
    <dxf>
      <numFmt numFmtId="0" formatCode="General"/>
      <border diagonalUp="0" diagonalDown="0">
        <left/>
        <right style="thin">
          <color theme="5" tint="0.39997558519241921"/>
        </right>
        <top style="thin">
          <color theme="5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theme="4"/>
          <bgColor theme="4"/>
        </patternFill>
      </fill>
    </dxf>
    <dxf>
      <numFmt numFmtId="0" formatCode="General"/>
      <border diagonalUp="0" diagonalDown="0">
        <left/>
        <right style="thin">
          <color theme="5" tint="0.39997558519241921"/>
        </right>
        <top style="thin">
          <color theme="5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theme="4"/>
          <bgColor theme="4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border diagonalUp="0" diagonalDown="0">
        <left/>
        <right style="thin">
          <color theme="5" tint="0.39997558519241921"/>
        </right>
        <top style="thin">
          <color theme="5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border diagonalUp="0" diagonalDown="0">
        <left/>
        <right style="thin">
          <color theme="5" tint="0.39997558519241921"/>
        </right>
        <top style="thin">
          <color theme="5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44823</xdr:colOff>
      <xdr:row>398</xdr:row>
      <xdr:rowOff>22413</xdr:rowOff>
    </xdr:from>
    <xdr:to>
      <xdr:col>30</xdr:col>
      <xdr:colOff>1344705</xdr:colOff>
      <xdr:row>422</xdr:row>
      <xdr:rowOff>119163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53CC76C-CBE3-0266-CBB7-66A625BAAC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249529" y="62461589"/>
          <a:ext cx="7855324" cy="3861927"/>
        </a:xfrm>
        <a:prstGeom prst="rect">
          <a:avLst/>
        </a:prstGeom>
      </xdr:spPr>
    </xdr:pic>
    <xdr:clientData/>
  </xdr:twoCellAnchor>
  <xdr:twoCellAnchor>
    <xdr:from>
      <xdr:col>24</xdr:col>
      <xdr:colOff>593913</xdr:colOff>
      <xdr:row>409</xdr:row>
      <xdr:rowOff>56031</xdr:rowOff>
    </xdr:from>
    <xdr:to>
      <xdr:col>25</xdr:col>
      <xdr:colOff>504265</xdr:colOff>
      <xdr:row>411</xdr:row>
      <xdr:rowOff>134472</xdr:rowOff>
    </xdr:to>
    <xdr:sp macro="" textlink="">
      <xdr:nvSpPr>
        <xdr:cNvPr id="3" name="Textfeld 2">
          <a:extLst>
            <a:ext uri="{FF2B5EF4-FFF2-40B4-BE49-F238E27FC236}">
              <a16:creationId xmlns:a16="http://schemas.microsoft.com/office/drawing/2014/main" id="{5212EFC3-B19F-66F6-594B-DC4BC8C3A66C}"/>
            </a:ext>
          </a:extLst>
        </xdr:cNvPr>
        <xdr:cNvSpPr txBox="1"/>
      </xdr:nvSpPr>
      <xdr:spPr>
        <a:xfrm>
          <a:off x="26479501" y="64220913"/>
          <a:ext cx="705970" cy="392206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800">
              <a:solidFill>
                <a:srgbClr val="FF0000"/>
              </a:solidFill>
            </a:rPr>
            <a:t>P39</a:t>
          </a:r>
        </a:p>
      </xdr:txBody>
    </xdr:sp>
    <xdr:clientData/>
  </xdr:twoCellAnchor>
  <xdr:twoCellAnchor>
    <xdr:from>
      <xdr:col>25</xdr:col>
      <xdr:colOff>129989</xdr:colOff>
      <xdr:row>412</xdr:row>
      <xdr:rowOff>17931</xdr:rowOff>
    </xdr:from>
    <xdr:to>
      <xdr:col>26</xdr:col>
      <xdr:colOff>40341</xdr:colOff>
      <xdr:row>414</xdr:row>
      <xdr:rowOff>96372</xdr:rowOff>
    </xdr:to>
    <xdr:sp macro="" textlink="">
      <xdr:nvSpPr>
        <xdr:cNvPr id="4" name="Textfeld 3">
          <a:extLst>
            <a:ext uri="{FF2B5EF4-FFF2-40B4-BE49-F238E27FC236}">
              <a16:creationId xmlns:a16="http://schemas.microsoft.com/office/drawing/2014/main" id="{CF9F5685-D7B2-488D-A8F7-6BED13FB18F7}"/>
            </a:ext>
          </a:extLst>
        </xdr:cNvPr>
        <xdr:cNvSpPr txBox="1"/>
      </xdr:nvSpPr>
      <xdr:spPr>
        <a:xfrm>
          <a:off x="26811195" y="64653460"/>
          <a:ext cx="705970" cy="392206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800">
              <a:solidFill>
                <a:srgbClr val="FF0000"/>
              </a:solidFill>
            </a:rPr>
            <a:t>P38</a:t>
          </a:r>
        </a:p>
      </xdr:txBody>
    </xdr:sp>
    <xdr:clientData/>
  </xdr:twoCellAnchor>
  <xdr:twoCellAnchor>
    <xdr:from>
      <xdr:col>25</xdr:col>
      <xdr:colOff>13448</xdr:colOff>
      <xdr:row>407</xdr:row>
      <xdr:rowOff>69477</xdr:rowOff>
    </xdr:from>
    <xdr:to>
      <xdr:col>25</xdr:col>
      <xdr:colOff>719418</xdr:colOff>
      <xdr:row>409</xdr:row>
      <xdr:rowOff>147919</xdr:rowOff>
    </xdr:to>
    <xdr:sp macro="" textlink="">
      <xdr:nvSpPr>
        <xdr:cNvPr id="5" name="Textfeld 4">
          <a:extLst>
            <a:ext uri="{FF2B5EF4-FFF2-40B4-BE49-F238E27FC236}">
              <a16:creationId xmlns:a16="http://schemas.microsoft.com/office/drawing/2014/main" id="{89CAA199-E451-4C62-A0BD-CC761B681DCA}"/>
            </a:ext>
          </a:extLst>
        </xdr:cNvPr>
        <xdr:cNvSpPr txBox="1"/>
      </xdr:nvSpPr>
      <xdr:spPr>
        <a:xfrm>
          <a:off x="26694654" y="63920595"/>
          <a:ext cx="705970" cy="392206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800">
              <a:solidFill>
                <a:srgbClr val="FF0000"/>
              </a:solidFill>
            </a:rPr>
            <a:t>P43</a:t>
          </a:r>
        </a:p>
      </xdr:txBody>
    </xdr:sp>
    <xdr:clientData/>
  </xdr:twoCellAnchor>
  <xdr:twoCellAnchor>
    <xdr:from>
      <xdr:col>24</xdr:col>
      <xdr:colOff>412378</xdr:colOff>
      <xdr:row>404</xdr:row>
      <xdr:rowOff>121024</xdr:rowOff>
    </xdr:from>
    <xdr:to>
      <xdr:col>25</xdr:col>
      <xdr:colOff>322730</xdr:colOff>
      <xdr:row>407</xdr:row>
      <xdr:rowOff>42583</xdr:rowOff>
    </xdr:to>
    <xdr:sp macro="" textlink="">
      <xdr:nvSpPr>
        <xdr:cNvPr id="6" name="Textfeld 5">
          <a:extLst>
            <a:ext uri="{FF2B5EF4-FFF2-40B4-BE49-F238E27FC236}">
              <a16:creationId xmlns:a16="http://schemas.microsoft.com/office/drawing/2014/main" id="{1969078E-C081-41F0-9F52-0B942DC3D2F3}"/>
            </a:ext>
          </a:extLst>
        </xdr:cNvPr>
        <xdr:cNvSpPr txBox="1"/>
      </xdr:nvSpPr>
      <xdr:spPr>
        <a:xfrm>
          <a:off x="26297966" y="63501495"/>
          <a:ext cx="705970" cy="392206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800">
              <a:solidFill>
                <a:srgbClr val="FF0000"/>
              </a:solidFill>
            </a:rPr>
            <a:t>P41</a:t>
          </a:r>
        </a:p>
      </xdr:txBody>
    </xdr:sp>
    <xdr:clientData/>
  </xdr:twoCellAnchor>
  <xdr:twoCellAnchor>
    <xdr:from>
      <xdr:col>26</xdr:col>
      <xdr:colOff>537882</xdr:colOff>
      <xdr:row>408</xdr:row>
      <xdr:rowOff>78441</xdr:rowOff>
    </xdr:from>
    <xdr:to>
      <xdr:col>27</xdr:col>
      <xdr:colOff>425823</xdr:colOff>
      <xdr:row>411</xdr:row>
      <xdr:rowOff>0</xdr:rowOff>
    </xdr:to>
    <xdr:sp macro="" textlink="">
      <xdr:nvSpPr>
        <xdr:cNvPr id="7" name="Textfeld 6">
          <a:extLst>
            <a:ext uri="{FF2B5EF4-FFF2-40B4-BE49-F238E27FC236}">
              <a16:creationId xmlns:a16="http://schemas.microsoft.com/office/drawing/2014/main" id="{F3E604D5-DEEB-4878-921E-F4D474DC4AA7}"/>
            </a:ext>
          </a:extLst>
        </xdr:cNvPr>
        <xdr:cNvSpPr txBox="1"/>
      </xdr:nvSpPr>
      <xdr:spPr>
        <a:xfrm>
          <a:off x="28014706" y="64086441"/>
          <a:ext cx="705970" cy="392206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800">
              <a:solidFill>
                <a:srgbClr val="FF0000"/>
              </a:solidFill>
            </a:rPr>
            <a:t>P42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62C3F9-C668-485F-B079-098417AE4BB8}" name="Rohrschelle_leicht" displayName="Rohrschelle_leicht" ref="B5:Q29" totalsRowShown="0">
  <autoFilter ref="B5:Q29" xr:uid="{3B62C3F9-C668-485F-B079-098417AE4BB8}"/>
  <tableColumns count="16">
    <tableColumn id="1" xr3:uid="{49AA2486-C46A-4F7E-8842-1BB163839C3A}" name="DN"/>
    <tableColumn id="2" xr3:uid="{E982F1BA-E8AA-47BA-99BA-82950C2F9426}" name="IN"/>
    <tableColumn id="3" xr3:uid="{BBE3C2E9-D9F0-4133-BC0E-60141A99A54B}" name="OD"/>
    <tableColumn id="4" xr3:uid="{706C55EB-0471-4ACB-8BE7-C993A3E8A902}" name="A"/>
    <tableColumn id="5" xr3:uid="{B46FE499-A52A-4B42-A0A8-2ED9CC57978B}" name="C"/>
    <tableColumn id="6" xr3:uid="{3BE22879-8BA1-4290-9169-DA244DFECD17}" name="D2"/>
    <tableColumn id="7" xr3:uid="{B631A2D9-32D9-49F3-9C0F-C28F14A7FF99}" name="f"/>
    <tableColumn id="8" xr3:uid="{CBD38142-6CA1-4468-A37E-BF737E65CF59}" name="r"/>
    <tableColumn id="9" xr3:uid="{FA7C12A0-3BDF-4C44-A422-43A6BBB5748E}" name="B"/>
    <tableColumn id="10" xr3:uid="{E6BE8D3B-1476-43DB-9499-3807625B6F1F}" name="x"/>
    <tableColumn id="11" xr3:uid="{6B487740-C4BE-4C6D-9300-E73488D51E71}" name="s/sC"/>
    <tableColumn id="12" xr3:uid="{F26BB7B2-7A9B-4CEB-91EF-7DE832C69DC1}" name="Bolt"/>
    <tableColumn id="13" xr3:uid="{F9C99FBC-E069-4803-BE61-3B9303A27EE9}" name="x2"/>
    <tableColumn id="14" xr3:uid="{786773B6-5389-4848-9EED-3DA22D471951}" name="BLEN"/>
    <tableColumn id="15" xr3:uid="{E0D0A28B-7D92-47B9-A22E-B987E198382F}" name="Torque"/>
    <tableColumn id="16" xr3:uid="{0391C5FE-119A-4676-9335-767F2F1148A9}" name="Gewicht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D2205F-935A-4D13-B9A6-E89E94022439}" name="Rohrschelle_schwer" displayName="Rohrschelle_schwer" ref="B33:Q57" totalsRowShown="0" headerRowDxfId="188" headerRowBorderDxfId="187" tableBorderDxfId="186">
  <autoFilter ref="B33:Q57" xr:uid="{45D2205F-935A-4D13-B9A6-E89E94022439}"/>
  <tableColumns count="16">
    <tableColumn id="1" xr3:uid="{900051A3-E55B-481D-AAD7-84ADCFF86E4D}" name="DN"/>
    <tableColumn id="2" xr3:uid="{1D3EB74C-823D-4135-B441-E0E4AB2DBD31}" name="IN" dataDxfId="185"/>
    <tableColumn id="3" xr3:uid="{095B42FB-DE2C-4475-BD71-327E00CC0879}" name="OD"/>
    <tableColumn id="4" xr3:uid="{ED7C18E5-CB9D-4F0A-96A6-466AAC03430B}" name="A"/>
    <tableColumn id="5" xr3:uid="{C0FABE62-C31F-4BE4-AD06-8AE26E275E7E}" name="C"/>
    <tableColumn id="6" xr3:uid="{AF17E175-EB6E-4DAC-84DA-958D803149DA}" name="D2"/>
    <tableColumn id="7" xr3:uid="{3706DEFE-C7AF-488C-8A92-1221C394071F}" name="f"/>
    <tableColumn id="8" xr3:uid="{EBB379DC-60D8-4ECE-B27B-EFD9DA363592}" name="r"/>
    <tableColumn id="9" xr3:uid="{1B4239D6-BC80-42B9-B815-B74FDB7FA556}" name="B"/>
    <tableColumn id="10" xr3:uid="{BA30052F-3A5D-437E-91A1-C8CBC7C550BD}" name="x"/>
    <tableColumn id="11" xr3:uid="{BA1134BB-3EED-4178-B914-4C0A22ED65A7}" name="s/sC"/>
    <tableColumn id="12" xr3:uid="{ECD8FDE3-BA39-44A3-AC28-135F03A147D2}" name="Bolt"/>
    <tableColumn id="13" xr3:uid="{E5727E17-0784-4ECD-BAE8-3A45C9CEEA5D}" name="x2"/>
    <tableColumn id="14" xr3:uid="{526235BB-3EDF-4EEC-8A0D-BA7CDBCD4995}" name="BLEN"/>
    <tableColumn id="15" xr3:uid="{E599B402-575C-426A-9E65-51FD7FBF0D0D}" name="Torque"/>
    <tableColumn id="16" xr3:uid="{71DBEB74-3D54-4507-881A-006C64143707}" name="Gewicht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314B0E7-8B82-4E6A-B64A-B1A1D0D25E1C}" name="Flachnocken" displayName="Flachnocken" ref="B89:I113" totalsRowShown="0" tableBorderDxfId="184">
  <autoFilter ref="B89:I113" xr:uid="{D314B0E7-8B82-4E6A-B64A-B1A1D0D25E1C}"/>
  <tableColumns count="8">
    <tableColumn id="1" xr3:uid="{3DF40215-7E8D-4B96-B104-CB7F5808E3F5}" name="DN" dataDxfId="183"/>
    <tableColumn id="2" xr3:uid="{5E0E1B58-DC28-49BC-8280-4EDF2F0F2621}" name="A"/>
    <tableColumn id="3" xr3:uid="{AE7143E9-E8D7-4181-BDB3-AE9EF32C1F3C}" name="B"/>
    <tableColumn id="4" xr3:uid="{E4410E78-46F5-4AF2-8B88-1925596521AF}" name="S"/>
    <tableColumn id="5" xr3:uid="{B15CF33E-97F6-4F92-92A1-E7FCF9C38C81}" name="a2"/>
    <tableColumn id="6" xr3:uid="{DD94441E-6149-41C6-BC8A-BDA2E7D1310E}" name="leicht_STK"/>
    <tableColumn id="7" xr3:uid="{26C54533-AC3D-4523-A359-EADF6F5918E5}" name="schwer_STK"/>
    <tableColumn id="8" xr3:uid="{20CEF3EE-5FCF-41EC-9570-BF09396AE88E}" name="STK_Auswahl" dataDxfId="182">
      <calculatedColumnFormula>IF($F$1="leicht",Flachnocken[[#This Row],[leicht_STK]],IF($F$1="schwer",Flachnocken[[#This Row],[schwer_STK]]))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A6044DA-01EE-433C-A8DA-2B127D8CEC3F}" name="Axialstopp" displayName="Axialstopp" ref="B117:I141" totalsRowShown="0" tableBorderDxfId="181">
  <autoFilter ref="B117:I141" xr:uid="{EA6044DA-01EE-433C-A8DA-2B127D8CEC3F}"/>
  <tableColumns count="8">
    <tableColumn id="1" xr3:uid="{CC1467C4-8554-4F3A-B59E-5FFE882EB24E}" name="DN" dataDxfId="180"/>
    <tableColumn id="2" xr3:uid="{B7C3F5FA-8214-461F-8717-56525385A209}" name="leicht_Laenge"/>
    <tableColumn id="3" xr3:uid="{A80A362C-EEE7-4206-B878-081C9F38A910}" name="schwer_Laenge"/>
    <tableColumn id="4" xr3:uid="{B8808EAD-8DAA-40A9-BC09-DBBED9DD105C}" name="W"/>
    <tableColumn id="5" xr3:uid="{4CF23CE1-7C38-43D1-A737-5BD509D8C97B}" name="H"/>
    <tableColumn id="6" xr3:uid="{A0343A64-50E6-4F88-AE7E-3B8C3E42B473}" name="BWID" dataDxfId="179"/>
    <tableColumn id="7" xr3:uid="{74AFA6A5-D9DC-4EC4-B973-242D866E5F21}" name="CLEA"/>
    <tableColumn id="8" xr3:uid="{75CB0554-03F5-4810-B0E8-1F8AE439E37A}" name="L_Auswahl" dataDxfId="178">
      <calculatedColumnFormula>IF($F$1="leicht",Axialstopp[[#This Row],[leicht_Laenge]],IF($F$1="schwer",Axialstopp[[#This Row],[schwer_Laenge]]))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684377C-F3A1-452D-9443-09AA736CE315}" name="Prim_Supp_leicht_edel" displayName="Prim_Supp_leicht_edel" ref="B145:O169" totalsRowShown="0">
  <autoFilter ref="B145:O169" xr:uid="{7684377C-F3A1-452D-9443-09AA736CE315}"/>
  <tableColumns count="14">
    <tableColumn id="1" xr3:uid="{77F96474-BFBF-4F63-9A1C-00D4EE312956}" name="DN"/>
    <tableColumn id="2" xr3:uid="{FFDF00AA-74B0-4F2B-99C9-E3F186528772}" name="IN"/>
    <tableColumn id="3" xr3:uid="{DDA7EB16-75DB-4421-AE5A-E97E79F40AFA}" name="OD"/>
    <tableColumn id="4" xr3:uid="{C1F87343-2320-4EB5-9026-6663A22AB8D0}" name="sC"/>
    <tableColumn id="5" xr3:uid="{9CB4CA74-871B-43A6-8DB9-DFAEC059DA57}" name="W"/>
    <tableColumn id="6" xr3:uid="{77D071CC-802A-4DF2-BF16-01FEA3D6E8BD}" name="s_Blech"/>
    <tableColumn id="7" xr3:uid="{01E6DEBA-3421-4AB2-A694-16BD1EFDFC0E}" name="CL"/>
    <tableColumn id="8" xr3:uid="{77347317-1617-4A3A-A3EB-5362A75C6BF9}" name="GB_GS"/>
    <tableColumn id="9" xr3:uid="{1CC1290F-816F-4DDB-8898-A074ACB500FC}" name="SB_SS"/>
    <tableColumn id="10" xr3:uid="{2D14A8BC-DEE5-4492-BD14-3B4540C238FA}" name="FP"/>
    <tableColumn id="11" xr3:uid="{10D95BEF-AC6B-4AA0-AE07-7D952AF0BBCF}" name="PFP"/>
    <tableColumn id="12" xr3:uid="{7DD147C6-CF11-482C-9670-6C7B9D4D511F}" name="Ausf"/>
    <tableColumn id="13" xr3:uid="{87C0D8BD-1D8C-40F3-8E8F-0DC55898DC8E}" name="U_height"/>
    <tableColumn id="14" xr3:uid="{84E5053F-8639-4BC9-B2AB-E390C50C199F}" name="Ext"/>
  </tableColumns>
  <tableStyleInfo name="TableStyleLight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29103AA-BD19-499A-BE07-BE2932089E68}" name="Prim_Supp_schwer_edel" displayName="Prim_Supp_schwer_edel" ref="B173:O197" totalsRowShown="0">
  <autoFilter ref="B173:O197" xr:uid="{C29103AA-BD19-499A-BE07-BE2932089E68}"/>
  <tableColumns count="14">
    <tableColumn id="1" xr3:uid="{85EBA2C9-CC11-4471-BD1B-477BF7EEE6B5}" name="DN"/>
    <tableColumn id="2" xr3:uid="{6627D5BF-E304-42AD-BF1B-460F74974DFB}" name="IN" dataDxfId="177"/>
    <tableColumn id="3" xr3:uid="{5116841E-CDDD-4BBF-9D7A-39F7DE010D7A}" name="OD"/>
    <tableColumn id="4" xr3:uid="{F24B9C8A-46C9-4D53-870A-1FA193A7093F}" name="sC"/>
    <tableColumn id="5" xr3:uid="{9EA87C7D-28D3-45B4-AC47-2D8D5705F06F}" name="W"/>
    <tableColumn id="6" xr3:uid="{BE7C688A-096F-4913-ABD7-3159D883D97D}" name="s_Blech"/>
    <tableColumn id="7" xr3:uid="{BEE9BAC4-A649-48BA-977B-B528DA40E0B6}" name="CL"/>
    <tableColumn id="8" xr3:uid="{B269D2A9-B2CA-48A9-8092-432B77836754}" name="GB_GS"/>
    <tableColumn id="9" xr3:uid="{27AC74C8-883B-4AB6-9FC0-0D9DB2C745DB}" name="SB_SS"/>
    <tableColumn id="10" xr3:uid="{86816615-0BCD-4B68-AF0E-20EEFFF38AE6}" name="FP"/>
    <tableColumn id="11" xr3:uid="{ECADE4CC-4341-4D91-8E85-FDD46EDB3DE5}" name="PFP"/>
    <tableColumn id="12" xr3:uid="{209C3F83-761E-4B5E-B4E9-6A638587E20B}" name="Ausf"/>
    <tableColumn id="13" xr3:uid="{13FC0379-819F-4FA9-AFC2-6786DFB73D64}" name="U_height"/>
    <tableColumn id="14" xr3:uid="{7A4D5AA8-6515-452A-B9CA-37BDBFE4DE6E}" name="Ext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53453C7-261E-424C-B82D-223F51D61C90}" name="Prim_Supp_leicht_Csteel" displayName="Prim_Supp_leicht_Csteel" ref="Q145:AD169" totalsRowShown="0">
  <autoFilter ref="Q145:AD169" xr:uid="{553453C7-261E-424C-B82D-223F51D61C90}"/>
  <tableColumns count="14">
    <tableColumn id="1" xr3:uid="{885741B9-1521-4827-8CCE-29DF3ADE7458}" name="DN"/>
    <tableColumn id="2" xr3:uid="{7A443C3C-188D-4FF4-80FF-580FC3349CB2}" name="IN"/>
    <tableColumn id="3" xr3:uid="{DB208A0A-AA54-48A2-BEAF-FFFA0E34DCF1}" name="OD"/>
    <tableColumn id="4" xr3:uid="{A36B288F-6C92-4633-8073-A5E2E36DA12F}" name="sC"/>
    <tableColumn id="5" xr3:uid="{71F06F62-100B-4339-98BA-8BDDA38DE5C3}" name="W"/>
    <tableColumn id="6" xr3:uid="{3B792513-1475-4DBD-822E-72FE03029017}" name="s_Blech"/>
    <tableColumn id="7" xr3:uid="{A6522DA2-4E22-4432-B182-44EAFF871E42}" name="CL"/>
    <tableColumn id="8" xr3:uid="{9CAFD1F2-2EEF-41A7-A4D9-D44F0F710A03}" name="GB_GS"/>
    <tableColumn id="9" xr3:uid="{532E7B5F-78E3-4BFA-81C6-86C1905CED1E}" name="SB_SS"/>
    <tableColumn id="10" xr3:uid="{08CA8E90-CA22-4C3A-8C6F-D61D5061EDCA}" name="FP"/>
    <tableColumn id="11" xr3:uid="{0CBDCE17-2A7D-4635-900E-D557D6E56EEA}" name="PFP"/>
    <tableColumn id="12" xr3:uid="{B0705D9F-3CF6-4E39-8F80-06A6AE0CADCE}" name="Ausf"/>
    <tableColumn id="14" xr3:uid="{134A9FC0-0393-4CB1-AEA1-441ECB27FE80}" name="U_height">
      <calculatedColumnFormula>Prim_Supp_leicht_edel[[#This Row],[U_height]]</calculatedColumnFormula>
    </tableColumn>
    <tableColumn id="15" xr3:uid="{E1A3A3DA-81E4-421C-AE92-243D101BA381}" name="Ext"/>
  </tableColumns>
  <tableStyleInfo name="TableStyleLight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F6AF1DD-4358-4C64-9919-F59E8AAF519D}" name="Prim_Supp_schwer_Csteel" displayName="Prim_Supp_schwer_Csteel" ref="Q173:AD197" totalsRowShown="0">
  <autoFilter ref="Q173:AD197" xr:uid="{2F6AF1DD-4358-4C64-9919-F59E8AAF519D}"/>
  <tableColumns count="14">
    <tableColumn id="1" xr3:uid="{514F73F9-DDDA-47A5-9A9B-7DE763C4E8E2}" name="DN"/>
    <tableColumn id="2" xr3:uid="{21AD368D-542F-4D16-A8D3-B6F62485EFE8}" name="IN" dataDxfId="176"/>
    <tableColumn id="3" xr3:uid="{7AE6A928-CEA5-4AAD-8BDC-7E52C09B725D}" name="OD"/>
    <tableColumn id="4" xr3:uid="{62E2BC38-2EF2-486C-9980-85B789FCEE74}" name="sC"/>
    <tableColumn id="5" xr3:uid="{DF0BB455-8C6E-4CA3-96D7-4DB983D80E62}" name="W"/>
    <tableColumn id="6" xr3:uid="{D76D3C3E-C23A-44ED-8579-50E870764029}" name="s_Blech"/>
    <tableColumn id="7" xr3:uid="{DB966B98-96E8-4F63-9C85-3C90AE173ACC}" name="CL"/>
    <tableColumn id="8" xr3:uid="{5B0554B3-7803-4DBD-84BC-D8D61A5DED4F}" name="GB_GS"/>
    <tableColumn id="9" xr3:uid="{8F4E1A7D-D3C5-41E7-BA76-4E17D256F5B9}" name="SB_SS"/>
    <tableColumn id="10" xr3:uid="{B73204D3-2789-4B70-B050-618C0DC6D1CD}" name="FP"/>
    <tableColumn id="11" xr3:uid="{9E1CE585-9D40-434E-83D4-F9F5A09B5AD8}" name="PFP"/>
    <tableColumn id="12" xr3:uid="{85647541-11EA-41A7-AB4E-990FB0C0CFFB}" name="Ausf"/>
    <tableColumn id="13" xr3:uid="{1A421ACA-0982-4B55-9020-8C749C0FE891}" name="U_height" dataDxfId="175">
      <calculatedColumnFormula>Prim_Supp_schwer_edel[[#This Row],[U_height]]</calculatedColumnFormula>
    </tableColumn>
    <tableColumn id="14" xr3:uid="{2B59F399-B61C-4627-95F7-FE6D4CA4EEEE}" name="Ext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A0C7CB2-B743-46D6-8EF9-FE566E0F8EC4}" name="Null" displayName="Null" ref="B231:F255" totalsRowShown="0" headerRowDxfId="174" dataDxfId="172" headerRowBorderDxfId="173" tableBorderDxfId="171" totalsRowBorderDxfId="170">
  <autoFilter ref="B231:F255" xr:uid="{EA0C7CB2-B743-46D6-8EF9-FE566E0F8EC4}"/>
  <tableColumns count="5">
    <tableColumn id="1" xr3:uid="{D794E876-F7B0-45FD-A00C-6109B578BAD7}" name="DN" dataDxfId="169"/>
    <tableColumn id="2" xr3:uid="{5A37F945-DD34-4597-A316-53215808B034}" name="Coco" dataDxfId="168"/>
    <tableColumn id="3" xr3:uid="{63C307C5-9D3B-4606-BEEE-47E423C084B9}" name="Null" dataDxfId="167"/>
    <tableColumn id="4" xr3:uid="{1C8CEFC9-E92F-48E9-9583-42C3093B230C}" name="Angle_LH" dataDxfId="166"/>
    <tableColumn id="6" xr3:uid="{459C604C-E653-4A91-8899-30D5D8D5298D}" name="Angle_DK" dataDxfId="165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4DCB886-A136-4636-A899-F2B35F057EBC}" name="LT_Stahl_DK_Sliding" displayName="LT_Stahl_DK_Sliding" ref="B259:F283" totalsRowShown="0" tableBorderDxfId="164">
  <autoFilter ref="B259:F283" xr:uid="{74DCB886-A136-4636-A899-F2B35F057EBC}"/>
  <tableColumns count="5">
    <tableColumn id="1" xr3:uid="{D20F5A42-FB5C-4EE6-8602-31E35890C203}" name="DN" dataDxfId="163"/>
    <tableColumn id="2" xr3:uid="{2D87E6F1-A8F6-4F56-A664-85AEFB014098}" name="H"/>
    <tableColumn id="3" xr3:uid="{1CC907A3-0C39-4E35-B52F-F1D3E0DAA4D5}" name="B"/>
    <tableColumn id="4" xr3:uid="{C6BD8A7A-E939-48AC-84B7-F0888388AB30}" name="S"/>
    <tableColumn id="5" xr3:uid="{04A5BDF3-A6EB-40A2-BFD0-175E72D361AC}" name="Type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0ACC067-5688-41B3-9B58-84BC597E2EDC}" name="Schuh_Laenge" displayName="Schuh_Laenge" ref="B315:F339" totalsRowShown="0" tableBorderDxfId="162">
  <autoFilter ref="B315:F339" xr:uid="{70ACC067-5688-41B3-9B58-84BC597E2EDC}"/>
  <tableColumns count="5">
    <tableColumn id="1" xr3:uid="{EF53AAC3-EEFB-4725-B1B9-444FA1771960}" name="DN" dataDxfId="161"/>
    <tableColumn id="2" xr3:uid="{41A55A6B-CB3E-4426-9CEE-11B7635348B5}" name="Leicht"/>
    <tableColumn id="3" xr3:uid="{F7F90482-7925-4FD1-AF8A-3360F9581632}" name="Schwer"/>
    <tableColumn id="4" xr3:uid="{D9EBCEB3-4FAB-4683-B68A-10E6308A94BA}" name="DK"/>
    <tableColumn id="5" xr3:uid="{ACEDD2B7-9A6B-4929-B1BA-F4EDA0723635}" name="L_Auswahl" dataDxfId="160">
      <calculatedColumnFormula>IF($F$1="leicht",Schuh_Laenge[[#This Row],[Leicht]],IF($F$1="schwer",Schuh_Laenge[[#This Row],[Schwer]]))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7A08010-BF1B-4D9B-9DCB-91643DAF47DB}" name="Schelle_Abs_vom_Rand" displayName="Schelle_Abs_vom_Rand" ref="B343:F367" totalsRowShown="0" headerRowDxfId="159" headerRowBorderDxfId="158" tableBorderDxfId="157">
  <autoFilter ref="B343:F367" xr:uid="{77A08010-BF1B-4D9B-9DCB-91643DAF47DB}"/>
  <tableColumns count="5">
    <tableColumn id="1" xr3:uid="{903E4276-E055-43BB-8383-84C6DEF65AF2}" name="DN" dataDxfId="156"/>
    <tableColumn id="2" xr3:uid="{C74ACDB0-23C4-4F00-B930-E5657CE80208}" name="Leicht"/>
    <tableColumn id="3" xr3:uid="{59A5B134-366B-4787-82DA-3F028BFA3B85}" name="Schwer"/>
    <tableColumn id="4" xr3:uid="{A390368E-AF62-4F97-AA5E-E0B740CAAA06}" name="D_K"/>
    <tableColumn id="5" xr3:uid="{41A8CEEE-8A50-44E9-A7B9-F1C6FBBFCF0E}" name="Abs_Auswahl" dataDxfId="155">
      <calculatedColumnFormula>IF($F$1="leicht",Schelle_Abs_vom_Rand[[#This Row],[Leicht]],IF($F$1="schwer",Schelle_Abs_vom_Rand[[#This Row],[Schwer]]))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4735E464-C330-4519-9F63-3093DE68AE48}" name="Guide_Leicht" displayName="Guide_Leicht" ref="B371:J395" totalsRowShown="0" tableBorderDxfId="154">
  <autoFilter ref="B371:J395" xr:uid="{4735E464-C330-4519-9F63-3093DE68AE48}"/>
  <tableColumns count="9">
    <tableColumn id="1" xr3:uid="{CB52AEA8-4F63-410A-BB66-DEA9BA0A9498}" name="DN" dataDxfId="153"/>
    <tableColumn id="2" xr3:uid="{1C4F297D-D7B0-4AE1-8EE9-4EC402F4FBDE}" name="GBBW"/>
    <tableColumn id="3" xr3:uid="{4A3BAF76-60EE-4927-8D3F-C8934BB74CE4}" name="GBIH"/>
    <tableColumn id="4" xr3:uid="{AD1E7B95-4D30-4760-9710-2B1C39F8449C}" name="GMAS">
      <calculatedColumnFormula>(((Guide_Leicht[[#This Row],[GBWI]]*Guide_Leicht[[#This Row],[GBHE]])-((Guide_Leicht[[#This Row],[GBWI]]-Guide_Leicht[[#This Row],[GBBW]])*Guide_Leicht[[#This Row],[GBIH]]))*Guide_Leicht[[#This Row],[GBLE]])*$H$1/1000</calculatedColumnFormula>
    </tableColumn>
    <tableColumn id="5" xr3:uid="{0F7104B7-76BD-48F0-B834-466ECBAD7ACB}" name="GBWI"/>
    <tableColumn id="6" xr3:uid="{A0A3B28A-474C-4AD4-A346-F4E5BE3EE590}" name="GBHE"/>
    <tableColumn id="7" xr3:uid="{086BC17C-A485-4A22-96AD-38B1D964E31E}" name="GBLE"/>
    <tableColumn id="8" xr3:uid="{8E1CA2AB-30BA-4C15-8B05-C7DB16AF9289}" name="GBTH"/>
    <tableColumn id="9" xr3:uid="{D37CB9B1-394F-4318-B56D-5518704A8908}" name="GBDS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7E834180-DA09-4EBC-B079-1E797763AC5B}" name="Axialstopp_DK" displayName="Axialstopp_DK" ref="K117:P141" totalsRowShown="0" tableBorderDxfId="152">
  <autoFilter ref="K117:P141" xr:uid="{7E834180-DA09-4EBC-B079-1E797763AC5B}"/>
  <tableColumns count="6">
    <tableColumn id="1" xr3:uid="{94E576DB-28B0-43C5-9FCE-23D1AF3FF771}" name="DN" dataDxfId="151"/>
    <tableColumn id="2" xr3:uid="{C6F4260A-DFE7-477A-B298-009FE0FDFD3C}" name="L_DK"/>
    <tableColumn id="4" xr3:uid="{7B427857-78EE-4910-B9B9-FB2D44CC8E37}" name="W"/>
    <tableColumn id="5" xr3:uid="{9C63B7C3-4900-49F6-9BBB-659FFC4FC544}" name="H"/>
    <tableColumn id="6" xr3:uid="{2E41BF30-10F8-4807-BC30-1D17301ACF57}" name="BWID" dataDxfId="150"/>
    <tableColumn id="7" xr3:uid="{BB8F1C14-2846-4CF1-9494-E2F6A1409D29}" name="CLEA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79B0AAC5-07A5-4A09-8F76-DAF73B177504}" name="Flachnocken_DK" displayName="Flachnocken_DK" ref="K89:Q113" totalsRowShown="0" tableBorderDxfId="149">
  <autoFilter ref="K89:Q113" xr:uid="{79B0AAC5-07A5-4A09-8F76-DAF73B177504}"/>
  <tableColumns count="7">
    <tableColumn id="1" xr3:uid="{8DCA4330-796D-44C8-BB7E-8277877E44EC}" name="DN" dataDxfId="148"/>
    <tableColumn id="2" xr3:uid="{1A5BB5C5-C34A-4BDA-8CC0-8E6D61376B50}" name="A"/>
    <tableColumn id="3" xr3:uid="{DAE6CFC3-C5CA-4AA9-B04B-0EA6CF377E7B}" name="B"/>
    <tableColumn id="4" xr3:uid="{1D90C629-43BA-4350-A792-4191378E6414}" name="S"/>
    <tableColumn id="5" xr3:uid="{9CAB6B45-F5A4-4380-9369-81ED8E5A056E}" name="a2"/>
    <tableColumn id="6" xr3:uid="{3C1885D1-904A-4A17-8D5D-ABCC9CF3491B}" name="DK_STK"/>
    <tableColumn id="7" xr3:uid="{1FA708AF-C87A-4CF7-8D53-2BDA4C421924}" name="Arch_Angle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131542DF-E778-4E32-BBE2-12A8EA3DE186}" name="Guide_DK" displayName="Guide_DK" ref="V371:AD395" totalsRowShown="0">
  <autoFilter ref="V371:AD395" xr:uid="{131542DF-E778-4E32-BBE2-12A8EA3DE186}"/>
  <tableColumns count="9">
    <tableColumn id="9" xr3:uid="{5726A935-CF66-4963-A668-22D6500B8F98}" name="DN" dataDxfId="147"/>
    <tableColumn id="1" xr3:uid="{CF950C4C-C66B-4436-A8D7-4B8DFF682884}" name="GBBW"/>
    <tableColumn id="2" xr3:uid="{B697F9EA-118D-44D5-AACE-87248E60D9D0}" name="GBIH"/>
    <tableColumn id="3" xr3:uid="{2FB3BF34-F7CA-4A93-9E65-3893C9045992}" name="GMAS" dataDxfId="146">
      <calculatedColumnFormula>IF(E494,((((Guide_DK[[#This Row],[GBWI]]*Guide_DK[[#This Row],[GBHE]])-((Guide_DK[[#This Row],[GBWI]]-Guide_DK[[#This Row],[GBBW]])*Guide_DK[[#This Row],[GBIH]]))*Guide_DK[[#This Row],[GBLE]])*$K$1/1000)*2,0)</calculatedColumnFormula>
    </tableColumn>
    <tableColumn id="4" xr3:uid="{8355983C-6671-4B4C-A7AE-F910D9378457}" name="GBWI"/>
    <tableColumn id="5" xr3:uid="{92F5CDA5-C4E8-46DA-9938-742EF2777390}" name="GBHE"/>
    <tableColumn id="6" xr3:uid="{0B71700C-7CE9-4D94-A53F-CDE431353A52}" name="GBLE"/>
    <tableColumn id="7" xr3:uid="{F1AFF469-362D-4807-B893-A055EB3D0158}" name="GBTH"/>
    <tableColumn id="8" xr3:uid="{C26B7346-BCA3-443D-9B64-A6253182CA9D}" name="GBDS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AF34BDE4-79C6-43F9-9F74-5C6F0F7E2CC4}" name="Sliding_Plate" displayName="Sliding_Plate" ref="B427:F451" totalsRowShown="0" headerRowDxfId="145" dataDxfId="143" headerRowBorderDxfId="144" tableBorderDxfId="142" totalsRowBorderDxfId="141">
  <autoFilter ref="B427:F451" xr:uid="{AF34BDE4-79C6-43F9-9F74-5C6F0F7E2CC4}"/>
  <tableColumns count="5">
    <tableColumn id="1" xr3:uid="{B10C7ACF-C264-4D98-89D0-2FDDFDCC17BA}" name="DN" dataDxfId="140"/>
    <tableColumn id="2" xr3:uid="{6B71F2A3-14CB-45A9-9723-98AB7A305CD7}" name="L" dataDxfId="139"/>
    <tableColumn id="3" xr3:uid="{4600585A-5BF0-47CA-AA17-7022164BF62C}" name="W" dataDxfId="138"/>
    <tableColumn id="4" xr3:uid="{1A5FC584-B9ED-4B9A-9986-C93B41FC3986}" name="THK_PLT" dataDxfId="137"/>
    <tableColumn id="5" xr3:uid="{3F4913AA-258F-490A-ADFE-A05DC90E1594}" name="THK_SHOE" dataDxfId="136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CBAD412C-9601-468C-A6A3-84532B911612}" name="Weld" displayName="Weld" ref="H231:L255" totalsRowShown="0" tableBorderDxfId="135">
  <autoFilter ref="H231:L255" xr:uid="{CBAD412C-9601-468C-A6A3-84532B911612}"/>
  <tableColumns count="5">
    <tableColumn id="1" xr3:uid="{183E7AE0-857F-46FF-A932-E197A6D28473}" name="DN" dataDxfId="134"/>
    <tableColumn id="2" xr3:uid="{A02E5526-B46B-490D-A08D-CEFC5B53DAE8}" name="A_Leicht"/>
    <tableColumn id="3" xr3:uid="{4350F37A-9793-423D-9D8B-451C6CE858DD}" name="A_Schwer"/>
    <tableColumn id="4" xr3:uid="{E126F78D-1328-401A-9E4A-196063573D89}" name="DK"/>
    <tableColumn id="5" xr3:uid="{1464B0A0-172B-4422-A52C-84CDFE7CA8CE}" name="A_Auswahl" dataDxfId="133">
      <calculatedColumnFormula>IF($F$1="leicht",Weld[[#This Row],[A_Leicht]],IF($F$1="schwer",Weld[[#This Row],[A_Schwer]]))</calculatedColumnFormula>
    </tableColumn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CFC378A-C239-4E13-BDD0-B31CAA1E93D1}" name="Stiffener" displayName="Stiffener" ref="B457:K481" totalsRowShown="0" tableBorderDxfId="132">
  <autoFilter ref="B457:K481" xr:uid="{7CFC378A-C239-4E13-BDD0-B31CAA1E93D1}"/>
  <tableColumns count="10">
    <tableColumn id="1" xr3:uid="{8E0359B7-23D3-44F1-B412-F8C8507E1367}" name="DN" dataDxfId="131"/>
    <tableColumn id="2" xr3:uid="{A0C11EE4-1786-415F-BB17-0FC0F0B50D1E}" name="THK_Schwer"/>
    <tableColumn id="3" xr3:uid="{C8537845-846C-419D-AA89-32AEE7A90031}" name="THK_DK_Fixed"/>
    <tableColumn id="5" xr3:uid="{069A0467-4E2B-45DC-81AD-7AE3792D5615}" name="Bot_Dist_DK_Fixed"/>
    <tableColumn id="9" xr3:uid="{2CC329B5-D2A2-45A9-9575-B84FC883FE33}" name="H_DK_Fixed"/>
    <tableColumn id="4" xr3:uid="{E8F7BB33-2C7E-45E9-B6FC-4FB5F304870A}" name="THK_DK_Slid"/>
    <tableColumn id="6" xr3:uid="{EFE36F14-818B-4ED6-8C4B-645405E21CB6}" name="Bot_Dist_DK_Slid"/>
    <tableColumn id="7" xr3:uid="{4AA9DAB1-DC43-46BE-9B1F-331019239C84}" name="Inset_DK_Slid"/>
    <tableColumn id="8" xr3:uid="{0B5A42C4-9173-40DB-909A-51F46F92AB55}" name="H_DK_Slid"/>
    <tableColumn id="10" xr3:uid="{50BAF914-3CB4-46DB-BD17-87B3CFDBDC44}" name="THK_Auswahl" dataDxfId="130">
      <calculatedColumnFormula>IF($F$1="leicht",0,IF($F$1="schwer",Stiffener[[#This Row],[THK_Schwer]]))</calculatedColumnFormula>
    </tableColumn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CCC0DDB-E40E-4276-9B6C-CE1451101472}" name="Function" displayName="Function" ref="B485:E489" totalsRowShown="0">
  <autoFilter ref="B485:E489" xr:uid="{3CCC0DDB-E40E-4276-9B6C-CE1451101472}"/>
  <tableColumns count="4">
    <tableColumn id="1" xr3:uid="{C2E4A2B8-DB5F-4602-AA8C-435F34B9956D}" name="Code"/>
    <tableColumn id="2" xr3:uid="{4DD52807-1FD9-4819-9316-3B7A439FB440}" name="Desc"/>
    <tableColumn id="3" xr3:uid="{4FB0F237-951D-4DDE-959E-BDD96DD596ED}" name="T"/>
    <tableColumn id="4" xr3:uid="{EE534084-0EC9-490D-B5B0-C3F9327E0033}" name="LL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A0692C14-46A0-48B4-87C7-F2285AD93AE6}" name="LT_Stahl_DK_Fixed" displayName="LT_Stahl_DK_Fixed" ref="H259:L283" totalsRowShown="0" tableBorderDxfId="129">
  <autoFilter ref="H259:L283" xr:uid="{A0692C14-46A0-48B4-87C7-F2285AD93AE6}"/>
  <tableColumns count="5">
    <tableColumn id="1" xr3:uid="{0CB2EFF7-4FC2-4FC6-BCA3-36A3EBAD9246}" name="DN" dataDxfId="128"/>
    <tableColumn id="2" xr3:uid="{C56A79AF-8CFA-4D90-9FBF-702CC0CBD41B}" name="H"/>
    <tableColumn id="3" xr3:uid="{F5AAE22A-C3A8-497F-B7D8-0D6FA585B084}" name="B"/>
    <tableColumn id="4" xr3:uid="{7B72CF4F-D738-4FE7-810E-57D739F9A1CB}" name="S"/>
    <tableColumn id="5" xr3:uid="{EFD0D34F-8490-4ACC-85AD-7B2730EAB2EF}" name="Type">
      <calculatedColumnFormula>LT_Stahl_DK_Sliding[[#This Row],[Type]]</calculatedColumnFormula>
    </tableColumn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2FB60226-5582-44DD-8411-8594C284AAF6}" name="L_Stahl_LH" displayName="L_Stahl_LH" ref="N259:S283" totalsRowShown="0" tableBorderDxfId="127">
  <autoFilter ref="N259:S283" xr:uid="{2FB60226-5582-44DD-8411-8594C284AAF6}"/>
  <tableColumns count="6">
    <tableColumn id="1" xr3:uid="{E3210155-B1F0-42EA-98F1-13084838ECDF}" name="DN" dataDxfId="126"/>
    <tableColumn id="2" xr3:uid="{9D9A31FB-A715-4F5F-83FE-8D6A1F88A18B}" name="H"/>
    <tableColumn id="3" xr3:uid="{EEC993AD-532F-4432-9735-5384AB83C67B}" name="B"/>
    <tableColumn id="4" xr3:uid="{80BA6ED1-036D-49C0-85CF-B611C6D56261}" name="S"/>
    <tableColumn id="5" xr3:uid="{37C3A8F7-3FC6-49EF-82A3-EBE38536208E}" name="L"/>
    <tableColumn id="6" xr3:uid="{8E221EFB-7BAC-4934-ADAA-D6D2A5A9D028}" name="Gewicht" dataDxfId="125">
      <calculatedColumnFormula>IF(R202,((L_Stahl_LH[[#This Row],[L]]*(L_Stahl_LH[[#This Row],[H]]-L_Stahl_LH[[#This Row],[S]])*L_Stahl_LH[[#This Row],[S]])+(L_Stahl_LH[[#This Row],[L]]*L_Stahl_LH[[#This Row],[B]]*L_Stahl_LH[[#This Row],[S]]))*2*$H$1/1000,0)</calculatedColumnFormula>
    </tableColumn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273FB7B0-1A17-428D-928F-2677B99CE0B6}" name="Material" displayName="Material" ref="G485:G487" totalsRowShown="0">
  <autoFilter ref="G485:G487" xr:uid="{273FB7B0-1A17-428D-928F-2677B99CE0B6}"/>
  <tableColumns count="1">
    <tableColumn id="1" xr3:uid="{5F7A55AE-B9E5-495A-A776-4773ECF339F4}" name="Code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BCD9DF2E-6020-45D5-BD63-2B41E9436EBC}" name="Guide" displayName="Guide" ref="B399:J423" totalsRowShown="0" tableBorderDxfId="124">
  <autoFilter ref="B399:J423" xr:uid="{BCD9DF2E-6020-45D5-BD63-2B41E9436EBC}"/>
  <tableColumns count="9">
    <tableColumn id="1" xr3:uid="{39A21D57-4566-4457-8410-8AF00BB622A4}" name="DN" dataDxfId="123">
      <calculatedColumnFormula>IF($F$1="leicht",B372,IF($F$1="schwer",L372))</calculatedColumnFormula>
    </tableColumn>
    <tableColumn id="2" xr3:uid="{38545C1F-1FF4-413A-9681-12BD8A9F4D71}" name="GBBW" dataDxfId="122">
      <calculatedColumnFormula>IF($U400="Csteel",Guide_CSteel[[#This Row],[GBBW]],IF($F$1="leicht",C372,IF($F$1="schwer",M372)))</calculatedColumnFormula>
    </tableColumn>
    <tableColumn id="3" xr3:uid="{C1E5E785-EA31-4598-B854-41F1F425B657}" name="GBIH">
      <calculatedColumnFormula>IF($U400="Csteel",Guide_CSteel[[#This Row],[GBIH]],IF($F$1="leicht",D372,IF($F$1="schwer",N372)))</calculatedColumnFormula>
    </tableColumn>
    <tableColumn id="4" xr3:uid="{4AD7038C-13A6-4939-BE4C-E796E72D83A5}" name="GMAS" dataDxfId="121">
      <calculatedColumnFormula>IF(S202,IF($U400="Csteel",Guide_CSteel[[#This Row],[GMAS]],IF($F$1="leicht",E372,IF($F$1="schwer",O372)))*2,0)</calculatedColumnFormula>
    </tableColumn>
    <tableColumn id="5" xr3:uid="{776F8E11-3665-4F9C-84A1-7B90DC3D2C07}" name="GBWI">
      <calculatedColumnFormula>IF($U400="Csteel",Guide_CSteel[[#This Row],[GBWI]],IF($F$1="leicht",F372,IF($F$1="schwer",P372)))</calculatedColumnFormula>
    </tableColumn>
    <tableColumn id="6" xr3:uid="{618F8891-9911-4324-90D5-E900F7CA2B48}" name="GBHE">
      <calculatedColumnFormula>IF($U400="Csteel",Guide_CSteel[[#This Row],[GBHE]],IF($F$1="leicht",G372,IF($F$1="schwer",Q372)))</calculatedColumnFormula>
    </tableColumn>
    <tableColumn id="7" xr3:uid="{A5D7E9C1-8A04-4FD6-B3C7-FDD082581403}" name="GBLE">
      <calculatedColumnFormula>IF($U400="Csteel",Guide_CSteel[[#This Row],[GBLE]],IF($F$1="leicht",H372,IF($F$1="schwer",R372)))</calculatedColumnFormula>
    </tableColumn>
    <tableColumn id="8" xr3:uid="{E5AF50F6-1635-47D3-864C-E7E1098917BA}" name="GBTH">
      <calculatedColumnFormula>IF($U400="Csteel",Guide_CSteel[[#This Row],[GBTH]],IF($F$1="leicht",I372,IF($F$1="schwer",S372)))</calculatedColumnFormula>
    </tableColumn>
    <tableColumn id="9" xr3:uid="{284007F5-C28D-486E-949D-CEEC39FD6CE0}" name="GBDS">
      <calculatedColumnFormula>IF($U400="Csteel",Guide_CSteel[[#This Row],[GBDS]],IF($F$1="leicht",J372,IF($F$1="schwer",T372)))</calculatedColumnFormula>
    </tableColumn>
  </tableColumns>
  <tableStyleInfo name="TableStyleMedium3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5BEEA636-BC0C-4AEB-97A8-BBA78BE30C70}" name="Ausführung" displayName="Ausführung" ref="I485:I487" totalsRowShown="0">
  <autoFilter ref="I485:I487" xr:uid="{5BEEA636-BC0C-4AEB-97A8-BBA78BE30C70}"/>
  <tableColumns count="1">
    <tableColumn id="1" xr3:uid="{A7E39310-63A5-4C5C-A0B6-ACF4AC2E9595}" name="Code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D1E9D9FC-5549-44DC-B68F-01AC9AADD467}" name="Prim_Supp" displayName="Prim_Supp" ref="B201:U225" totalsRowShown="0">
  <autoFilter ref="B201:U225" xr:uid="{D1E9D9FC-5549-44DC-B68F-01AC9AADD467}"/>
  <tableColumns count="20">
    <tableColumn id="1" xr3:uid="{EB0726A1-A1EA-4444-9DA5-4587CEC4CDD2}" name="DN">
      <calculatedColumnFormula>IF($B$1="Stainless",IF($F$1="leicht",B146,IF($F$1="schwer",B174,"badType")),IF($B$1="Carbon",IF($F$1="leicht",Q146,IF($F$1="schwer",Q174,"badType")),"Badmat"))</calculatedColumnFormula>
    </tableColumn>
    <tableColumn id="2" xr3:uid="{D2311773-584D-4A97-B9DF-91643F29E54C}" name="IN">
      <calculatedColumnFormula>IF($B$1="Stainless",IF($F$1="leicht",C146,IF($F$1="schwer",C174,"badType")),IF($B$1="Carbon",IF($F$1="leicht",R146,IF($F$1="schwer",R174,"badType")),"Badmat"))</calculatedColumnFormula>
    </tableColumn>
    <tableColumn id="3" xr3:uid="{6C6DD95C-4241-4DDE-81F9-AF8CC8FBE154}" name="OD">
      <calculatedColumnFormula>IF($B$1="Stainless",IF($F$1="leicht",D146,IF($F$1="schwer",D174,"badType")),IF($B$1="Carbon",IF($F$1="leicht",S146,IF($F$1="schwer",S174,"badType")),"Badmat"))</calculatedColumnFormula>
    </tableColumn>
    <tableColumn id="4" xr3:uid="{92AA1CEB-B5AC-4EFD-851F-FF678501E619}" name="sC">
      <calculatedColumnFormula>IF($B$1="Stainless",IF($F$1="leicht",E146,IF($F$1="schwer",E174,"badType")),IF($B$1="Carbon",IF($F$1="leicht",T146,IF($F$1="schwer",T174,"badType")),"Badmat"))</calculatedColumnFormula>
    </tableColumn>
    <tableColumn id="5" xr3:uid="{B7243B1A-46ED-4FF5-AAF9-0EE7DF50E0AC}" name="W">
      <calculatedColumnFormula>IF($B$1="Stainless",IF($F$1="leicht",F146,IF($F$1="schwer",F174,"badType")),IF($B$1="Carbon",IF($F$1="leicht",U146,IF($F$1="schwer",U174,"badType")),"Badmat"))</calculatedColumnFormula>
    </tableColumn>
    <tableColumn id="6" xr3:uid="{F0CF9814-0581-4892-B32A-7F3D97726116}" name="s_Blech">
      <calculatedColumnFormula>IF($B$1="Stainless",IF($F$1="leicht",G146,IF($F$1="schwer",G174,"badType")),IF($B$1="Carbon",IF($F$1="leicht",V146,IF($F$1="schwer",V174,"badType")),"Badmat"))</calculatedColumnFormula>
    </tableColumn>
    <tableColumn id="7" xr3:uid="{4900888D-01F4-4CB7-B14B-BBFA85093F2B}" name="CL">
      <calculatedColumnFormula>IF($B$1="Stainless",IF($F$1="leicht",H146,IF($F$1="schwer",H174,"badType")),IF($B$1="Carbon",IF($F$1="leicht",W146,IF($F$1="schwer",W174,"badType")),"Badmat"))</calculatedColumnFormula>
    </tableColumn>
    <tableColumn id="8" xr3:uid="{60535D5A-C585-4209-B75A-B1A19E802A19}" name="GB_GS">
      <calculatedColumnFormula>IF($B$1="Stainless",IF($F$1="leicht",I146,IF($F$1="schwer",I174,"badType")),IF($B$1="Carbon",IF($F$1="leicht",X146,IF($F$1="schwer",X174,"badType")),"Badmat"))</calculatedColumnFormula>
    </tableColumn>
    <tableColumn id="9" xr3:uid="{F1420C80-B156-49F6-B3CC-15FF62A86D7F}" name="SB_SS">
      <calculatedColumnFormula>IF($B$1="Stainless",IF($F$1="leicht",J146,IF($F$1="schwer",J174,"badType")),IF($B$1="Carbon",IF($F$1="leicht",Y146,IF($F$1="schwer",Y174,"badType")),"Badmat"))</calculatedColumnFormula>
    </tableColumn>
    <tableColumn id="10" xr3:uid="{7F586324-ACF6-47C6-9450-1DC4BD642AC2}" name="FP">
      <calculatedColumnFormula>IF($B$1="Stainless",IF($F$1="leicht",K146,IF($F$1="schwer",K174,"badType")),IF($B$1="Carbon",IF($F$1="leicht",Z146,IF($F$1="schwer",Z174,"badType")),"Badmat"))</calculatedColumnFormula>
    </tableColumn>
    <tableColumn id="11" xr3:uid="{58940D5B-4326-4085-A6AD-5EBE30AA22A4}" name="PFP">
      <calculatedColumnFormula>IF($B$1="Stainless",IF($F$1="leicht",L146,IF($F$1="schwer",L174,"badType")),IF($B$1="Carbon",IF($F$1="leicht",AA146,IF($F$1="schwer",AA174,"badType")),"Badmat"))</calculatedColumnFormula>
    </tableColumn>
    <tableColumn id="12" xr3:uid="{4EC18754-1BAB-4F0D-897B-232A6199863A}" name="Ausf">
      <calculatedColumnFormula>IF($B$1="Stainless",IF($F$1="leicht",M146,IF($F$1="schwer",M174,"badType")),IF($B$1="Carbon",IF($F$1="leicht",AB146,IF($F$1="schwer",AB174,"badType")),"Badmat"))</calculatedColumnFormula>
    </tableColumn>
    <tableColumn id="13" xr3:uid="{AA707BBE-2FEC-46D2-B125-C01305F3F0AF}" name="U_height">
      <calculatedColumnFormula>IF($B$1="Stainless",IF($F$1="leicht",N146,IF($F$1="schwer",N174,"badType")),IF($B$1="Carbon",IF($F$1="leicht",AC146,IF($F$1="schwer",AC174,"badType")),"Badmat"))</calculatedColumnFormula>
    </tableColumn>
    <tableColumn id="14" xr3:uid="{AF006FD7-C6AB-4491-88C9-EAF94F012BDE}" name="Ext">
      <calculatedColumnFormula>IF($B$1="Stainless",IF($F$1="leicht",O146,IF($F$1="schwer",O174,"badType")),IF($B$1="Carbon",IF($F$1="leicht",AD146,IF($F$1="schwer",AD174,"badType")),"Badmat"))</calculatedColumnFormula>
    </tableColumn>
    <tableColumn id="15" xr3:uid="{1A6353E0-AC2D-4787-ADAB-0EAF8CC841C8}" name="Digit8" dataDxfId="120">
      <calculatedColumnFormula>IF($D$1="PFP",Prim_Supp[[#This Row],[PFP]],IF($D$1="FP",Prim_Supp[[#This Row],[FP]],IF($D$1="GB",Prim_Supp[[#This Row],[GB_GS]],IF($D$1="GS",Prim_Supp[[#This Row],[SB_SS]]))))</calculatedColumnFormula>
    </tableColumn>
    <tableColumn id="16" xr3:uid="{4446CB99-52AB-472A-A7F1-9DAEAD2DE1A0}" name="Digit11" dataDxfId="119">
      <calculatedColumnFormula>IF($F$1="leicht","b",IF($F$1="schwer","B"))</calculatedColumnFormula>
    </tableColumn>
    <tableColumn id="17" xr3:uid="{A980D318-CABB-4EBB-940E-46347D1F622D}" name="Needs_L" dataDxfId="118">
      <calculatedColumnFormula>AND(IF($D$1="PFP",TRUE,IF($D$1="FP",FALSE,IF($D$1="GB",TRUE,IF($D$1="GS",FALSE)))),ISERROR(FIND("e",Prim_Supp[[#This Row],[Ausf]])),NOT(ISERROR(FIND("U",Prim_Supp[[#This Row],[Ausf]]))))</calculatedColumnFormula>
    </tableColumn>
    <tableColumn id="18" xr3:uid="{19EA8F61-E2D0-443C-AD5B-DBAD9F1EAD14}" name="Needs_Guide" dataDxfId="117">
      <calculatedColumnFormula>IF($D$1="PFP",TRUE,IF($D$1="FP",FALSE,IF($D$1="GB",TRUE,IF($D$1="GS",FALSE))))</calculatedColumnFormula>
    </tableColumn>
    <tableColumn id="19" xr3:uid="{09D06FA5-6909-4497-AECB-F9BB808B3BB0}" name="Needs_Axial" dataDxfId="116">
      <calculatedColumnFormula>IF($D$1="PFP",TRUE,IF($D$1="FP",FALSE,IF($D$1="GB",FALSE,IF($D$1="GS",FALSE))))</calculatedColumnFormula>
    </tableColumn>
    <tableColumn id="20" xr3:uid="{0B4D6A6F-9B97-4396-A38C-4BF78DC54D72}" name="Needs_Cams" dataDxfId="115">
      <calculatedColumnFormula>IF($D$1="PFP",TRUE,IF($D$1="FP",TRUE,IF($D$1="GB",FALSE,IF($D$1="GS",FALSE))))</calculatedColumnFormula>
    </tableColumn>
  </tableColumns>
  <tableStyleInfo name="TableStyleLight3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23CE597D-CE76-46DC-9DB3-4CFBC6B7E0D1}" name="Rohrschelle" displayName="Rohrschelle" ref="B61:Q85" totalsRowShown="0">
  <autoFilter ref="B61:Q85" xr:uid="{23CE597D-CE76-46DC-9DB3-4CFBC6B7E0D1}"/>
  <tableColumns count="16">
    <tableColumn id="1" xr3:uid="{A46C960F-DC1C-489C-8002-B30BF7B7F501}" name="DN" dataDxfId="114">
      <calculatedColumnFormula>IF($F$1="leicht",B6,IF($F$1="schwer",B34))</calculatedColumnFormula>
    </tableColumn>
    <tableColumn id="2" xr3:uid="{D49C441A-D9B8-48AB-A667-E9DD8407EB16}" name="IN">
      <calculatedColumnFormula>IF($F$1="leicht",C6,IF($F$1="schwer",C34))</calculatedColumnFormula>
    </tableColumn>
    <tableColumn id="3" xr3:uid="{4E0CC049-7F72-4AD0-995C-B834DC9806A5}" name="OD">
      <calculatedColumnFormula>IF($F$1="leicht",D6,IF($F$1="schwer",D34))</calculatedColumnFormula>
    </tableColumn>
    <tableColumn id="4" xr3:uid="{8937296E-6645-48C1-A5DC-638480CB291A}" name="A">
      <calculatedColumnFormula>IF($F$1="leicht",E6,IF($F$1="schwer",E34))</calculatedColumnFormula>
    </tableColumn>
    <tableColumn id="5" xr3:uid="{0D2D89D5-565B-45FB-9A40-10F73FFBB4A2}" name="C">
      <calculatedColumnFormula>IF($F$1="leicht",F6,IF($F$1="schwer",F34))</calculatedColumnFormula>
    </tableColumn>
    <tableColumn id="6" xr3:uid="{0599B6EB-A895-4973-AD6C-284FC051D344}" name="D2">
      <calculatedColumnFormula>IF($F$1="leicht",G6,IF($F$1="schwer",G34))</calculatedColumnFormula>
    </tableColumn>
    <tableColumn id="7" xr3:uid="{B33A6075-73E9-4CFA-921E-7F6D20E5F7EA}" name="f">
      <calculatedColumnFormula>IF($F$1="leicht",H6,IF($F$1="schwer",H34))</calculatedColumnFormula>
    </tableColumn>
    <tableColumn id="8" xr3:uid="{E8B6008D-BA30-481B-AE1D-D5CEC2D0F1B6}" name="r">
      <calculatedColumnFormula>IF($F$1="leicht",I6,IF($F$1="schwer",I34))</calculatedColumnFormula>
    </tableColumn>
    <tableColumn id="9" xr3:uid="{EDF61771-F5CC-4037-AA22-4CF9CB62660A}" name="B">
      <calculatedColumnFormula>IF($F$1="leicht",J6,IF($F$1="schwer",J34))</calculatedColumnFormula>
    </tableColumn>
    <tableColumn id="10" xr3:uid="{C2139B0F-42A9-4F72-B870-AD0787D459F8}" name="x">
      <calculatedColumnFormula>IF($F$1="leicht",K6,IF($F$1="schwer",K34))</calculatedColumnFormula>
    </tableColumn>
    <tableColumn id="11" xr3:uid="{3EDADC63-083B-4715-8C5F-820976312D16}" name="s/sC">
      <calculatedColumnFormula>IF($F$1="leicht",L6,IF($F$1="schwer",L34))</calculatedColumnFormula>
    </tableColumn>
    <tableColumn id="12" xr3:uid="{C439860F-C07A-4E2A-B32F-2BA42E4C8E8D}" name="Bolt">
      <calculatedColumnFormula>IF($F$1="leicht",M6,IF($F$1="schwer",M34))</calculatedColumnFormula>
    </tableColumn>
    <tableColumn id="13" xr3:uid="{84F87E3D-D5A0-426D-A0DC-D6272B20E865}" name="x2">
      <calculatedColumnFormula>IF($F$1="leicht",N6,IF($F$1="schwer",N34))</calculatedColumnFormula>
    </tableColumn>
    <tableColumn id="14" xr3:uid="{EC28BBDA-C18B-4839-B70D-12901B2F5CDB}" name="BLEN">
      <calculatedColumnFormula>IF($F$1="leicht",O6,IF($F$1="schwer",O34))</calculatedColumnFormula>
    </tableColumn>
    <tableColumn id="15" xr3:uid="{615D1166-0B0E-4A07-9B22-8630ECDD10A6}" name="Torque">
      <calculatedColumnFormula>IF($F$1="leicht",P6,IF($F$1="schwer",P34))</calculatedColumnFormula>
    </tableColumn>
    <tableColumn id="16" xr3:uid="{C6EF7262-6CAF-4D6E-8432-00E9DD43072A}" name="Gewicht">
      <calculatedColumnFormula>IF($F$1="leicht",Q6,IF($F$1="schwer",Q34))</calculatedColumnFormula>
    </tableColumn>
  </tableColumns>
  <tableStyleInfo name="TableStyleLight3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93691DCA-AD6B-4C0A-8D42-03AFBA683A52}" name="Guide_Schwer" displayName="Guide_Schwer" ref="L371:T395" totalsRowShown="0">
  <autoFilter ref="L371:T395" xr:uid="{93691DCA-AD6B-4C0A-8D42-03AFBA683A52}"/>
  <tableColumns count="9">
    <tableColumn id="9" xr3:uid="{739E2552-9E01-4A0A-BF3F-6ECD230A11DA}" name="DN" dataDxfId="113"/>
    <tableColumn id="1" xr3:uid="{F3EE74C7-A52D-4E79-88C7-92854E84D6FF}" name="GBBW"/>
    <tableColumn id="2" xr3:uid="{D9C24C5A-90B7-4FE3-AB81-D27D0599557F}" name="GBIH"/>
    <tableColumn id="3" xr3:uid="{ECE893D9-1904-46FE-A68A-14DFB7D6DB4D}" name="GMAS">
      <calculatedColumnFormula>(((Guide_Schwer[[#This Row],[GBWI]]*Guide_Schwer[[#This Row],[GBHE]])-((Guide_Schwer[[#This Row],[GBWI]]-Guide_Schwer[[#This Row],[GBBW]])*Guide_Schwer[[#This Row],[GBIH]]))*Guide_Schwer[[#This Row],[GBLE]])*$H$1/1000</calculatedColumnFormula>
    </tableColumn>
    <tableColumn id="4" xr3:uid="{A7E766A2-7A19-4D29-95A5-653778F63560}" name="GBWI"/>
    <tableColumn id="5" xr3:uid="{FF89B7F2-8592-4A13-A32C-54DFECD44003}" name="GBHE"/>
    <tableColumn id="6" xr3:uid="{65BBD00D-D693-4A34-84DA-BBAFF169951E}" name="GBLE"/>
    <tableColumn id="7" xr3:uid="{549FA143-37C1-406D-A084-6C986A4BE086}" name="GBTH"/>
    <tableColumn id="8" xr3:uid="{A5A5C977-8749-4918-A027-CC25FD703002}" name="GBDS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13DD4DEE-9D99-4034-9798-C682AFA1D866}" name="DK_Function" displayName="DK_Function" ref="B493:J517" totalsRowShown="0" tableBorderDxfId="112">
  <autoFilter ref="B493:J517" xr:uid="{13DD4DEE-9D99-4034-9798-C682AFA1D866}"/>
  <tableColumns count="9">
    <tableColumn id="1" xr3:uid="{279F29F3-FC25-4335-ABE7-C27FCACD3F1B}" name="DN" dataDxfId="111"/>
    <tableColumn id="2" xr3:uid="{4887E511-3C4E-463B-899B-870AAB19A98E}" name="Single_Double"/>
    <tableColumn id="3" xr3:uid="{41E23427-8319-42A4-8CA0-7004820FA0B6}" name="Construction" dataDxfId="110">
      <calculatedColumnFormula>IF(IF($D$1="FP",L260,F260)="L","LL",IF($D$1="FP",L260,F260))</calculatedColumnFormula>
    </tableColumn>
    <tableColumn id="4" xr3:uid="{9C981301-EE3F-4385-B363-01186D441678}" name="Guide" dataDxfId="109">
      <calculatedColumnFormula>IF($D$1="PFP",DK_Has_Guide[[#This Row],[PFP]],IF($D$1="FP",DK_Has_Guide[[#This Row],[FP]],IF($D$1="GB",DK_Has_Guide[[#This Row],[GB]],IF($D$1="GS",DK_Has_Guide[[#This Row],[GS]]))))</calculatedColumnFormula>
    </tableColumn>
    <tableColumn id="5" xr3:uid="{8A14549A-216F-4B0A-9386-981D126914FB}" name="Bottom_Implements" dataDxfId="108">
      <calculatedColumnFormula>IF($D$1="PFP",DK_Bottom_Implement[[#This Row],[PFP]],IF($D$1="FP",DK_Bottom_Implement[[#This Row],[FP]],IF($D$1="GB",DK_Bottom_Implement[[#This Row],[GB]],IF($D$1="GS",DK_Bottom_Implement[[#This Row],[GS]]))))</calculatedColumnFormula>
    </tableColumn>
    <tableColumn id="6" xr3:uid="{DEB089AA-A9AC-491E-9B9C-7080F621E0A2}" name="Axialstopp" dataDxfId="107">
      <calculatedColumnFormula>IF($D$1="PFP",DK_Has_Axial[[#This Row],[PFP]],IF($D$1="FP",DK_Has_Axial[[#This Row],[FP]],IF($D$1="GB",DK_Has_Axial[[#This Row],[GB]],IF($D$1="GS",DK_Has_Axial[[#This Row],[GS]]))))</calculatedColumnFormula>
    </tableColumn>
    <tableColumn id="7" xr3:uid="{7F3B3CC1-C0BB-4922-9114-0B8797AE8165}" name="Cams" dataDxfId="106">
      <calculatedColumnFormula>IF($D$1="PFP",DK_Has_Cams[[#This Row],[PFP]],IF($D$1="FP",DK_Has_Cams[[#This Row],[FP]],IF($D$1="GB",DK_Has_Cams[[#This Row],[GB]],IF($D$1="GS",DK_Has_Cams[[#This Row],[GS]]))))</calculatedColumnFormula>
    </tableColumn>
    <tableColumn id="8" xr3:uid="{AA954E8F-A9B6-4182-B209-0FA9F1529C79}" name="Stiffener" dataDxfId="105">
      <calculatedColumnFormula>IF(NOT(DK_Function[[#This Row],[Construction]]="T"),TRUE,FALSE)</calculatedColumnFormula>
    </tableColumn>
    <tableColumn id="9" xr3:uid="{BE88FB10-6012-4389-ABC8-81FA33349910}" name="Digit8" dataDxfId="104">
      <calculatedColumnFormula>IF(DK_Function[[#This Row],[Construction]]="T",$G$489,IF(DK_Function[[#This Row],[Construction]]="LL",$H$489,"other"))</calculatedColumnFormula>
    </tableColumn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2438CD99-5F25-4E95-84EF-1CDE6B88C53C}" name="DK_Has_Guide" displayName="DK_Has_Guide" ref="L493:P517" totalsRowShown="0" tableBorderDxfId="103">
  <autoFilter ref="L493:P517" xr:uid="{2438CD99-5F25-4E95-84EF-1CDE6B88C53C}"/>
  <tableColumns count="5">
    <tableColumn id="1" xr3:uid="{468DA26C-F2BD-45A5-B3C8-59EC16D12B6E}" name="DN" dataDxfId="102"/>
    <tableColumn id="3" xr3:uid="{DE024A03-F1C5-4578-9678-66275A17D415}" name="FP"/>
    <tableColumn id="2" xr3:uid="{AE3FBFB7-ABFB-4EA5-B566-4015817FFA90}" name="PFP"/>
    <tableColumn id="4" xr3:uid="{EC1A8C26-DE35-497C-B258-F3CB24CDF0E0}" name="GB"/>
    <tableColumn id="5" xr3:uid="{230999F1-49C5-4EE7-88DF-4E00E136F8AA}" name="GS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D38F77FA-C1C8-451A-8A80-6C98D365525E}" name="DK_Bottom_Implement" displayName="DK_Bottom_Implement" ref="R493:V517" totalsRowShown="0" tableBorderDxfId="101">
  <autoFilter ref="R493:V517" xr:uid="{D38F77FA-C1C8-451A-8A80-6C98D365525E}"/>
  <tableColumns count="5">
    <tableColumn id="1" xr3:uid="{CAA6C70C-50FE-4FAC-887D-CD9F08A87091}" name="DN" dataDxfId="100"/>
    <tableColumn id="3" xr3:uid="{DEE49E91-0A46-4A37-A575-A983B6737FAD}" name="FP"/>
    <tableColumn id="2" xr3:uid="{3A57485A-C727-4954-9AE4-0499B5E43740}" name="PFP"/>
    <tableColumn id="4" xr3:uid="{51054162-3D52-4D63-9AEA-EF2B8A6B6124}" name="GB"/>
    <tableColumn id="5" xr3:uid="{03B3960F-B11F-470F-8F0B-028C1704384D}" name="GS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EDDAE040-46E6-4F8F-9C68-E3EE6DAEAF01}" name="DK_Has_Axial" displayName="DK_Has_Axial" ref="X493:AB517" totalsRowShown="0" tableBorderDxfId="99">
  <autoFilter ref="X493:AB517" xr:uid="{EDDAE040-46E6-4F8F-9C68-E3EE6DAEAF01}"/>
  <tableColumns count="5">
    <tableColumn id="1" xr3:uid="{19AF5D71-C41B-4AFB-B0D0-5B17C4FFCFC4}" name="DN" dataDxfId="98"/>
    <tableColumn id="3" xr3:uid="{A943BE36-DABD-47B5-86F4-E7ECABD4CD65}" name="FP"/>
    <tableColumn id="2" xr3:uid="{607513D4-298A-48D3-B587-BEC840F853A2}" name="PFP"/>
    <tableColumn id="4" xr3:uid="{DBF89C58-02A3-452E-B236-1DD1761297FF}" name="GB"/>
    <tableColumn id="5" xr3:uid="{AB9A78F9-479B-4B5F-AE7B-124F79862209}" name="GS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95C53612-C524-4096-9FD2-38B75454EE84}" name="DK_Has_Cams" displayName="DK_Has_Cams" ref="AD493:AH517" totalsRowShown="0" tableBorderDxfId="97">
  <autoFilter ref="AD493:AH517" xr:uid="{95C53612-C524-4096-9FD2-38B75454EE84}"/>
  <tableColumns count="5">
    <tableColumn id="1" xr3:uid="{5C6D9B87-579A-45C8-AE05-E5BAB82854DD}" name="DN" dataDxfId="96"/>
    <tableColumn id="3" xr3:uid="{9FC6BBA5-4748-47D2-8FBA-962117BAA0CD}" name="FP"/>
    <tableColumn id="2" xr3:uid="{5ADEA75E-E065-40CF-A9EA-9077106CB2C8}" name="PFP"/>
    <tableColumn id="4" xr3:uid="{A1441E82-2916-4331-B126-ABE0D65367B1}" name="GB"/>
    <tableColumn id="5" xr3:uid="{AF83CA23-1B24-4293-B28F-6C1B4C4DC8C0}" name="GS"/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8FDC72A1-85A0-4B71-AC0A-2DF7B8DD3732}" name="LT_Stahl_DK" displayName="LT_Stahl_DK" ref="B287:G311" totalsRowShown="0" tableBorderDxfId="95">
  <autoFilter ref="B287:G311" xr:uid="{8FDC72A1-85A0-4B71-AC0A-2DF7B8DD3732}"/>
  <tableColumns count="6">
    <tableColumn id="1" xr3:uid="{F509F55F-28B5-4C89-BE88-21A78A1D71A9}" name="DN"/>
    <tableColumn id="2" xr3:uid="{5062F206-143C-478B-BF99-04A0CB3B928A}" name="H" dataDxfId="94">
      <calculatedColumnFormula>IF($D$1="FP",I260,C260)</calculatedColumnFormula>
    </tableColumn>
    <tableColumn id="3" xr3:uid="{B2A761D9-0E40-40E3-97CF-37B69AA7AD38}" name="B">
      <calculatedColumnFormula>IF($D$1="FP",J260,D260)</calculatedColumnFormula>
    </tableColumn>
    <tableColumn id="4" xr3:uid="{D8D1F410-05CA-4C88-BADF-C6C0D9432C94}" name="S">
      <calculatedColumnFormula>IF($D$1="FP",K260,E260)</calculatedColumnFormula>
    </tableColumn>
    <tableColumn id="5" xr3:uid="{A0F9CA8A-5A8F-4DFA-8E08-A212C9C43FC7}" name="W" dataDxfId="93">
      <calculatedColumnFormula>IF($D$1="FP",J288,K288)</calculatedColumnFormula>
    </tableColumn>
    <tableColumn id="6" xr3:uid="{92032D8A-7F10-4F38-8191-BE36816BDF77}" name="CL"/>
  </tableColumns>
  <tableStyleInfo name="TableStyleMedium3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88053985-0FF9-43ED-BFF0-EB341DAA38C0}" name="DK_W_BaseCL" displayName="DK_W_BaseCL" ref="I287:M311" totalsRowShown="0">
  <autoFilter ref="I287:M311" xr:uid="{88053985-0FF9-43ED-BFF0-EB341DAA38C0}"/>
  <tableColumns count="5">
    <tableColumn id="1" xr3:uid="{38206AA4-5C42-4348-B57F-9DCB8ED4DB7C}" name="DN"/>
    <tableColumn id="2" xr3:uid="{A7421693-2ECC-42CF-A67F-6EB3DAA0E8CE}" name="W_Fixed" dataDxfId="92">
      <calculatedColumnFormula>J260</calculatedColumnFormula>
    </tableColumn>
    <tableColumn id="3" xr3:uid="{21270105-2D2E-413F-9D47-BA5BFD1BB4FD}" name="W_Sliding" dataDxfId="91">
      <calculatedColumnFormula>D260</calculatedColumnFormula>
    </tableColumn>
    <tableColumn id="4" xr3:uid="{D7FBF382-0E61-4324-9042-F840A5B8B541}" name="CL_Fixed"/>
    <tableColumn id="5" xr3:uid="{AC0EEDF0-F0B8-46C3-8225-243960A2242F}" name="CL_Sliding" dataDxfId="90">
      <calculatedColumnFormula>DK_W_BaseCL[[#This Row],[CL_Fixed]]</calculatedColumnFormula>
    </tableColumn>
  </tableColumns>
  <tableStyleInfo name="TableStyleLight2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486F4CDA-E5A4-4297-95A6-046267E80910}" name="Fill_Plate" displayName="Fill_Plate" ref="H427:J451" totalsRowShown="0" headerRowDxfId="89" dataDxfId="87" headerRowBorderDxfId="88" tableBorderDxfId="86" totalsRowBorderDxfId="85">
  <autoFilter ref="H427:J451" xr:uid="{486F4CDA-E5A4-4297-95A6-046267E80910}"/>
  <tableColumns count="3">
    <tableColumn id="1" xr3:uid="{F6B55963-DFD3-405D-BAC0-00E225BB5A0B}" name="DN" dataDxfId="84"/>
    <tableColumn id="2" xr3:uid="{E843ACE6-49DC-43A1-A029-3AFCF8AC1E89}" name="THK" dataDxfId="83"/>
    <tableColumn id="3" xr3:uid="{B5A2AE7D-7166-43A5-A107-CBA7FF55B8FD}" name="No_SHOE" dataDxfId="82"/>
  </tableColumns>
  <tableStyleInfo name="TableStyleMedium2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534E9061-3471-4EF7-9041-843F7A80FD39}" name="DK_Final_CL" displayName="DK_Final_CL" ref="L427:U451" totalsRowShown="0">
  <autoFilter ref="L427:U451" xr:uid="{534E9061-3471-4EF7-9041-843F7A80FD39}"/>
  <tableColumns count="10">
    <tableColumn id="1" xr3:uid="{ACAA602E-D918-441D-8A3B-4988A379D4EE}" name="DN"/>
    <tableColumn id="2" xr3:uid="{64598E12-A180-4994-A5B1-2461774DC853}" name="FP" dataDxfId="81">
      <calculatedColumnFormula>L288</calculatedColumnFormula>
    </tableColumn>
    <tableColumn id="3" xr3:uid="{93D49F42-45AC-4EBA-8492-CE23BF252EDB}" name="PFP" dataDxfId="80">
      <calculatedColumnFormula>IF(DK_Final_CL[[#This Row],[DN]]&lt;&gt;450,M288+Fill_Plate[[#This Row],[THK]],0)</calculatedColumnFormula>
    </tableColumn>
    <tableColumn id="4" xr3:uid="{298EE474-E038-4164-BDED-40A611A9EB0F}" name="GB" dataDxfId="79">
      <calculatedColumnFormula>IF(DK_Final_CL[[#This Row],[DN]]&lt;&gt;450,M288+Sliding_Plate[[#This Row],[THK_PLT]]+Sliding_Plate[[#This Row],[THK_SHOE]],0)</calculatedColumnFormula>
    </tableColumn>
    <tableColumn id="5" xr3:uid="{7AB79CA2-9DBF-426C-A776-646870090440}" name="GS" dataDxfId="78">
      <calculatedColumnFormula>IF(DK_Final_CL[[#This Row],[DN]]&lt;&gt;450,M288+Sliding_Plate[[#This Row],[THK_PLT]]+Sliding_Plate[[#This Row],[THK_SHOE]],0)</calculatedColumnFormula>
    </tableColumn>
    <tableColumn id="6" xr3:uid="{72BD3E06-94BF-457F-A796-BB4591A6CB74}" name="PFP_DIFF" dataDxfId="77">
      <calculatedColumnFormula>DK_Final_CL[[#This Row],[FP]]-DK_Final_CL[[#This Row],[PFP]]</calculatedColumnFormula>
    </tableColumn>
    <tableColumn id="7" xr3:uid="{3AE277D0-DB33-4C31-B3C3-2AB42148BB76}" name="GB__DIFF" dataDxfId="76">
      <calculatedColumnFormula>DK_Final_CL[[#This Row],[FP]]-DK_Final_CL[[#This Row],[GB]]</calculatedColumnFormula>
    </tableColumn>
    <tableColumn id="8" xr3:uid="{41D79BE5-F593-470A-8104-A9ADC36DB757}" name="GS_DIFF" dataDxfId="75">
      <calculatedColumnFormula>DK_Final_CL[[#This Row],[FP]]-DK_Final_CL[[#This Row],[GS]]</calculatedColumnFormula>
    </tableColumn>
    <tableColumn id="9" xr3:uid="{526693DC-7954-4D78-9A89-13DDDB518114}" name="CL_Auswahl" dataDxfId="74">
      <calculatedColumnFormula>IF($D$1="PFP",DK_Final_CL[[#This Row],[PFP]],IF($D$1="FP",DK_Final_CL[[#This Row],[FP]],IF($D$1="GB",DK_Final_CL[[#This Row],[GB]],IF($D$1="GS",DK_Final_CL[[#This Row],[GS]]))))</calculatedColumnFormula>
    </tableColumn>
    <tableColumn id="10" xr3:uid="{D7E7C45A-5480-43DC-98BA-BCC16ED7A7DB}" name="CL_MAX" dataDxfId="73">
      <calculatedColumnFormula>MAX(DK_Final_CL[[#This Row],[FP]:[GS]])</calculatedColumnFormula>
    </tableColumn>
  </tableColumns>
  <tableStyleInfo name="TableStyleLight3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45AC864B-F39F-4ADD-A62B-F580B815CCC7}" name="Ground_Plate" displayName="Ground_Plate" ref="M457:R481" totalsRowShown="0" headerRowDxfId="72" dataDxfId="70" headerRowBorderDxfId="71" tableBorderDxfId="69" totalsRowBorderDxfId="68">
  <autoFilter ref="M457:R481" xr:uid="{45AC864B-F39F-4ADD-A62B-F580B815CCC7}"/>
  <tableColumns count="6">
    <tableColumn id="1" xr3:uid="{4272F982-DFBC-4580-9228-681DD98BDB17}" name="DN" dataDxfId="67"/>
    <tableColumn id="2" xr3:uid="{387E3C5D-5756-4221-AEC7-75B370459A57}" name="L"/>
    <tableColumn id="3" xr3:uid="{94B08695-9D7F-40D6-AE4E-BB8B7A3D36EB}" name="W"/>
    <tableColumn id="4" xr3:uid="{E5A475B6-2DC3-4011-9106-FCE6C471D7B2}" name="THK_PLT" dataDxfId="66"/>
    <tableColumn id="5" xr3:uid="{9A5169EC-41A6-4256-BE60-8E6101606AEB}" name="Overhang_L" dataDxfId="65">
      <calculatedColumnFormula>Ground_Plate[[#This Row],[L]]-E316</calculatedColumnFormula>
    </tableColumn>
    <tableColumn id="6" xr3:uid="{9439FEE1-8DB1-463E-8032-E81735C8E711}" name="Overhang_W" dataDxfId="64">
      <calculatedColumnFormula>Ground_Plate[[#This Row],[W]]-(J260+J260+J288)</calculatedColumnFormula>
    </tableColumn>
  </tableColumns>
  <tableStyleInfo name="TableStyleMedium2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58CCC306-0126-4198-8DC2-73E9AFA18CBD}" name="Rohrschellen_DK" displayName="Rohrschellen_DK" ref="B521:R545" totalsRowShown="0">
  <autoFilter ref="B521:R545" xr:uid="{58CCC306-0126-4198-8DC2-73E9AFA18CBD}"/>
  <tableColumns count="17">
    <tableColumn id="1" xr3:uid="{12B2B7F4-5E7B-461F-9D40-82D42E422635}" name="DN"/>
    <tableColumn id="2" xr3:uid="{A42E3139-F99F-434D-ACD2-A0C234457196}" name="IN"/>
    <tableColumn id="3" xr3:uid="{4B135941-3BB8-4D5C-83EF-770A62EA0B14}" name="OD"/>
    <tableColumn id="4" xr3:uid="{C14868EF-9469-4671-A611-10C159E43703}" name="A"/>
    <tableColumn id="5" xr3:uid="{73030F9E-E9A0-43E2-8AA8-4C29DE0DA299}" name="C"/>
    <tableColumn id="6" xr3:uid="{2C44EB7B-71F2-417F-83DF-3F5AE8B518BC}" name="D2"/>
    <tableColumn id="7" xr3:uid="{99DF6EE6-5E91-4AD4-A330-193AC89C3E51}" name="f"/>
    <tableColumn id="8" xr3:uid="{0C7C5AEA-FD23-4F3A-9C59-C84F886D71CC}" name="r"/>
    <tableColumn id="9" xr3:uid="{C412CF81-6D9D-403A-83E7-14F3E53916F6}" name="B"/>
    <tableColumn id="10" xr3:uid="{181ADB9D-F8D5-4F42-804D-A9D1C395F4DF}" name="x"/>
    <tableColumn id="11" xr3:uid="{2F5B26E6-0A85-483E-A9F2-65F8325B1770}" name="s/sC"/>
    <tableColumn id="12" xr3:uid="{07D933EF-A1CF-4FC6-A756-BB4086522881}" name="Bolt"/>
    <tableColumn id="13" xr3:uid="{DA850103-B826-4024-9224-D3E1A276A98D}" name="x2"/>
    <tableColumn id="14" xr3:uid="{2EEC038C-239D-4CF2-8D8A-E1129178E926}" name="BLEN"/>
    <tableColumn id="15" xr3:uid="{BE1D3CA5-A548-43C5-9293-3EE1FC990DE9}" name="Torque"/>
    <tableColumn id="16" xr3:uid="{FA3645A6-7B9B-477A-9760-DB2F9EEE323D}" name="Bolt_plate_gap"/>
    <tableColumn id="17" xr3:uid="{61FF15D3-B638-4920-827D-9BD7B5A7283F}" name="Bolt_plate_thk"/>
  </tableColumns>
  <tableStyleInfo name="TableStyleLight2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3601237D-36A7-47F1-AEBF-6FD58B36FF80}" name="Plate" displayName="Plate" ref="T457:X481" totalsRowShown="0" tableBorderDxfId="63">
  <autoFilter ref="T457:X481" xr:uid="{3601237D-36A7-47F1-AEBF-6FD58B36FF80}"/>
  <tableColumns count="5">
    <tableColumn id="1" xr3:uid="{CA3622BE-3047-4FDB-994A-E4CAFAAE524C}" name="DN" dataDxfId="62"/>
    <tableColumn id="2" xr3:uid="{D6E3CD16-6CBE-4D4E-8004-C18DE75747C3}" name="L" dataDxfId="61">
      <calculatedColumnFormula>IF($D$1="PFP",IF(T494="FP",O118,0),IF($D$1="FP",N458,IF($D$1="GB",C428,IF($D$1="GS",C428))))</calculatedColumnFormula>
    </tableColumn>
    <tableColumn id="3" xr3:uid="{041EBE03-1745-4E1F-99C6-D0E5BA467416}" name="W" dataDxfId="60">
      <calculatedColumnFormula>IF($D$1="PFP",IF(T494="FP",F288,0),IF($D$1="FP",O458,IF($D$1="GB",D428,IF($D$1="GS",D428))))</calculatedColumnFormula>
    </tableColumn>
    <tableColumn id="4" xr3:uid="{D39574A9-0E6E-4CB3-B11B-F0DD04EE6409}" name="THK_PLT" dataDxfId="59">
      <calculatedColumnFormula>IF($D$1="PFP",I428,IF($D$1="FP",P458,IF($D$1="GB",E428,IF($D$1="GS",E428))))</calculatedColumnFormula>
    </tableColumn>
    <tableColumn id="5" xr3:uid="{141405E6-1FE2-4C75-BD9F-16B9992B5293}" name="THK_SHOE" dataDxfId="58">
      <calculatedColumnFormula>IF($D$1="PFP",J428,IF($D$1="FP",0,IF($D$1="GB",F428,IF($D$1="GS",F428))))</calculatedColumnFormula>
    </tableColumn>
  </tableColumns>
  <tableStyleInfo name="TableStyleMedium2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E0ACC112-3282-4F61-913A-2B6D11969416}" name="Stiffener_DK" displayName="Stiffener_DK" ref="B549:M573" totalsRowShown="0" tableBorderDxfId="57">
  <autoFilter ref="B549:M573" xr:uid="{E0ACC112-3282-4F61-913A-2B6D11969416}"/>
  <tableColumns count="12">
    <tableColumn id="1" xr3:uid="{16FFD1F2-652C-450D-8593-02E8A6A41525}" name="DN" dataDxfId="56"/>
    <tableColumn id="2" xr3:uid="{3673C1DB-05F1-48EF-8BBD-46E683E898DB}" name="THK_DK_Fixed"/>
    <tableColumn id="3" xr3:uid="{1360AA5A-910F-4405-AF58-8187100C39FA}" name="Bot_Dist_DK_Fixed"/>
    <tableColumn id="5" xr3:uid="{58ACD41B-79EF-4617-AFF2-7B94EF05E520}" name="H_DK_Fixed"/>
    <tableColumn id="9" xr3:uid="{A9684326-3416-4155-95D3-291A1D86CFB1}" name="THK_DK_Slid"/>
    <tableColumn id="4" xr3:uid="{F6D09BC0-9E89-413A-BCA5-7C9933622921}" name="Bot_Dist_DK_Slid"/>
    <tableColumn id="6" xr3:uid="{3AE09338-2B6B-436A-A375-EFC8726BC42F}" name="Inset_DK_Slid"/>
    <tableColumn id="7" xr3:uid="{EB1F8E28-A717-4054-B6F9-9E993F005561}" name="H_DK_Slid"/>
    <tableColumn id="8" xr3:uid="{08F3432F-A703-43A2-8E2F-DD1B130FD30F}" name="SEL_THK" dataDxfId="55">
      <calculatedColumnFormula>IF($D$1="FP",Stiffener_DK[[#This Row],[THK_DK_Fixed]],Stiffener_DK[[#This Row],[THK_DK_Slid]])</calculatedColumnFormula>
    </tableColumn>
    <tableColumn id="10" xr3:uid="{16EBBB4B-5F6D-41C3-A9D8-75627CBA7DB5}" name="SEL_Bot_Dist" dataDxfId="54">
      <calculatedColumnFormula>IF($D$1="FP",Stiffener_DK[[#This Row],[Bot_Dist_DK_Fixed]],Stiffener_DK[[#This Row],[Bot_Dist_DK_Slid]])</calculatedColumnFormula>
    </tableColumn>
    <tableColumn id="11" xr3:uid="{3CF1079B-B92B-4C79-A045-9A23F071FE79}" name="SEL_Inset" dataDxfId="53">
      <calculatedColumnFormula>IF($D$1="FP",Stiffener_DK[[#This Row],[H_DK_Fixed]],Stiffener_DK[[#This Row],[Inset_DK_Slid]])</calculatedColumnFormula>
    </tableColumn>
    <tableColumn id="12" xr3:uid="{4504CB59-B16B-4C7E-A236-5025A77DEE48}" name="SEL_H" dataDxfId="52">
      <calculatedColumnFormula>IF($D$1="FP",0,Stiffener_DK[[#This Row],[H_DK_Slid]])</calculatedColumnFormula>
    </tableColumn>
  </tableColumns>
  <tableStyleInfo name="TableStyleMedium2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F295FB2E-D119-41CD-BF9B-0712FA6C5393}" name="Guide_CSteel" displayName="Guide_CSteel" ref="L399:T423" totalsRowShown="0">
  <autoFilter ref="L399:T423" xr:uid="{F295FB2E-D119-41CD-BF9B-0712FA6C5393}"/>
  <tableColumns count="9">
    <tableColumn id="9" xr3:uid="{B3EE04A2-2D5E-4818-A723-3C6028EFB25B}" name="DN" dataDxfId="51"/>
    <tableColumn id="1" xr3:uid="{2BFF7EB9-5D97-433D-AD9B-029D4AC7B8F0}" name="GBBW"/>
    <tableColumn id="2" xr3:uid="{50AA4F95-2CCA-449F-8800-9186A68E99E8}" name="GBIH"/>
    <tableColumn id="3" xr3:uid="{7EB15797-4037-40FA-9722-9D9AA104432C}" name="GMAS">
      <calculatedColumnFormula>(((Guide_CSteel[[#This Row],[GBWI]]*Guide_CSteel[[#This Row],[GBHE]])-((Guide_CSteel[[#This Row],[GBWI]]-Guide_CSteel[[#This Row],[GBBW]])*Guide_CSteel[[#This Row],[GBIH]]))*Guide_CSteel[[#This Row],[GBLE]])*$H$1/1000</calculatedColumnFormula>
    </tableColumn>
    <tableColumn id="4" xr3:uid="{81BF348C-E5B3-4EB0-85F8-77D2753949E9}" name="GBWI"/>
    <tableColumn id="5" xr3:uid="{835A1B58-7946-4FE1-8C36-335C52FDFFD0}" name="GBHE"/>
    <tableColumn id="6" xr3:uid="{2BD7987E-96FD-4467-8694-A27B7F5BD9AA}" name="GBLE"/>
    <tableColumn id="7" xr3:uid="{57DE9ADB-0495-4318-A6F5-9D2767D9E265}" name="GBTH"/>
    <tableColumn id="8" xr3:uid="{F0E4A6DF-7B1A-4A12-AF22-64235CE311C0}" name="GBDS"/>
  </tableColumns>
  <tableStyleInfo name="TableStyleMedium2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AC8CA335-9836-4D3F-BF29-003FBD5E3263}" name="Gew_Prim_Supp" displayName="Gew_Prim_Supp" ref="AI145:AS169" totalsRowShown="0" headerRowDxfId="50">
  <autoFilter ref="AI145:AS169" xr:uid="{AC8CA335-9836-4D3F-BF29-003FBD5E3263}"/>
  <tableColumns count="11">
    <tableColumn id="1" xr3:uid="{881680F3-04E0-4059-A75C-28BB45A14BB4}" name="DN" dataDxfId="49"/>
    <tableColumn id="2" xr3:uid="{2C1B3E22-4452-4F00-BD01-8A87763F2FC6}" name="Light_C" dataDxfId="48">
      <calculatedColumnFormula>AK146</calculatedColumnFormula>
    </tableColumn>
    <tableColumn id="3" xr3:uid="{2A8ED2BC-322D-4874-BA39-C152769C01BE}" name="Light_S"/>
    <tableColumn id="4" xr3:uid="{9F2D85B2-C4A7-421D-A8D0-72BAF856F2A9}" name="Heavy_C" dataDxfId="47">
      <calculatedColumnFormula>AM146</calculatedColumnFormula>
    </tableColumn>
    <tableColumn id="5" xr3:uid="{357979B7-092E-4E55-92D2-5C8FC38153F8}" name="Heavy_S"/>
    <tableColumn id="6" xr3:uid="{556E4C88-80D0-493A-9879-28446F09BEBE}" name="SC_Slide" dataDxfId="46">
      <calculatedColumnFormula>Gew_Prim_Supp[[#This Row],[SC_Fixed]]</calculatedColumnFormula>
    </tableColumn>
    <tableColumn id="7" xr3:uid="{B1EEF39A-2B4E-40B8-A85D-E1FA97560531}" name="SC_Fixed"/>
    <tableColumn id="8" xr3:uid="{2398BAEE-8B74-46DB-992B-93C0C9685E14}" name="HL_Carbon" dataDxfId="45">
      <calculatedColumnFormula>IF($F$1="leicht",Gew_Prim_Supp[[#This Row],[Light_C]],IF($F$1="schwer",Gew_Prim_Supp[[#This Row],[Heavy_C]]))</calculatedColumnFormula>
    </tableColumn>
    <tableColumn id="10" xr3:uid="{453BCDA4-4360-465A-A19A-3409747D232A}" name="HL_Stainless" dataDxfId="44">
      <calculatedColumnFormula>IF($F$1="leicht",Gew_Prim_Supp[[#This Row],[Light_S]],IF($F$1="schwer",Gew_Prim_Supp[[#This Row],[Heavy_S]]))</calculatedColumnFormula>
    </tableColumn>
    <tableColumn id="11" xr3:uid="{7B11DDD7-6004-4818-99A6-B1F88EDB7D3B}" name="HL_Sel" dataDxfId="43">
      <calculatedColumnFormula>IF($B$1="Carbon",Gew_Prim_Supp[[#This Row],[HL_Carbon]],IF($B$1="Stainless",Gew_Prim_Supp[[#This Row],[HL_Stainless]]))</calculatedColumnFormula>
    </tableColumn>
    <tableColumn id="9" xr3:uid="{F7B85239-54CB-471B-ACDB-F814CE4A6CC6}" name="SC_Sel" dataDxfId="42">
      <calculatedColumnFormula>IF($D$1="FP",Gew_Prim_Supp[[#This Row],[SC_Fixed]],Gew_Prim_Supp[[#This Row],[SC_Slide]])</calculatedColumnFormula>
    </tableColumn>
  </tableColumns>
  <tableStyleInfo name="TableStyleMedium2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879B6DAD-934A-4B5C-80F1-551ABAEDA5ED}" name="Gew_Platte" displayName="Gew_Platte" ref="Z457:AH481" totalsRowShown="0" headerRowDxfId="41" dataDxfId="39" headerRowBorderDxfId="40" tableBorderDxfId="38" totalsRowBorderDxfId="37">
  <autoFilter ref="Z457:AH481" xr:uid="{879B6DAD-934A-4B5C-80F1-551ABAEDA5ED}"/>
  <tableColumns count="9">
    <tableColumn id="1" xr3:uid="{DB0526F9-B419-45E9-B8B0-926693FF2B14}" name="DN" dataDxfId="36"/>
    <tableColumn id="2" xr3:uid="{34F2B87D-70CE-43DB-8038-DD7A988946D8}" name="L" dataDxfId="35">
      <calculatedColumnFormula>IF($D$1="FP",0,Plate[[#This Row],[L]])</calculatedColumnFormula>
    </tableColumn>
    <tableColumn id="3" xr3:uid="{719E5FE0-53B0-4249-9F4F-DA9790349B36}" name="W" dataDxfId="34">
      <calculatedColumnFormula>IF($D$1="FP",0,Plate[[#This Row],[W]])</calculatedColumnFormula>
    </tableColumn>
    <tableColumn id="4" xr3:uid="{B2BC8EE2-E3B5-42BD-9207-C755C0185A8A}" name="THK" dataDxfId="33">
      <calculatedColumnFormula>IF($D$1="FP",0,Plate[[#This Row],[THK_PLT]])</calculatedColumnFormula>
    </tableColumn>
    <tableColumn id="5" xr3:uid="{9AE389B7-B400-423A-8114-F3647A5ED260}" name="Hat_Gleitplatte" dataDxfId="32">
      <calculatedColumnFormula>IF(F494="SS",TRUE,FALSE)</calculatedColumnFormula>
    </tableColumn>
    <tableColumn id="6" xr3:uid="{FF0B9A00-68D1-469B-9A1E-F5029C3BCAD7}" name="Gleitplatte" dataDxfId="31">
      <calculatedColumnFormula>IF(Gew_Platte[[#This Row],[Hat_Gleitplatte]],(Gew_Platte[[#This Row],[L]]*Gew_Platte[[#This Row],[W]]*Gew_Platte[[#This Row],[THK]]*$K$1/1000)*2,0)</calculatedColumnFormula>
    </tableColumn>
    <tableColumn id="8" xr3:uid="{EAFC89EB-E77F-4496-9F4C-1B3AB06FE344}" name="Hat_Futterblech" dataDxfId="30">
      <calculatedColumnFormula>IF(F494="FP",TRUE,FALSE)</calculatedColumnFormula>
    </tableColumn>
    <tableColumn id="7" xr3:uid="{3EB2B4C3-60F7-4580-9534-1580522C2711}" name="Futterblech" dataDxfId="29">
      <calculatedColumnFormula>IF(Gew_Platte[[#This Row],[Hat_Futterblech]],(Gew_Platte[[#This Row],[L]]*Gew_Platte[[#This Row],[W]]*Gew_Platte[[#This Row],[THK]]*$K$1/1000),0)</calculatedColumnFormula>
    </tableColumn>
    <tableColumn id="9" xr3:uid="{9B7199C6-0A20-4352-9EDE-F207CAC23F7A}" name="Spalte5" dataDxfId="28"/>
  </tableColumns>
  <tableStyleInfo name="TableStyleMedium2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057D7D7A-A02B-4EFB-9984-19E1F50A81F0}" name="Gew_FL" displayName="Gew_FL" ref="S89:W113" totalsRowShown="0" tableBorderDxfId="27">
  <autoFilter ref="S89:W113" xr:uid="{057D7D7A-A02B-4EFB-9984-19E1F50A81F0}"/>
  <tableColumns count="5">
    <tableColumn id="1" xr3:uid="{C7EB32D7-47E4-42ED-BE6A-CCE6B204AE04}" name="DN" dataDxfId="26"/>
    <tableColumn id="2" xr3:uid="{33893F4C-F08C-4E5C-BA44-445346BFFDE3}" name="HL_Einzel" dataDxfId="25">
      <calculatedColumnFormula>Flachnocken[[#This Row],[A]]*Flachnocken[[#This Row],[B]]*Flachnocken[[#This Row],[S]]*$H$1/1000</calculatedColumnFormula>
    </tableColumn>
    <tableColumn id="3" xr3:uid="{550F4090-8E0C-4262-9E96-306150D2434D}" name="DK_Einzel" dataDxfId="24">
      <calculatedColumnFormula>Flachnocken_DK[[#This Row],[A]]*Flachnocken_DK[[#This Row],[B]]*Flachnocken_DK[[#This Row],[S]]*$K$1/1000</calculatedColumnFormula>
    </tableColumn>
    <tableColumn id="4" xr3:uid="{9AB9A3C3-9A6A-45F5-99F2-A90D798EADAA}" name="Gewicht_HL" dataDxfId="23">
      <calculatedColumnFormula>IF(U202,Gew_FL[[#This Row],[HL_Einzel]]*Flachnocken[[#This Row],[STK_Auswahl]],0)</calculatedColumnFormula>
    </tableColumn>
    <tableColumn id="5" xr3:uid="{93565A29-EE86-4F6C-BAFC-7C5BB41037DA}" name="Gewicht_DK" dataDxfId="22">
      <calculatedColumnFormula>IF(H494,Gew_FL[[#This Row],[DK_Einzel]]*Flachnocken_DK[[#This Row],[DK_STK]],0)</calculatedColumnFormula>
    </tableColumn>
  </tableColumns>
  <tableStyleInfo name="TableStyleMedium2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6164ABE4-1D35-4EED-98AE-104D6ECF2F26}" name="Gew_Axial" displayName="Gew_Axial" ref="S117:U141" totalsRowShown="0" tableBorderDxfId="21">
  <autoFilter ref="S117:U141" xr:uid="{6164ABE4-1D35-4EED-98AE-104D6ECF2F26}"/>
  <tableColumns count="3">
    <tableColumn id="1" xr3:uid="{CBA89627-F8A6-4784-BF74-76883CE022B5}" name="DN" dataDxfId="20"/>
    <tableColumn id="2" xr3:uid="{EBE1803D-094F-4B3C-8AEE-8E857EE43C1B}" name="HL" dataDxfId="19">
      <calculatedColumnFormula>IF(T202,Axialstopp[[#This Row],[L_Auswahl]]*Axialstopp[[#This Row],[H]]*Axialstopp[[#This Row],[W]]*2*$H$1/1000,0)</calculatedColumnFormula>
    </tableColumn>
    <tableColumn id="3" xr3:uid="{04F8E0B4-08F1-4AFE-B42B-8F063EE25635}" name="SC" dataDxfId="18">
      <calculatedColumnFormula>IF(G494,Axialstopp_DK[[#This Row],[L_DK]]*Axialstopp_DK[[#This Row],[W]]*Axialstopp_DK[[#This Row],[H]]*$K$1*2/1000,0)</calculatedColumnFormula>
    </tableColumn>
  </tableColumns>
  <tableStyleInfo name="TableStyleMedium2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1658DCF0-9197-4878-AFB3-0A7DCBAD4E3C}" name="Gewicht_Sel" displayName="Gewicht_Sel" ref="N231:P255" totalsRowShown="0" tableBorderDxfId="17">
  <autoFilter ref="N231:P255" xr:uid="{1658DCF0-9197-4878-AFB3-0A7DCBAD4E3C}"/>
  <tableColumns count="3">
    <tableColumn id="1" xr3:uid="{D0F72D74-A1FB-4CAD-9CBB-85247BCFE1E6}" name="DN" dataDxfId="16"/>
    <tableColumn id="2" xr3:uid="{F4260148-E04C-4081-8F08-863A0147326F}" name="HL">
      <calculatedColumnFormula>AR146+E400+S260+T118+V90</calculatedColumnFormula>
    </tableColumn>
    <tableColumn id="3" xr3:uid="{410CE0C6-5E1B-40F8-8863-975F7E6D38C3}" name="SC" dataDxfId="15">
      <calculatedColumnFormula>AS146+Y372+AE458+AG458+U118+W90</calculatedColumnFormula>
    </tableColumn>
  </tableColumns>
  <tableStyleInfo name="TableStyleMedium2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3970F96D-136E-48BB-B567-4B197FBCC77C}" name="Lasten_DK" displayName="Lasten_DK" ref="B577:K601" totalsRowShown="0" tableBorderDxfId="14">
  <autoFilter ref="B577:K601" xr:uid="{3970F96D-136E-48BB-B567-4B197FBCC77C}"/>
  <tableColumns count="10">
    <tableColumn id="1" xr3:uid="{3E98C427-CD91-4631-A2AB-55E6843964A1}" name="DN" dataDxfId="13"/>
    <tableColumn id="2" xr3:uid="{9DD59546-D4EE-43FF-AAC1-14E9A6D7E3C7}" name="FPX"/>
    <tableColumn id="3" xr3:uid="{EB61216B-9FB3-4CF7-AA59-606749E56A34}" name="FPY"/>
    <tableColumn id="4" xr3:uid="{351BEBC6-6E33-4A21-BCD2-4193F8BD1B89}" name="FPZ"/>
    <tableColumn id="5" xr3:uid="{2795EE0F-93EF-464B-A1A6-F331868F3B04}" name="ALLX" dataDxfId="12">
      <calculatedColumnFormula>Lasten_DK[[#This Row],[FPX]]</calculatedColumnFormula>
    </tableColumn>
    <tableColumn id="6" xr3:uid="{2E8411CB-FB26-49FE-BB6E-96AB033850B0}" name="ALLY"/>
    <tableColumn id="7" xr3:uid="{13299B37-EE08-438F-A9F5-6BD586ED5C49}" name="ALLZ"/>
    <tableColumn id="8" xr3:uid="{323A5754-8CC8-425C-8590-D7A9914F86A7}" name="SELX" dataDxfId="11">
      <calculatedColumnFormula>IF($D$1="FP",Lasten_DK[[#This Row],[FPX]],Lasten_DK[[#This Row],[ALLX]])</calculatedColumnFormula>
    </tableColumn>
    <tableColumn id="9" xr3:uid="{6A3239FE-DBBC-4A9C-AD91-39854E9E17FA}" name="SELY">
      <calculatedColumnFormula>IF($D$1="FP",Lasten_DK[[#This Row],[FPY]],Lasten_DK[[#This Row],[ALLY]])</calculatedColumnFormula>
    </tableColumn>
    <tableColumn id="10" xr3:uid="{C708A83E-974A-490B-870F-8BA34BE2336B}" name="SELZ">
      <calculatedColumnFormula>IF($D$1="FP",Lasten_DK[[#This Row],[FPZ]],Lasten_DK[[#This Row],[ALLZ]])</calculatedColumnFormula>
    </tableColumn>
  </tableColumns>
  <tableStyleInfo name="TableStyleMedium2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E6AF94B4-3578-43F2-A6BC-1E0A3A36FE8C}" name="Detail_Func" displayName="Detail_Func" ref="B3:D7" totalsRowShown="0">
  <autoFilter ref="B3:D7" xr:uid="{E6AF94B4-3578-43F2-A6BC-1E0A3A36FE8C}"/>
  <tableColumns count="3">
    <tableColumn id="1" xr3:uid="{6E43DBBC-ECC0-4532-B0BC-EB8603578105}" name="Code"/>
    <tableColumn id="2" xr3:uid="{A1CE6777-9474-4240-9FD7-4941DEC1D3C9}" name="Desc_EN"/>
    <tableColumn id="3" xr3:uid="{E8DBACAC-F341-449A-B709-F30F8892FB68}" name="Desc_DE"/>
  </tableColumns>
  <tableStyleInfo name="TableStyleMedium2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273E3E90-DC1F-488D-918A-396E3384BF1B}" name="Detail_Purp" displayName="Detail_Purp" ref="B14:J17" totalsRowShown="0" headerRowDxfId="10" headerRowBorderDxfId="9" tableBorderDxfId="8" totalsRowBorderDxfId="7">
  <autoFilter ref="B14:J17" xr:uid="{273E3E90-DC1F-488D-918A-396E3384BF1B}"/>
  <tableColumns count="9">
    <tableColumn id="1" xr3:uid="{2F551847-A6D3-4751-A724-640649457230}" name="Code"/>
    <tableColumn id="2" xr3:uid="{70528598-C040-4938-A2A2-1697F204A810}" name="FOR_EN"/>
    <tableColumn id="3" xr3:uid="{C5117E33-15E8-4EEA-A52C-B92F8F1E1E2C}" name="FOR_DE"/>
    <tableColumn id="5" xr3:uid="{9A1E8CAF-959B-4502-A2BF-4D7D8302293E}" name="DRWG_EN"/>
    <tableColumn id="6" xr3:uid="{317CD2B1-FCD0-40E1-ABAA-CEC45D75EB93}" name="DRWG_DE"/>
    <tableColumn id="7" xr3:uid="{A4E5D74D-04B9-43C0-AE2D-5F25537FEACA}" name="CAT_EN"/>
    <tableColumn id="8" xr3:uid="{A6C6DA5A-6DD4-4532-944A-86035CA1573E}" name="CAT_DE"/>
    <tableColumn id="4" xr3:uid="{34B874A8-5499-4C41-BAAF-28C0F391D3EA}" name="ASS_EN"/>
    <tableColumn id="9" xr3:uid="{53818A59-32FC-4BC3-B21C-726F28ABFB28}" name="ASS_DE"/>
  </tableColumns>
  <tableStyleInfo name="TableStyleMedium2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92044A77-E513-44A1-824E-B230219A5346}" name="DRWG" displayName="DRWG" ref="B1:J25" totalsRowShown="0">
  <autoFilter ref="B1:J25" xr:uid="{92044A77-E513-44A1-824E-B230219A5346}"/>
  <tableColumns count="9">
    <tableColumn id="1" xr3:uid="{D87D5D33-6991-4F75-B96E-04D6D900DCCA}" name="DN" dataDxfId="6"/>
    <tableColumn id="2" xr3:uid="{7983CCDB-64D6-4525-B123-0BEC0DD803F1}" name="Light_C" dataDxfId="5"/>
    <tableColumn id="3" xr3:uid="{60AF179F-7FF3-4559-9CEF-D317D750464E}" name="Light_S" dataDxfId="4"/>
    <tableColumn id="4" xr3:uid="{0701C0A7-62FE-4ABA-B4D7-554F9E7B272A}" name="Heavy_C" dataDxfId="3"/>
    <tableColumn id="5" xr3:uid="{264E3E9D-B980-489E-87EE-CA02910E44FC}" name="Heavy_S" dataDxfId="2"/>
    <tableColumn id="6" xr3:uid="{A8D40162-1F3A-475B-92D7-F355373FBFB7}" name="SC_Slide"/>
    <tableColumn id="7" xr3:uid="{4186C6CC-315D-4DB3-AF74-C709132ACAFF}" name="SC_Fixed"/>
    <tableColumn id="8" xr3:uid="{EB79DF48-2672-4B45-84C3-A54132DF6F39}" name="SEL_HL" dataDxfId="1">
      <calculatedColumnFormula>SUBSTITUTE(IF(LSTWLD!$F$1="leicht",IF(LSTWLD!$B$1="Stainless",DRWG[[#This Row],[Light_S]],DRWG[[#This Row],[Light_C]]),IF(LSTWLD!$B$1="Stainless",DRWG[[#This Row],[Heavy_S]],DRWG[[#This Row],[Heavy_C]])),"1.31-0","")</calculatedColumnFormula>
    </tableColumn>
    <tableColumn id="9" xr3:uid="{93C7F076-F140-4A6B-8799-9B02A37D7AE0}" name="SEL_SC" dataDxfId="0">
      <calculatedColumnFormula>SUBSTITUTE(IF(LSTWLD!$D$1="FP",DRWG[[#This Row],[SC_Fixed]],DRWG[[#This Row],[SC_Slide]]),"1.32-","")</calculatedColumnFormula>
    </tableColumn>
  </tableColumns>
  <tableStyleInfo name="TableStyleMedium2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14414ED0-7DEA-478D-8099-7A205643B4E8}" name="Rohrklasse" displayName="Rohrklasse" ref="B3:G9" totalsRowShown="0">
  <autoFilter ref="B3:G9" xr:uid="{14414ED0-7DEA-478D-8099-7A205643B4E8}"/>
  <tableColumns count="6">
    <tableColumn id="1" xr3:uid="{881CC28C-261A-465C-9D46-475AF683F69D}" name="Rohrklasse"/>
    <tableColumn id="2" xr3:uid="{F8D75BDA-5D99-45DE-97D1-C17FA9403C7B}" name="Material"/>
    <tableColumn id="3" xr3:uid="{3787C667-3AB9-4134-8F47-285489F91183}" name="zulässige Medien"/>
    <tableColumn id="4" xr3:uid="{18D20C99-5481-433D-8C4B-26EAE505F0B1}" name="Halter Dampf+Kondensat"/>
    <tableColumn id="5" xr3:uid="{128FD152-318D-4737-A453-D93995C45149}" name="Halter Schwer"/>
    <tableColumn id="6" xr3:uid="{FA9D3DC1-662C-4D65-8F40-A43B5C5E3F2E}" name="Halter Leich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table" Target="../tables/table11.xml"/><Relationship Id="rId18" Type="http://schemas.openxmlformats.org/officeDocument/2006/relationships/table" Target="../tables/table16.xml"/><Relationship Id="rId26" Type="http://schemas.openxmlformats.org/officeDocument/2006/relationships/table" Target="../tables/table24.xml"/><Relationship Id="rId39" Type="http://schemas.openxmlformats.org/officeDocument/2006/relationships/table" Target="../tables/table37.xml"/><Relationship Id="rId21" Type="http://schemas.openxmlformats.org/officeDocument/2006/relationships/table" Target="../tables/table19.xml"/><Relationship Id="rId34" Type="http://schemas.openxmlformats.org/officeDocument/2006/relationships/table" Target="../tables/table32.xml"/><Relationship Id="rId42" Type="http://schemas.openxmlformats.org/officeDocument/2006/relationships/table" Target="../tables/table40.xml"/><Relationship Id="rId47" Type="http://schemas.openxmlformats.org/officeDocument/2006/relationships/table" Target="../tables/table45.xml"/><Relationship Id="rId50" Type="http://schemas.openxmlformats.org/officeDocument/2006/relationships/table" Target="../tables/table48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6" Type="http://schemas.openxmlformats.org/officeDocument/2006/relationships/table" Target="../tables/table14.xml"/><Relationship Id="rId29" Type="http://schemas.openxmlformats.org/officeDocument/2006/relationships/table" Target="../tables/table27.xml"/><Relationship Id="rId11" Type="http://schemas.openxmlformats.org/officeDocument/2006/relationships/table" Target="../tables/table9.xml"/><Relationship Id="rId24" Type="http://schemas.openxmlformats.org/officeDocument/2006/relationships/table" Target="../tables/table22.xml"/><Relationship Id="rId32" Type="http://schemas.openxmlformats.org/officeDocument/2006/relationships/table" Target="../tables/table30.xml"/><Relationship Id="rId37" Type="http://schemas.openxmlformats.org/officeDocument/2006/relationships/table" Target="../tables/table35.xml"/><Relationship Id="rId40" Type="http://schemas.openxmlformats.org/officeDocument/2006/relationships/table" Target="../tables/table38.xml"/><Relationship Id="rId45" Type="http://schemas.openxmlformats.org/officeDocument/2006/relationships/table" Target="../tables/table43.xml"/><Relationship Id="rId5" Type="http://schemas.openxmlformats.org/officeDocument/2006/relationships/table" Target="../tables/table3.xml"/><Relationship Id="rId15" Type="http://schemas.openxmlformats.org/officeDocument/2006/relationships/table" Target="../tables/table13.xml"/><Relationship Id="rId23" Type="http://schemas.openxmlformats.org/officeDocument/2006/relationships/table" Target="../tables/table21.xml"/><Relationship Id="rId28" Type="http://schemas.openxmlformats.org/officeDocument/2006/relationships/table" Target="../tables/table26.xml"/><Relationship Id="rId36" Type="http://schemas.openxmlformats.org/officeDocument/2006/relationships/table" Target="../tables/table34.xml"/><Relationship Id="rId49" Type="http://schemas.openxmlformats.org/officeDocument/2006/relationships/table" Target="../tables/table47.xml"/><Relationship Id="rId10" Type="http://schemas.openxmlformats.org/officeDocument/2006/relationships/table" Target="../tables/table8.xml"/><Relationship Id="rId19" Type="http://schemas.openxmlformats.org/officeDocument/2006/relationships/table" Target="../tables/table17.xml"/><Relationship Id="rId31" Type="http://schemas.openxmlformats.org/officeDocument/2006/relationships/table" Target="../tables/table29.xml"/><Relationship Id="rId44" Type="http://schemas.openxmlformats.org/officeDocument/2006/relationships/table" Target="../tables/table42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Relationship Id="rId14" Type="http://schemas.openxmlformats.org/officeDocument/2006/relationships/table" Target="../tables/table12.xml"/><Relationship Id="rId22" Type="http://schemas.openxmlformats.org/officeDocument/2006/relationships/table" Target="../tables/table20.xml"/><Relationship Id="rId27" Type="http://schemas.openxmlformats.org/officeDocument/2006/relationships/table" Target="../tables/table25.xml"/><Relationship Id="rId30" Type="http://schemas.openxmlformats.org/officeDocument/2006/relationships/table" Target="../tables/table28.xml"/><Relationship Id="rId35" Type="http://schemas.openxmlformats.org/officeDocument/2006/relationships/table" Target="../tables/table33.xml"/><Relationship Id="rId43" Type="http://schemas.openxmlformats.org/officeDocument/2006/relationships/table" Target="../tables/table41.xml"/><Relationship Id="rId48" Type="http://schemas.openxmlformats.org/officeDocument/2006/relationships/table" Target="../tables/table46.xml"/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12" Type="http://schemas.openxmlformats.org/officeDocument/2006/relationships/table" Target="../tables/table10.xml"/><Relationship Id="rId17" Type="http://schemas.openxmlformats.org/officeDocument/2006/relationships/table" Target="../tables/table15.xml"/><Relationship Id="rId25" Type="http://schemas.openxmlformats.org/officeDocument/2006/relationships/table" Target="../tables/table23.xml"/><Relationship Id="rId33" Type="http://schemas.openxmlformats.org/officeDocument/2006/relationships/table" Target="../tables/table31.xml"/><Relationship Id="rId38" Type="http://schemas.openxmlformats.org/officeDocument/2006/relationships/table" Target="../tables/table36.xml"/><Relationship Id="rId46" Type="http://schemas.openxmlformats.org/officeDocument/2006/relationships/table" Target="../tables/table44.xml"/><Relationship Id="rId20" Type="http://schemas.openxmlformats.org/officeDocument/2006/relationships/table" Target="../tables/table18.xml"/><Relationship Id="rId41" Type="http://schemas.openxmlformats.org/officeDocument/2006/relationships/table" Target="../tables/table39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0.xml"/><Relationship Id="rId1" Type="http://schemas.openxmlformats.org/officeDocument/2006/relationships/table" Target="../tables/table49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F24AD-A7F3-45BF-9A5E-51B61BC23483}">
  <dimension ref="A1:Y26"/>
  <sheetViews>
    <sheetView workbookViewId="0"/>
    <sheetView workbookViewId="1"/>
    <sheetView workbookViewId="2"/>
  </sheetViews>
  <sheetFormatPr baseColWidth="10" defaultRowHeight="12.75"/>
  <cols>
    <col min="1" max="1" width="39.28515625" bestFit="1" customWidth="1"/>
    <col min="2" max="2" width="27.7109375" bestFit="1" customWidth="1"/>
    <col min="3" max="3" width="18.28515625" bestFit="1" customWidth="1"/>
    <col min="6" max="6" width="29" bestFit="1" customWidth="1"/>
    <col min="7" max="7" width="135.7109375" bestFit="1" customWidth="1"/>
    <col min="11" max="11" width="26.5703125" bestFit="1" customWidth="1"/>
    <col min="18" max="18" width="21.28515625" bestFit="1" customWidth="1"/>
    <col min="20" max="20" width="23.28515625" bestFit="1" customWidth="1"/>
  </cols>
  <sheetData>
    <row r="1" spans="1:11">
      <c r="A1" t="s">
        <v>25</v>
      </c>
      <c r="G1" t="s">
        <v>26</v>
      </c>
      <c r="K1" t="s">
        <v>27</v>
      </c>
    </row>
    <row r="2" spans="1:11">
      <c r="A2" t="s">
        <v>0</v>
      </c>
      <c r="F2" t="s">
        <v>30</v>
      </c>
      <c r="G2" t="s">
        <v>28</v>
      </c>
      <c r="K2" t="s">
        <v>29</v>
      </c>
    </row>
    <row r="3" spans="1:11">
      <c r="A3" t="s">
        <v>1</v>
      </c>
      <c r="B3" t="str">
        <f>RIGHT(A3,LEN(A3)-FIND("/",A3)+1)</f>
        <v>/TBH-CATA-SUPP-S&amp;C-FP-001</v>
      </c>
      <c r="C3" t="s">
        <v>17</v>
      </c>
      <c r="D3" s="1" t="s">
        <v>21</v>
      </c>
      <c r="E3">
        <v>1</v>
      </c>
      <c r="F3" t="str">
        <f>$F$2&amp;"/"&amp;D3&amp;"/"&amp;TEXT(E3,"000")</f>
        <v>/TBH-CATA-SUPP-E&amp;C/FP/001</v>
      </c>
      <c r="G3" t="str">
        <f>"new cate "&amp;F3&amp;" copy "&amp;B3&amp;" rename "&amp;B3&amp;" "&amp;F3</f>
        <v>new cate /TBH-CATA-SUPP-E&amp;C/FP/001 copy /TBH-CATA-SUPP-S&amp;C-FP-001 rename /TBH-CATA-SUPP-S&amp;C-FP-001 /TBH-CATA-SUPP-E&amp;C/FP/001</v>
      </c>
    </row>
    <row r="4" spans="1:11">
      <c r="A4" t="s">
        <v>2</v>
      </c>
      <c r="B4" t="str">
        <f t="shared" ref="B4:B18" si="0">RIGHT(A4,LEN(A4)-FIND("/",A4)+1)</f>
        <v>/TBH-CATA-SUPP-S&amp;C-FP-002</v>
      </c>
      <c r="C4" t="s">
        <v>17</v>
      </c>
      <c r="D4" s="1" t="s">
        <v>21</v>
      </c>
      <c r="E4">
        <v>2</v>
      </c>
      <c r="F4" t="str">
        <f t="shared" ref="F4:F18" si="1">$F$2&amp;"/"&amp;D4&amp;"/"&amp;TEXT(E4,"000")</f>
        <v>/TBH-CATA-SUPP-E&amp;C/FP/002</v>
      </c>
      <c r="G4" t="str">
        <f t="shared" ref="G4:G18" si="2">"new cate "&amp;F4&amp;" copy "&amp;B4&amp;" rename "&amp;B4&amp;" "&amp;F4</f>
        <v>new cate /TBH-CATA-SUPP-E&amp;C/FP/002 copy /TBH-CATA-SUPP-S&amp;C-FP-002 rename /TBH-CATA-SUPP-S&amp;C-FP-002 /TBH-CATA-SUPP-E&amp;C/FP/002</v>
      </c>
    </row>
    <row r="5" spans="1:11">
      <c r="A5" t="s">
        <v>3</v>
      </c>
      <c r="B5" t="str">
        <f t="shared" si="0"/>
        <v>/TBH-CATA-SUPP-S&amp;C-FP-003</v>
      </c>
      <c r="C5" t="s">
        <v>17</v>
      </c>
      <c r="D5" s="1" t="s">
        <v>21</v>
      </c>
      <c r="E5">
        <v>3</v>
      </c>
      <c r="F5" t="str">
        <f t="shared" si="1"/>
        <v>/TBH-CATA-SUPP-E&amp;C/FP/003</v>
      </c>
      <c r="G5" t="str">
        <f t="shared" si="2"/>
        <v>new cate /TBH-CATA-SUPP-E&amp;C/FP/003 copy /TBH-CATA-SUPP-S&amp;C-FP-003 rename /TBH-CATA-SUPP-S&amp;C-FP-003 /TBH-CATA-SUPP-E&amp;C/FP/003</v>
      </c>
    </row>
    <row r="6" spans="1:11">
      <c r="A6" t="s">
        <v>4</v>
      </c>
      <c r="B6" t="str">
        <f t="shared" si="0"/>
        <v>/TBH-CATA-SUPP-S&amp;C-FP-004</v>
      </c>
      <c r="C6" t="s">
        <v>17</v>
      </c>
      <c r="D6" s="1" t="s">
        <v>21</v>
      </c>
      <c r="E6">
        <v>4</v>
      </c>
      <c r="F6" t="str">
        <f t="shared" si="1"/>
        <v>/TBH-CATA-SUPP-E&amp;C/FP/004</v>
      </c>
      <c r="G6" t="str">
        <f t="shared" si="2"/>
        <v>new cate /TBH-CATA-SUPP-E&amp;C/FP/004 copy /TBH-CATA-SUPP-S&amp;C-FP-004 rename /TBH-CATA-SUPP-S&amp;C-FP-004 /TBH-CATA-SUPP-E&amp;C/FP/004</v>
      </c>
    </row>
    <row r="7" spans="1:11">
      <c r="A7" t="s">
        <v>5</v>
      </c>
      <c r="B7" t="str">
        <f t="shared" si="0"/>
        <v>/TBH-CATA-SUPP-S&amp;C-SS-001</v>
      </c>
      <c r="C7" t="s">
        <v>18</v>
      </c>
      <c r="D7" t="s">
        <v>22</v>
      </c>
      <c r="E7">
        <v>1</v>
      </c>
      <c r="F7" t="str">
        <f t="shared" si="1"/>
        <v>/TBH-CATA-SUPP-E&amp;C/SS/001</v>
      </c>
      <c r="G7" t="str">
        <f t="shared" si="2"/>
        <v>new cate /TBH-CATA-SUPP-E&amp;C/SS/001 copy /TBH-CATA-SUPP-S&amp;C-SS-001 rename /TBH-CATA-SUPP-S&amp;C-SS-001 /TBH-CATA-SUPP-E&amp;C/SS/001</v>
      </c>
    </row>
    <row r="8" spans="1:11">
      <c r="A8" t="s">
        <v>6</v>
      </c>
      <c r="B8" t="str">
        <f t="shared" si="0"/>
        <v>/TBH-CATA-SUPP-S&amp;C-SS-002</v>
      </c>
      <c r="C8" t="s">
        <v>18</v>
      </c>
      <c r="D8" t="s">
        <v>22</v>
      </c>
      <c r="E8">
        <v>2</v>
      </c>
      <c r="F8" t="str">
        <f t="shared" si="1"/>
        <v>/TBH-CATA-SUPP-E&amp;C/SS/002</v>
      </c>
      <c r="G8" t="str">
        <f t="shared" si="2"/>
        <v>new cate /TBH-CATA-SUPP-E&amp;C/SS/002 copy /TBH-CATA-SUPP-S&amp;C-SS-002 rename /TBH-CATA-SUPP-S&amp;C-SS-002 /TBH-CATA-SUPP-E&amp;C/SS/002</v>
      </c>
    </row>
    <row r="9" spans="1:11">
      <c r="A9" t="s">
        <v>7</v>
      </c>
      <c r="B9" t="str">
        <f t="shared" si="0"/>
        <v>/TBH-CATA-SUPP-S&amp;C-SS-003</v>
      </c>
      <c r="C9" t="s">
        <v>18</v>
      </c>
      <c r="D9" t="s">
        <v>22</v>
      </c>
      <c r="E9">
        <v>3</v>
      </c>
      <c r="F9" t="str">
        <f t="shared" si="1"/>
        <v>/TBH-CATA-SUPP-E&amp;C/SS/003</v>
      </c>
      <c r="G9" t="str">
        <f t="shared" si="2"/>
        <v>new cate /TBH-CATA-SUPP-E&amp;C/SS/003 copy /TBH-CATA-SUPP-S&amp;C-SS-003 rename /TBH-CATA-SUPP-S&amp;C-SS-003 /TBH-CATA-SUPP-E&amp;C/SS/003</v>
      </c>
    </row>
    <row r="10" spans="1:11">
      <c r="A10" t="s">
        <v>8</v>
      </c>
      <c r="B10" t="str">
        <f t="shared" si="0"/>
        <v>/TBH-CATA-SUPP-S&amp;C-SS-004</v>
      </c>
      <c r="C10" t="s">
        <v>18</v>
      </c>
      <c r="D10" t="s">
        <v>22</v>
      </c>
      <c r="E10">
        <v>4</v>
      </c>
      <c r="F10" t="str">
        <f t="shared" si="1"/>
        <v>/TBH-CATA-SUPP-E&amp;C/SS/004</v>
      </c>
      <c r="G10" t="str">
        <f t="shared" si="2"/>
        <v>new cate /TBH-CATA-SUPP-E&amp;C/SS/004 copy /TBH-CATA-SUPP-S&amp;C-SS-004 rename /TBH-CATA-SUPP-S&amp;C-SS-004 /TBH-CATA-SUPP-E&amp;C/SS/004</v>
      </c>
    </row>
    <row r="11" spans="1:11">
      <c r="A11" t="s">
        <v>9</v>
      </c>
      <c r="B11" t="str">
        <f t="shared" si="0"/>
        <v>/TBH-CATA-SUPP-S&amp;C-GS-001</v>
      </c>
      <c r="C11" t="s">
        <v>19</v>
      </c>
      <c r="D11" s="1" t="s">
        <v>23</v>
      </c>
      <c r="E11">
        <v>1</v>
      </c>
      <c r="F11" t="str">
        <f t="shared" si="1"/>
        <v>/TBH-CATA-SUPP-E&amp;C/GS/001</v>
      </c>
      <c r="G11" t="str">
        <f t="shared" si="2"/>
        <v>new cate /TBH-CATA-SUPP-E&amp;C/GS/001 copy /TBH-CATA-SUPP-S&amp;C-GS-001 rename /TBH-CATA-SUPP-S&amp;C-GS-001 /TBH-CATA-SUPP-E&amp;C/GS/001</v>
      </c>
    </row>
    <row r="12" spans="1:11">
      <c r="A12" t="s">
        <v>10</v>
      </c>
      <c r="B12" t="str">
        <f t="shared" si="0"/>
        <v>/TBH-CATA-SUPP-S&amp;C-GS-002</v>
      </c>
      <c r="C12" t="s">
        <v>19</v>
      </c>
      <c r="D12" s="1" t="s">
        <v>23</v>
      </c>
      <c r="E12">
        <v>2</v>
      </c>
      <c r="F12" t="str">
        <f t="shared" si="1"/>
        <v>/TBH-CATA-SUPP-E&amp;C/GS/002</v>
      </c>
      <c r="G12" t="str">
        <f t="shared" si="2"/>
        <v>new cate /TBH-CATA-SUPP-E&amp;C/GS/002 copy /TBH-CATA-SUPP-S&amp;C-GS-002 rename /TBH-CATA-SUPP-S&amp;C-GS-002 /TBH-CATA-SUPP-E&amp;C/GS/002</v>
      </c>
    </row>
    <row r="13" spans="1:11">
      <c r="A13" t="s">
        <v>11</v>
      </c>
      <c r="B13" t="str">
        <f t="shared" si="0"/>
        <v>/TBH-CATA-SUPP-S&amp;C-GS-003</v>
      </c>
      <c r="C13" t="s">
        <v>19</v>
      </c>
      <c r="D13" s="1" t="s">
        <v>23</v>
      </c>
      <c r="E13">
        <v>3</v>
      </c>
      <c r="F13" t="str">
        <f t="shared" si="1"/>
        <v>/TBH-CATA-SUPP-E&amp;C/GS/003</v>
      </c>
      <c r="G13" t="str">
        <f t="shared" si="2"/>
        <v>new cate /TBH-CATA-SUPP-E&amp;C/GS/003 copy /TBH-CATA-SUPP-S&amp;C-GS-003 rename /TBH-CATA-SUPP-S&amp;C-GS-003 /TBH-CATA-SUPP-E&amp;C/GS/003</v>
      </c>
    </row>
    <row r="14" spans="1:11">
      <c r="A14" t="s">
        <v>12</v>
      </c>
      <c r="B14" t="str">
        <f t="shared" si="0"/>
        <v>/TBH-CATA-SUPP-S&amp;C-GS-004</v>
      </c>
      <c r="C14" t="s">
        <v>19</v>
      </c>
      <c r="D14" s="1" t="s">
        <v>23</v>
      </c>
      <c r="E14">
        <v>4</v>
      </c>
      <c r="F14" t="str">
        <f t="shared" si="1"/>
        <v>/TBH-CATA-SUPP-E&amp;C/GS/004</v>
      </c>
      <c r="G14" t="str">
        <f t="shared" si="2"/>
        <v>new cate /TBH-CATA-SUPP-E&amp;C/GS/004 copy /TBH-CATA-SUPP-S&amp;C-GS-004 rename /TBH-CATA-SUPP-S&amp;C-GS-004 /TBH-CATA-SUPP-E&amp;C/GS/004</v>
      </c>
    </row>
    <row r="15" spans="1:11">
      <c r="A15" t="s">
        <v>13</v>
      </c>
      <c r="B15" t="str">
        <f t="shared" si="0"/>
        <v>/TBH-CATA-SUPP-S&amp;C-PFP-001</v>
      </c>
      <c r="C15" t="s">
        <v>20</v>
      </c>
      <c r="D15" t="s">
        <v>24</v>
      </c>
      <c r="E15">
        <v>1</v>
      </c>
      <c r="F15" t="str">
        <f t="shared" si="1"/>
        <v>/TBH-CATA-SUPP-E&amp;C/PFP/001</v>
      </c>
      <c r="G15" t="str">
        <f t="shared" si="2"/>
        <v>new cate /TBH-CATA-SUPP-E&amp;C/PFP/001 copy /TBH-CATA-SUPP-S&amp;C-PFP-001 rename /TBH-CATA-SUPP-S&amp;C-PFP-001 /TBH-CATA-SUPP-E&amp;C/PFP/001</v>
      </c>
    </row>
    <row r="16" spans="1:11">
      <c r="A16" t="s">
        <v>14</v>
      </c>
      <c r="B16" t="str">
        <f t="shared" si="0"/>
        <v>/TBH-CATA-SUPP-S&amp;C-PFP-002</v>
      </c>
      <c r="C16" t="s">
        <v>20</v>
      </c>
      <c r="D16" t="s">
        <v>24</v>
      </c>
      <c r="E16">
        <v>2</v>
      </c>
      <c r="F16" t="str">
        <f t="shared" si="1"/>
        <v>/TBH-CATA-SUPP-E&amp;C/PFP/002</v>
      </c>
      <c r="G16" t="str">
        <f t="shared" si="2"/>
        <v>new cate /TBH-CATA-SUPP-E&amp;C/PFP/002 copy /TBH-CATA-SUPP-S&amp;C-PFP-002 rename /TBH-CATA-SUPP-S&amp;C-PFP-002 /TBH-CATA-SUPP-E&amp;C/PFP/002</v>
      </c>
    </row>
    <row r="17" spans="1:25">
      <c r="A17" t="s">
        <v>15</v>
      </c>
      <c r="B17" t="str">
        <f t="shared" si="0"/>
        <v>/TBH-CATA-SUPP-S&amp;C-PFP-003</v>
      </c>
      <c r="C17" t="s">
        <v>20</v>
      </c>
      <c r="D17" t="s">
        <v>24</v>
      </c>
      <c r="E17">
        <v>3</v>
      </c>
      <c r="F17" t="str">
        <f t="shared" si="1"/>
        <v>/TBH-CATA-SUPP-E&amp;C/PFP/003</v>
      </c>
      <c r="G17" t="str">
        <f t="shared" si="2"/>
        <v>new cate /TBH-CATA-SUPP-E&amp;C/PFP/003 copy /TBH-CATA-SUPP-S&amp;C-PFP-003 rename /TBH-CATA-SUPP-S&amp;C-PFP-003 /TBH-CATA-SUPP-E&amp;C/PFP/003</v>
      </c>
    </row>
    <row r="18" spans="1:25">
      <c r="A18" t="s">
        <v>16</v>
      </c>
      <c r="B18" t="str">
        <f t="shared" si="0"/>
        <v>/TBH-CATA-SUPP-S&amp;C-PFP-004</v>
      </c>
      <c r="C18" t="s">
        <v>20</v>
      </c>
      <c r="D18" t="s">
        <v>24</v>
      </c>
      <c r="E18">
        <v>4</v>
      </c>
      <c r="F18" t="str">
        <f t="shared" si="1"/>
        <v>/TBH-CATA-SUPP-E&amp;C/PFP/004</v>
      </c>
      <c r="G18" t="str">
        <f t="shared" si="2"/>
        <v>new cate /TBH-CATA-SUPP-E&amp;C/PFP/004 copy /TBH-CATA-SUPP-S&amp;C-PFP-004 rename /TBH-CATA-SUPP-S&amp;C-PFP-004 /TBH-CATA-SUPP-E&amp;C/PFP/004</v>
      </c>
    </row>
    <row r="22" spans="1:25">
      <c r="M22" t="s">
        <v>104</v>
      </c>
      <c r="N22" t="s">
        <v>351</v>
      </c>
      <c r="O22" t="s">
        <v>115</v>
      </c>
      <c r="P22" t="s">
        <v>353</v>
      </c>
      <c r="Q22" t="s">
        <v>341</v>
      </c>
      <c r="R22" t="s">
        <v>256</v>
      </c>
      <c r="S22" t="s">
        <v>21</v>
      </c>
      <c r="T22" t="s">
        <v>358</v>
      </c>
      <c r="U22" t="s">
        <v>344</v>
      </c>
      <c r="W22" t="s">
        <v>346</v>
      </c>
      <c r="Y22" t="s">
        <v>350</v>
      </c>
    </row>
    <row r="23" spans="1:25">
      <c r="M23" t="s">
        <v>114</v>
      </c>
      <c r="N23" t="s">
        <v>352</v>
      </c>
      <c r="O23" t="s">
        <v>33</v>
      </c>
      <c r="P23" t="s">
        <v>354</v>
      </c>
      <c r="Q23" t="s">
        <v>342</v>
      </c>
      <c r="R23" t="s">
        <v>356</v>
      </c>
      <c r="S23" t="s">
        <v>343</v>
      </c>
      <c r="U23" t="s">
        <v>40</v>
      </c>
      <c r="W23" t="s">
        <v>345</v>
      </c>
      <c r="Y23" t="s">
        <v>40</v>
      </c>
    </row>
    <row r="24" spans="1:25">
      <c r="O24" t="s">
        <v>340</v>
      </c>
      <c r="P24" t="s">
        <v>355</v>
      </c>
      <c r="Q24" t="s">
        <v>40</v>
      </c>
      <c r="R24" t="s">
        <v>357</v>
      </c>
      <c r="S24" t="s">
        <v>22</v>
      </c>
      <c r="W24" t="s">
        <v>347</v>
      </c>
    </row>
    <row r="25" spans="1:25">
      <c r="S25" t="s">
        <v>40</v>
      </c>
      <c r="W25" t="s">
        <v>348</v>
      </c>
    </row>
    <row r="26" spans="1:25">
      <c r="W26" t="s">
        <v>349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27083-C11D-4E1C-9346-6403B7B7E113}">
  <dimension ref="B1:T13"/>
  <sheetViews>
    <sheetView workbookViewId="0"/>
    <sheetView workbookViewId="1"/>
    <sheetView workbookViewId="2"/>
  </sheetViews>
  <sheetFormatPr baseColWidth="10" defaultRowHeight="12.75"/>
  <sheetData>
    <row r="1" spans="2:20" ht="13.5" thickBot="1"/>
    <row r="2" spans="2:20">
      <c r="B2" s="2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12</v>
      </c>
      <c r="N2" s="3">
        <v>13</v>
      </c>
      <c r="O2" s="3">
        <v>14</v>
      </c>
      <c r="P2" s="3">
        <v>15</v>
      </c>
      <c r="Q2" s="3">
        <v>16</v>
      </c>
      <c r="R2" s="3">
        <v>17</v>
      </c>
      <c r="S2" s="3">
        <v>18</v>
      </c>
      <c r="T2" s="4">
        <v>19</v>
      </c>
    </row>
    <row r="3" spans="2:20" ht="13.5" thickBot="1">
      <c r="B3" s="5" t="s">
        <v>32</v>
      </c>
      <c r="C3" s="6" t="s">
        <v>33</v>
      </c>
      <c r="D3" s="6" t="s">
        <v>34</v>
      </c>
      <c r="E3" s="6" t="s">
        <v>35</v>
      </c>
      <c r="F3" s="6" t="s">
        <v>37</v>
      </c>
      <c r="G3" s="9"/>
      <c r="H3" s="6" t="s">
        <v>40</v>
      </c>
      <c r="I3" s="9"/>
      <c r="J3" s="6">
        <v>0</v>
      </c>
      <c r="K3" s="6">
        <v>0</v>
      </c>
      <c r="L3" s="9"/>
      <c r="M3" s="6" t="s">
        <v>35</v>
      </c>
      <c r="N3" s="6" t="s">
        <v>46</v>
      </c>
      <c r="O3" s="6" t="s">
        <v>35</v>
      </c>
      <c r="P3" s="6" t="s">
        <v>49</v>
      </c>
      <c r="Q3" s="6" t="s">
        <v>35</v>
      </c>
      <c r="R3" s="6">
        <v>0</v>
      </c>
      <c r="S3" s="6" t="s">
        <v>35</v>
      </c>
      <c r="T3" s="7">
        <v>0</v>
      </c>
    </row>
    <row r="4" spans="2:20" ht="13.5" thickBot="1"/>
    <row r="5" spans="2:20" ht="26.25" thickBot="1">
      <c r="B5" s="93" t="s">
        <v>31</v>
      </c>
      <c r="C5" s="94"/>
      <c r="D5" s="95"/>
      <c r="E5" s="8" t="s">
        <v>36</v>
      </c>
      <c r="F5" s="10" t="s">
        <v>41</v>
      </c>
      <c r="G5" s="8" t="s">
        <v>39</v>
      </c>
      <c r="H5" s="8" t="s">
        <v>38</v>
      </c>
      <c r="I5" s="8" t="s">
        <v>42</v>
      </c>
      <c r="J5" s="10" t="s">
        <v>43</v>
      </c>
      <c r="K5" s="10" t="s">
        <v>44</v>
      </c>
      <c r="L5" s="8" t="s">
        <v>45</v>
      </c>
      <c r="M5" s="8" t="s">
        <v>36</v>
      </c>
      <c r="N5" s="10" t="s">
        <v>47</v>
      </c>
      <c r="O5" s="8" t="s">
        <v>36</v>
      </c>
      <c r="P5" s="10" t="s">
        <v>48</v>
      </c>
      <c r="Q5" s="8" t="s">
        <v>36</v>
      </c>
      <c r="R5" s="10" t="s">
        <v>50</v>
      </c>
      <c r="S5" s="8" t="s">
        <v>36</v>
      </c>
      <c r="T5" s="10" t="s">
        <v>50</v>
      </c>
    </row>
    <row r="6" spans="2:20" ht="13.5" thickBot="1"/>
    <row r="7" spans="2:20" ht="13.5" thickBot="1">
      <c r="B7" s="8" t="s">
        <v>39</v>
      </c>
      <c r="C7" t="s">
        <v>51</v>
      </c>
      <c r="D7" t="s">
        <v>54</v>
      </c>
    </row>
    <row r="8" spans="2:20" ht="13.5" thickBot="1"/>
    <row r="9" spans="2:20" ht="13.5" thickBot="1">
      <c r="B9" s="8" t="s">
        <v>42</v>
      </c>
      <c r="C9" t="s">
        <v>52</v>
      </c>
      <c r="D9" t="s">
        <v>55</v>
      </c>
    </row>
    <row r="10" spans="2:20" ht="13.5" thickBot="1"/>
    <row r="11" spans="2:20" ht="13.5" thickBot="1">
      <c r="B11" s="8" t="s">
        <v>45</v>
      </c>
      <c r="C11" t="s">
        <v>53</v>
      </c>
      <c r="D11" t="s">
        <v>57</v>
      </c>
    </row>
    <row r="12" spans="2:20" ht="13.5" thickBot="1"/>
    <row r="13" spans="2:20" ht="13.5" thickBot="1">
      <c r="B13" s="8" t="s">
        <v>31</v>
      </c>
      <c r="D13" t="s">
        <v>56</v>
      </c>
    </row>
  </sheetData>
  <mergeCells count="1">
    <mergeCell ref="B5:D5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DF970-503B-441C-80EA-10D90D9B2D5C}">
  <dimension ref="A1:AS601"/>
  <sheetViews>
    <sheetView topLeftCell="A147" zoomScaleNormal="100" workbookViewId="0">
      <selection activeCell="O207" sqref="O207"/>
    </sheetView>
    <sheetView topLeftCell="A385" zoomScale="25" zoomScaleNormal="25" workbookViewId="1">
      <selection activeCell="S30" sqref="S30"/>
    </sheetView>
    <sheetView tabSelected="1" workbookViewId="2">
      <selection activeCell="F1" sqref="F1"/>
    </sheetView>
  </sheetViews>
  <sheetFormatPr baseColWidth="10" defaultRowHeight="12.75"/>
  <cols>
    <col min="2" max="2" width="17.7109375" bestFit="1" customWidth="1"/>
    <col min="3" max="3" width="16.42578125" customWidth="1"/>
    <col min="4" max="4" width="21.140625" customWidth="1"/>
    <col min="5" max="5" width="20.42578125" bestFit="1" customWidth="1"/>
    <col min="6" max="6" width="21.140625" customWidth="1"/>
    <col min="7" max="8" width="18.85546875" bestFit="1" customWidth="1"/>
    <col min="9" max="9" width="15.7109375" bestFit="1" customWidth="1"/>
    <col min="10" max="10" width="13.7109375" bestFit="1" customWidth="1"/>
    <col min="11" max="11" width="15.140625" bestFit="1" customWidth="1"/>
    <col min="12" max="12" width="17.28515625" bestFit="1" customWidth="1"/>
    <col min="13" max="13" width="13.140625" bestFit="1" customWidth="1"/>
    <col min="14" max="14" width="22.140625" bestFit="1" customWidth="1"/>
    <col min="15" max="16" width="12.28515625" bestFit="1" customWidth="1"/>
    <col min="17" max="17" width="23.5703125" bestFit="1" customWidth="1"/>
    <col min="18" max="18" width="15" bestFit="1" customWidth="1"/>
    <col min="19" max="19" width="15.28515625" bestFit="1" customWidth="1"/>
    <col min="20" max="20" width="14.5703125" bestFit="1" customWidth="1"/>
    <col min="21" max="21" width="14.85546875" bestFit="1" customWidth="1"/>
    <col min="22" max="23" width="14.140625" customWidth="1"/>
    <col min="24" max="24" width="13" customWidth="1"/>
    <col min="25" max="25" width="11.85546875" customWidth="1"/>
    <col min="26" max="26" width="12" customWidth="1"/>
    <col min="27" max="28" width="12.28515625" bestFit="1" customWidth="1"/>
    <col min="31" max="31" width="22" bestFit="1" customWidth="1"/>
    <col min="32" max="32" width="21" customWidth="1"/>
    <col min="33" max="33" width="15.7109375" customWidth="1"/>
    <col min="38" max="38" width="12.28515625" bestFit="1" customWidth="1"/>
    <col min="41" max="41" width="11.5703125" customWidth="1"/>
  </cols>
  <sheetData>
    <row r="1" spans="1:17">
      <c r="A1" t="s">
        <v>407</v>
      </c>
      <c r="B1" s="53" t="s">
        <v>371</v>
      </c>
      <c r="C1" t="s">
        <v>408</v>
      </c>
      <c r="D1" s="52" t="s">
        <v>23</v>
      </c>
      <c r="E1" t="s">
        <v>774</v>
      </c>
      <c r="F1" s="52" t="s">
        <v>377</v>
      </c>
      <c r="G1" t="s">
        <v>773</v>
      </c>
      <c r="H1" s="91">
        <f>IF(B1="Carbon",K1,L1)</f>
        <v>7.7999999999999996E-3</v>
      </c>
      <c r="K1">
        <v>7.7999999999999996E-3</v>
      </c>
      <c r="L1">
        <v>8.0000000000000002E-3</v>
      </c>
    </row>
    <row r="4" spans="1:17">
      <c r="B4" t="s">
        <v>101</v>
      </c>
    </row>
    <row r="5" spans="1:17">
      <c r="B5" t="s">
        <v>89</v>
      </c>
      <c r="C5" t="s">
        <v>90</v>
      </c>
      <c r="D5" t="s">
        <v>91</v>
      </c>
      <c r="E5" t="s">
        <v>92</v>
      </c>
      <c r="F5" t="s">
        <v>34</v>
      </c>
      <c r="G5" t="s">
        <v>93</v>
      </c>
      <c r="H5" t="s">
        <v>94</v>
      </c>
      <c r="I5" t="s">
        <v>95</v>
      </c>
      <c r="J5" t="s">
        <v>96</v>
      </c>
      <c r="K5" t="s">
        <v>59</v>
      </c>
      <c r="L5" t="s">
        <v>232</v>
      </c>
      <c r="M5" t="s">
        <v>97</v>
      </c>
      <c r="N5" t="s">
        <v>107</v>
      </c>
      <c r="O5" t="s">
        <v>98</v>
      </c>
      <c r="P5" t="s">
        <v>99</v>
      </c>
      <c r="Q5" t="s">
        <v>775</v>
      </c>
    </row>
    <row r="6" spans="1:17">
      <c r="B6">
        <v>15</v>
      </c>
      <c r="C6" t="s">
        <v>58</v>
      </c>
      <c r="D6">
        <v>22</v>
      </c>
      <c r="E6">
        <v>55</v>
      </c>
      <c r="F6">
        <v>10</v>
      </c>
      <c r="G6">
        <v>9</v>
      </c>
      <c r="H6">
        <v>5</v>
      </c>
      <c r="I6">
        <v>3</v>
      </c>
      <c r="J6">
        <v>25</v>
      </c>
      <c r="K6" t="s">
        <v>59</v>
      </c>
      <c r="L6">
        <v>3</v>
      </c>
      <c r="M6" t="s">
        <v>60</v>
      </c>
      <c r="N6" t="s">
        <v>59</v>
      </c>
      <c r="O6">
        <v>30</v>
      </c>
      <c r="P6">
        <v>6</v>
      </c>
      <c r="Q6">
        <v>0.09</v>
      </c>
    </row>
    <row r="7" spans="1:17">
      <c r="B7">
        <v>20</v>
      </c>
      <c r="C7" t="s">
        <v>61</v>
      </c>
      <c r="D7">
        <v>27</v>
      </c>
      <c r="E7">
        <v>61</v>
      </c>
      <c r="F7">
        <v>10</v>
      </c>
      <c r="G7">
        <v>9</v>
      </c>
      <c r="H7">
        <v>5</v>
      </c>
      <c r="I7">
        <v>3</v>
      </c>
      <c r="J7">
        <v>25</v>
      </c>
      <c r="K7" t="s">
        <v>59</v>
      </c>
      <c r="L7">
        <v>3</v>
      </c>
      <c r="M7" t="s">
        <v>60</v>
      </c>
      <c r="N7" t="s">
        <v>59</v>
      </c>
      <c r="O7">
        <v>30</v>
      </c>
      <c r="P7">
        <v>6</v>
      </c>
      <c r="Q7">
        <v>0.1</v>
      </c>
    </row>
    <row r="8" spans="1:17">
      <c r="B8">
        <v>25</v>
      </c>
      <c r="C8" t="s">
        <v>62</v>
      </c>
      <c r="D8">
        <v>34</v>
      </c>
      <c r="E8">
        <v>68</v>
      </c>
      <c r="F8">
        <v>10</v>
      </c>
      <c r="G8">
        <v>9</v>
      </c>
      <c r="H8">
        <v>5</v>
      </c>
      <c r="I8">
        <v>3</v>
      </c>
      <c r="J8">
        <v>25</v>
      </c>
      <c r="K8" t="s">
        <v>59</v>
      </c>
      <c r="L8">
        <v>3</v>
      </c>
      <c r="M8" t="s">
        <v>60</v>
      </c>
      <c r="N8" t="s">
        <v>59</v>
      </c>
      <c r="O8">
        <v>30</v>
      </c>
      <c r="P8">
        <v>6</v>
      </c>
      <c r="Q8">
        <v>0.12</v>
      </c>
    </row>
    <row r="9" spans="1:17">
      <c r="B9">
        <v>32</v>
      </c>
      <c r="C9" t="s">
        <v>86</v>
      </c>
      <c r="D9">
        <v>43</v>
      </c>
      <c r="E9">
        <v>78</v>
      </c>
      <c r="F9">
        <v>10</v>
      </c>
      <c r="G9">
        <v>9</v>
      </c>
      <c r="H9">
        <v>5</v>
      </c>
      <c r="I9">
        <v>3</v>
      </c>
      <c r="J9">
        <v>25</v>
      </c>
      <c r="K9" t="s">
        <v>59</v>
      </c>
      <c r="L9">
        <v>3</v>
      </c>
      <c r="M9" t="s">
        <v>60</v>
      </c>
      <c r="N9" t="s">
        <v>59</v>
      </c>
      <c r="O9">
        <v>30</v>
      </c>
      <c r="P9">
        <v>6</v>
      </c>
      <c r="Q9">
        <v>0.13</v>
      </c>
    </row>
    <row r="10" spans="1:17">
      <c r="B10">
        <v>40</v>
      </c>
      <c r="C10" t="s">
        <v>87</v>
      </c>
      <c r="D10">
        <v>49</v>
      </c>
      <c r="E10">
        <v>85</v>
      </c>
      <c r="F10">
        <v>10</v>
      </c>
      <c r="G10">
        <v>9</v>
      </c>
      <c r="H10">
        <v>5</v>
      </c>
      <c r="I10">
        <v>3</v>
      </c>
      <c r="J10">
        <v>25</v>
      </c>
      <c r="K10" t="s">
        <v>59</v>
      </c>
      <c r="L10">
        <v>3</v>
      </c>
      <c r="M10" t="s">
        <v>60</v>
      </c>
      <c r="N10" t="s">
        <v>59</v>
      </c>
      <c r="O10">
        <v>30</v>
      </c>
      <c r="P10">
        <v>6</v>
      </c>
      <c r="Q10">
        <v>0.15</v>
      </c>
    </row>
    <row r="11" spans="1:17">
      <c r="B11">
        <v>50</v>
      </c>
      <c r="C11" t="s">
        <v>63</v>
      </c>
      <c r="D11">
        <v>61</v>
      </c>
      <c r="E11">
        <v>104</v>
      </c>
      <c r="F11">
        <v>15</v>
      </c>
      <c r="G11">
        <v>12</v>
      </c>
      <c r="H11">
        <v>7</v>
      </c>
      <c r="I11">
        <v>4</v>
      </c>
      <c r="J11">
        <v>30</v>
      </c>
      <c r="K11" t="s">
        <v>59</v>
      </c>
      <c r="L11">
        <v>4</v>
      </c>
      <c r="M11" t="s">
        <v>64</v>
      </c>
      <c r="N11" t="s">
        <v>59</v>
      </c>
      <c r="O11">
        <v>35</v>
      </c>
      <c r="P11">
        <v>8</v>
      </c>
      <c r="Q11">
        <v>0.3</v>
      </c>
    </row>
    <row r="12" spans="1:17">
      <c r="B12">
        <v>65</v>
      </c>
      <c r="C12" t="s">
        <v>88</v>
      </c>
      <c r="D12">
        <v>77</v>
      </c>
      <c r="E12">
        <v>121</v>
      </c>
      <c r="F12">
        <v>15</v>
      </c>
      <c r="G12">
        <v>12</v>
      </c>
      <c r="H12">
        <v>7</v>
      </c>
      <c r="I12">
        <v>4</v>
      </c>
      <c r="J12">
        <v>30</v>
      </c>
      <c r="K12" t="s">
        <v>59</v>
      </c>
      <c r="L12">
        <v>4</v>
      </c>
      <c r="M12" t="s">
        <v>64</v>
      </c>
      <c r="N12" t="s">
        <v>59</v>
      </c>
      <c r="O12">
        <v>35</v>
      </c>
      <c r="P12">
        <v>8</v>
      </c>
      <c r="Q12">
        <v>0.34</v>
      </c>
    </row>
    <row r="13" spans="1:17">
      <c r="B13">
        <v>80</v>
      </c>
      <c r="C13" t="s">
        <v>65</v>
      </c>
      <c r="D13">
        <v>89</v>
      </c>
      <c r="E13">
        <v>133</v>
      </c>
      <c r="F13">
        <v>15</v>
      </c>
      <c r="G13">
        <v>12</v>
      </c>
      <c r="H13">
        <v>7</v>
      </c>
      <c r="I13">
        <v>4</v>
      </c>
      <c r="J13">
        <v>30</v>
      </c>
      <c r="K13" t="s">
        <v>59</v>
      </c>
      <c r="L13">
        <v>4</v>
      </c>
      <c r="M13" t="s">
        <v>64</v>
      </c>
      <c r="N13" t="s">
        <v>59</v>
      </c>
      <c r="O13">
        <v>35</v>
      </c>
      <c r="P13">
        <v>8</v>
      </c>
      <c r="Q13">
        <v>0.38</v>
      </c>
    </row>
    <row r="14" spans="1:17">
      <c r="B14">
        <v>100</v>
      </c>
      <c r="C14" t="s">
        <v>66</v>
      </c>
      <c r="D14">
        <v>115</v>
      </c>
      <c r="E14">
        <v>164</v>
      </c>
      <c r="F14">
        <v>18</v>
      </c>
      <c r="G14">
        <v>14</v>
      </c>
      <c r="H14">
        <v>9</v>
      </c>
      <c r="I14">
        <v>5</v>
      </c>
      <c r="J14">
        <v>40</v>
      </c>
      <c r="K14" t="s">
        <v>59</v>
      </c>
      <c r="L14">
        <v>5</v>
      </c>
      <c r="M14" t="s">
        <v>67</v>
      </c>
      <c r="N14" t="s">
        <v>59</v>
      </c>
      <c r="O14">
        <v>40</v>
      </c>
      <c r="P14">
        <v>10</v>
      </c>
      <c r="Q14">
        <v>0.78</v>
      </c>
    </row>
    <row r="15" spans="1:17">
      <c r="B15">
        <v>125</v>
      </c>
      <c r="C15" t="s">
        <v>68</v>
      </c>
      <c r="D15">
        <v>140</v>
      </c>
      <c r="E15">
        <v>189</v>
      </c>
      <c r="F15">
        <v>18</v>
      </c>
      <c r="G15">
        <v>14</v>
      </c>
      <c r="H15">
        <v>9</v>
      </c>
      <c r="I15">
        <v>5</v>
      </c>
      <c r="J15">
        <v>40</v>
      </c>
      <c r="K15" t="s">
        <v>59</v>
      </c>
      <c r="L15">
        <v>5</v>
      </c>
      <c r="M15" t="s">
        <v>67</v>
      </c>
      <c r="N15" t="s">
        <v>59</v>
      </c>
      <c r="O15">
        <v>40</v>
      </c>
      <c r="P15">
        <v>10</v>
      </c>
      <c r="Q15">
        <v>0.9</v>
      </c>
    </row>
    <row r="16" spans="1:17">
      <c r="B16">
        <v>150</v>
      </c>
      <c r="C16" t="s">
        <v>69</v>
      </c>
      <c r="D16">
        <v>169</v>
      </c>
      <c r="E16">
        <v>219</v>
      </c>
      <c r="F16">
        <v>18</v>
      </c>
      <c r="G16">
        <v>14</v>
      </c>
      <c r="H16">
        <v>9</v>
      </c>
      <c r="I16">
        <v>5</v>
      </c>
      <c r="J16">
        <v>40</v>
      </c>
      <c r="K16" t="s">
        <v>59</v>
      </c>
      <c r="L16">
        <v>5</v>
      </c>
      <c r="M16" t="s">
        <v>67</v>
      </c>
      <c r="N16" t="s">
        <v>59</v>
      </c>
      <c r="O16">
        <v>40</v>
      </c>
      <c r="P16">
        <v>10</v>
      </c>
      <c r="Q16">
        <v>1.05</v>
      </c>
    </row>
    <row r="17" spans="2:17">
      <c r="B17">
        <v>200</v>
      </c>
      <c r="C17" t="s">
        <v>70</v>
      </c>
      <c r="D17">
        <v>220</v>
      </c>
      <c r="E17">
        <v>270</v>
      </c>
      <c r="F17">
        <v>18</v>
      </c>
      <c r="G17">
        <v>14</v>
      </c>
      <c r="H17">
        <v>9</v>
      </c>
      <c r="I17">
        <v>5</v>
      </c>
      <c r="J17">
        <v>40</v>
      </c>
      <c r="K17" t="s">
        <v>59</v>
      </c>
      <c r="L17">
        <v>5</v>
      </c>
      <c r="M17" t="s">
        <v>67</v>
      </c>
      <c r="N17" t="s">
        <v>59</v>
      </c>
      <c r="O17">
        <v>40</v>
      </c>
      <c r="P17">
        <v>10</v>
      </c>
      <c r="Q17">
        <v>1.3</v>
      </c>
    </row>
    <row r="18" spans="2:17">
      <c r="B18">
        <v>250</v>
      </c>
      <c r="C18" t="s">
        <v>71</v>
      </c>
      <c r="D18">
        <v>273</v>
      </c>
      <c r="E18">
        <v>355</v>
      </c>
      <c r="F18">
        <v>24</v>
      </c>
      <c r="G18">
        <v>18</v>
      </c>
      <c r="H18">
        <v>11</v>
      </c>
      <c r="I18">
        <v>6</v>
      </c>
      <c r="J18">
        <v>50</v>
      </c>
      <c r="K18" t="s">
        <v>59</v>
      </c>
      <c r="L18">
        <v>6</v>
      </c>
      <c r="M18" t="s">
        <v>72</v>
      </c>
      <c r="N18" t="s">
        <v>59</v>
      </c>
      <c r="O18">
        <v>50</v>
      </c>
      <c r="P18">
        <v>30</v>
      </c>
      <c r="Q18">
        <v>2.44</v>
      </c>
    </row>
    <row r="19" spans="2:17">
      <c r="B19">
        <v>300</v>
      </c>
      <c r="C19" t="s">
        <v>73</v>
      </c>
      <c r="D19">
        <v>324</v>
      </c>
      <c r="E19">
        <v>387</v>
      </c>
      <c r="F19">
        <v>24</v>
      </c>
      <c r="G19">
        <v>18</v>
      </c>
      <c r="H19">
        <v>11</v>
      </c>
      <c r="I19">
        <v>6</v>
      </c>
      <c r="J19">
        <v>50</v>
      </c>
      <c r="K19" t="s">
        <v>59</v>
      </c>
      <c r="L19">
        <v>6</v>
      </c>
      <c r="M19" t="s">
        <v>72</v>
      </c>
      <c r="N19" t="s">
        <v>59</v>
      </c>
      <c r="O19">
        <v>50</v>
      </c>
      <c r="P19">
        <v>30</v>
      </c>
      <c r="Q19">
        <v>2.81</v>
      </c>
    </row>
    <row r="20" spans="2:17">
      <c r="B20">
        <v>350</v>
      </c>
      <c r="C20" t="s">
        <v>74</v>
      </c>
      <c r="D20">
        <v>356</v>
      </c>
      <c r="E20">
        <v>419</v>
      </c>
      <c r="F20">
        <v>24</v>
      </c>
      <c r="G20">
        <v>18</v>
      </c>
      <c r="H20">
        <v>11</v>
      </c>
      <c r="I20">
        <v>6</v>
      </c>
      <c r="J20">
        <v>50</v>
      </c>
      <c r="K20" t="s">
        <v>59</v>
      </c>
      <c r="L20">
        <v>6</v>
      </c>
      <c r="M20" t="s">
        <v>72</v>
      </c>
      <c r="N20" t="s">
        <v>59</v>
      </c>
      <c r="O20">
        <v>50</v>
      </c>
      <c r="P20">
        <v>30</v>
      </c>
      <c r="Q20">
        <v>3.05</v>
      </c>
    </row>
    <row r="21" spans="2:17">
      <c r="B21">
        <v>400</v>
      </c>
      <c r="C21" t="s">
        <v>75</v>
      </c>
      <c r="D21">
        <v>407</v>
      </c>
      <c r="E21">
        <v>470</v>
      </c>
      <c r="F21">
        <v>24</v>
      </c>
      <c r="G21">
        <v>18</v>
      </c>
      <c r="H21">
        <v>11</v>
      </c>
      <c r="I21">
        <v>6</v>
      </c>
      <c r="J21">
        <v>50</v>
      </c>
      <c r="K21" t="s">
        <v>59</v>
      </c>
      <c r="L21">
        <v>6</v>
      </c>
      <c r="M21" t="s">
        <v>72</v>
      </c>
      <c r="N21" t="s">
        <v>59</v>
      </c>
      <c r="O21">
        <v>50</v>
      </c>
      <c r="P21">
        <v>30</v>
      </c>
      <c r="Q21">
        <v>3.43</v>
      </c>
    </row>
    <row r="22" spans="2:17">
      <c r="B22">
        <v>450</v>
      </c>
      <c r="C22" t="s">
        <v>76</v>
      </c>
      <c r="D22">
        <v>458</v>
      </c>
      <c r="E22">
        <v>522</v>
      </c>
      <c r="F22">
        <v>24</v>
      </c>
      <c r="G22">
        <v>18</v>
      </c>
      <c r="H22">
        <v>11</v>
      </c>
      <c r="I22">
        <v>6</v>
      </c>
      <c r="J22">
        <v>50</v>
      </c>
      <c r="K22" t="s">
        <v>59</v>
      </c>
      <c r="L22">
        <v>6</v>
      </c>
      <c r="M22" t="s">
        <v>72</v>
      </c>
      <c r="N22" t="s">
        <v>59</v>
      </c>
      <c r="O22">
        <v>50</v>
      </c>
      <c r="P22">
        <v>30</v>
      </c>
      <c r="Q22">
        <v>4.18</v>
      </c>
    </row>
    <row r="23" spans="2:17">
      <c r="B23">
        <v>500</v>
      </c>
      <c r="C23" t="s">
        <v>77</v>
      </c>
      <c r="D23">
        <v>508</v>
      </c>
      <c r="E23">
        <v>572</v>
      </c>
      <c r="F23">
        <v>24</v>
      </c>
      <c r="G23">
        <v>18</v>
      </c>
      <c r="H23">
        <v>11</v>
      </c>
      <c r="I23">
        <v>6</v>
      </c>
      <c r="J23">
        <v>50</v>
      </c>
      <c r="K23" t="s">
        <v>59</v>
      </c>
      <c r="L23">
        <v>6</v>
      </c>
      <c r="M23" t="s">
        <v>72</v>
      </c>
      <c r="N23" t="s">
        <v>59</v>
      </c>
      <c r="O23">
        <v>50</v>
      </c>
      <c r="P23">
        <v>30</v>
      </c>
      <c r="Q23">
        <v>4.17</v>
      </c>
    </row>
    <row r="24" spans="2:17">
      <c r="B24">
        <v>600</v>
      </c>
      <c r="C24" t="s">
        <v>78</v>
      </c>
      <c r="D24">
        <v>610</v>
      </c>
      <c r="E24">
        <v>717</v>
      </c>
      <c r="F24">
        <v>36</v>
      </c>
      <c r="G24">
        <v>22</v>
      </c>
      <c r="H24">
        <v>18</v>
      </c>
      <c r="I24">
        <v>8</v>
      </c>
      <c r="J24">
        <v>60</v>
      </c>
      <c r="K24" t="s">
        <v>59</v>
      </c>
      <c r="L24">
        <v>8</v>
      </c>
      <c r="M24" t="s">
        <v>79</v>
      </c>
      <c r="N24" t="s">
        <v>59</v>
      </c>
      <c r="O24">
        <v>70</v>
      </c>
      <c r="P24">
        <v>100</v>
      </c>
      <c r="Q24">
        <v>9.6</v>
      </c>
    </row>
    <row r="25" spans="2:17">
      <c r="B25">
        <v>700</v>
      </c>
      <c r="C25" t="s">
        <v>80</v>
      </c>
      <c r="D25">
        <v>712</v>
      </c>
      <c r="E25">
        <v>812</v>
      </c>
      <c r="F25">
        <v>36</v>
      </c>
      <c r="G25">
        <v>22</v>
      </c>
      <c r="H25">
        <v>18</v>
      </c>
      <c r="I25">
        <v>8</v>
      </c>
      <c r="J25">
        <v>60</v>
      </c>
      <c r="K25" t="s">
        <v>59</v>
      </c>
      <c r="L25">
        <v>8</v>
      </c>
      <c r="M25" t="s">
        <v>79</v>
      </c>
      <c r="N25" t="s">
        <v>59</v>
      </c>
      <c r="O25">
        <v>70</v>
      </c>
      <c r="P25">
        <v>100</v>
      </c>
      <c r="Q25">
        <v>10.6</v>
      </c>
    </row>
    <row r="26" spans="2:17">
      <c r="B26">
        <v>800</v>
      </c>
      <c r="C26" t="s">
        <v>81</v>
      </c>
      <c r="D26">
        <v>813</v>
      </c>
      <c r="E26">
        <v>913</v>
      </c>
      <c r="F26">
        <v>36</v>
      </c>
      <c r="G26">
        <v>27</v>
      </c>
      <c r="H26">
        <v>18</v>
      </c>
      <c r="I26">
        <v>10</v>
      </c>
      <c r="J26">
        <v>70</v>
      </c>
      <c r="K26" t="s">
        <v>59</v>
      </c>
      <c r="L26">
        <v>10</v>
      </c>
      <c r="M26" t="s">
        <v>82</v>
      </c>
      <c r="N26" t="s">
        <v>59</v>
      </c>
      <c r="O26">
        <v>80</v>
      </c>
      <c r="P26">
        <v>190</v>
      </c>
      <c r="Q26">
        <v>15.51</v>
      </c>
    </row>
    <row r="27" spans="2:17">
      <c r="B27">
        <v>900</v>
      </c>
      <c r="C27" t="s">
        <v>83</v>
      </c>
      <c r="D27">
        <v>915</v>
      </c>
      <c r="E27">
        <v>1016</v>
      </c>
      <c r="F27">
        <v>36</v>
      </c>
      <c r="G27">
        <v>27</v>
      </c>
      <c r="H27">
        <v>18</v>
      </c>
      <c r="I27">
        <v>10</v>
      </c>
      <c r="J27">
        <v>70</v>
      </c>
      <c r="K27" t="s">
        <v>59</v>
      </c>
      <c r="L27">
        <v>10</v>
      </c>
      <c r="M27" t="s">
        <v>82</v>
      </c>
      <c r="N27" t="s">
        <v>59</v>
      </c>
      <c r="O27">
        <v>80</v>
      </c>
      <c r="P27">
        <v>190</v>
      </c>
      <c r="Q27">
        <v>18.27</v>
      </c>
    </row>
    <row r="28" spans="2:17">
      <c r="B28">
        <v>1000</v>
      </c>
      <c r="C28" t="s">
        <v>84</v>
      </c>
      <c r="D28">
        <v>1016</v>
      </c>
      <c r="E28">
        <v>1119</v>
      </c>
      <c r="F28">
        <v>36</v>
      </c>
      <c r="G28">
        <v>27</v>
      </c>
      <c r="H28">
        <v>18</v>
      </c>
      <c r="I28">
        <v>10</v>
      </c>
      <c r="J28">
        <v>70</v>
      </c>
      <c r="K28" t="s">
        <v>59</v>
      </c>
      <c r="L28">
        <v>10</v>
      </c>
      <c r="M28" t="s">
        <v>82</v>
      </c>
      <c r="N28" t="s">
        <v>59</v>
      </c>
      <c r="O28">
        <v>80</v>
      </c>
      <c r="P28">
        <v>190</v>
      </c>
      <c r="Q28">
        <v>19.91</v>
      </c>
    </row>
    <row r="29" spans="2:17">
      <c r="B29">
        <v>1200</v>
      </c>
      <c r="C29" t="s">
        <v>85</v>
      </c>
      <c r="D29">
        <v>1225</v>
      </c>
      <c r="E29">
        <v>1330</v>
      </c>
      <c r="F29">
        <v>36</v>
      </c>
      <c r="G29">
        <v>27</v>
      </c>
      <c r="H29">
        <v>18</v>
      </c>
      <c r="I29">
        <v>10</v>
      </c>
      <c r="J29">
        <v>70</v>
      </c>
      <c r="K29" t="s">
        <v>59</v>
      </c>
      <c r="L29">
        <v>10</v>
      </c>
      <c r="M29" t="s">
        <v>82</v>
      </c>
      <c r="N29" t="s">
        <v>59</v>
      </c>
      <c r="O29">
        <v>80</v>
      </c>
      <c r="P29">
        <v>190</v>
      </c>
      <c r="Q29">
        <v>22.94</v>
      </c>
    </row>
    <row r="32" spans="2:17">
      <c r="B32" t="s">
        <v>102</v>
      </c>
    </row>
    <row r="33" spans="2:17">
      <c r="B33" s="56" t="s">
        <v>89</v>
      </c>
      <c r="C33" s="57" t="s">
        <v>90</v>
      </c>
      <c r="D33" s="57" t="s">
        <v>91</v>
      </c>
      <c r="E33" s="57" t="s">
        <v>92</v>
      </c>
      <c r="F33" s="57" t="s">
        <v>34</v>
      </c>
      <c r="G33" s="57" t="s">
        <v>93</v>
      </c>
      <c r="H33" s="57" t="s">
        <v>94</v>
      </c>
      <c r="I33" s="57" t="s">
        <v>95</v>
      </c>
      <c r="J33" s="57" t="s">
        <v>96</v>
      </c>
      <c r="K33" s="57" t="s">
        <v>59</v>
      </c>
      <c r="L33" s="57" t="s">
        <v>232</v>
      </c>
      <c r="M33" s="57" t="s">
        <v>97</v>
      </c>
      <c r="N33" s="57" t="s">
        <v>107</v>
      </c>
      <c r="O33" s="57" t="s">
        <v>98</v>
      </c>
      <c r="P33" s="58" t="s">
        <v>99</v>
      </c>
      <c r="Q33" s="57" t="s">
        <v>775</v>
      </c>
    </row>
    <row r="34" spans="2:17">
      <c r="B34">
        <v>15</v>
      </c>
      <c r="C34" s="13" t="s">
        <v>58</v>
      </c>
      <c r="D34">
        <v>22</v>
      </c>
      <c r="E34">
        <v>66</v>
      </c>
      <c r="F34">
        <v>15</v>
      </c>
      <c r="G34">
        <v>11.5</v>
      </c>
      <c r="H34">
        <v>7</v>
      </c>
      <c r="I34">
        <v>4</v>
      </c>
      <c r="J34">
        <v>30</v>
      </c>
      <c r="K34" t="s">
        <v>59</v>
      </c>
      <c r="L34">
        <v>5</v>
      </c>
      <c r="M34" t="s">
        <v>64</v>
      </c>
      <c r="N34" t="s">
        <v>59</v>
      </c>
      <c r="O34">
        <v>35</v>
      </c>
      <c r="P34">
        <v>8</v>
      </c>
      <c r="Q34">
        <v>0.09</v>
      </c>
    </row>
    <row r="35" spans="2:17">
      <c r="B35">
        <v>20</v>
      </c>
      <c r="C35" s="13" t="s">
        <v>61</v>
      </c>
      <c r="D35">
        <v>27</v>
      </c>
      <c r="E35">
        <v>66</v>
      </c>
      <c r="F35">
        <v>15</v>
      </c>
      <c r="G35">
        <v>11.5</v>
      </c>
      <c r="H35">
        <v>7</v>
      </c>
      <c r="I35">
        <v>4</v>
      </c>
      <c r="J35">
        <v>30</v>
      </c>
      <c r="K35" t="s">
        <v>59</v>
      </c>
      <c r="L35">
        <v>5</v>
      </c>
      <c r="M35" t="s">
        <v>64</v>
      </c>
      <c r="N35" t="s">
        <v>59</v>
      </c>
      <c r="O35">
        <v>35</v>
      </c>
      <c r="P35">
        <v>8</v>
      </c>
      <c r="Q35">
        <v>0.2</v>
      </c>
    </row>
    <row r="36" spans="2:17">
      <c r="B36">
        <v>25</v>
      </c>
      <c r="C36" s="13" t="s">
        <v>62</v>
      </c>
      <c r="D36">
        <v>34</v>
      </c>
      <c r="E36">
        <v>72</v>
      </c>
      <c r="F36">
        <v>15</v>
      </c>
      <c r="G36">
        <v>11.5</v>
      </c>
      <c r="H36">
        <v>7</v>
      </c>
      <c r="I36">
        <v>4</v>
      </c>
      <c r="J36">
        <v>30</v>
      </c>
      <c r="K36" t="s">
        <v>59</v>
      </c>
      <c r="L36">
        <v>5</v>
      </c>
      <c r="M36" t="s">
        <v>64</v>
      </c>
      <c r="N36" t="s">
        <v>59</v>
      </c>
      <c r="O36">
        <v>35</v>
      </c>
      <c r="P36">
        <v>8</v>
      </c>
      <c r="Q36">
        <v>0.21</v>
      </c>
    </row>
    <row r="37" spans="2:17">
      <c r="B37">
        <v>32</v>
      </c>
      <c r="C37" s="13" t="s">
        <v>86</v>
      </c>
      <c r="D37">
        <v>43</v>
      </c>
      <c r="E37">
        <v>82</v>
      </c>
      <c r="F37">
        <v>15</v>
      </c>
      <c r="G37">
        <v>11.5</v>
      </c>
      <c r="H37">
        <v>7</v>
      </c>
      <c r="I37">
        <v>4</v>
      </c>
      <c r="J37">
        <v>30</v>
      </c>
      <c r="K37" t="s">
        <v>59</v>
      </c>
      <c r="L37">
        <v>5</v>
      </c>
      <c r="M37" t="s">
        <v>64</v>
      </c>
      <c r="N37" t="s">
        <v>59</v>
      </c>
      <c r="O37">
        <v>35</v>
      </c>
      <c r="P37">
        <v>8</v>
      </c>
      <c r="Q37">
        <v>0.23</v>
      </c>
    </row>
    <row r="38" spans="2:17">
      <c r="B38">
        <v>40</v>
      </c>
      <c r="C38" s="13" t="s">
        <v>87</v>
      </c>
      <c r="D38">
        <v>49</v>
      </c>
      <c r="E38">
        <v>88</v>
      </c>
      <c r="F38">
        <v>15</v>
      </c>
      <c r="G38">
        <v>11.5</v>
      </c>
      <c r="H38">
        <v>7</v>
      </c>
      <c r="I38">
        <v>4</v>
      </c>
      <c r="J38">
        <v>30</v>
      </c>
      <c r="K38" t="s">
        <v>59</v>
      </c>
      <c r="L38">
        <v>5</v>
      </c>
      <c r="M38" t="s">
        <v>64</v>
      </c>
      <c r="N38" t="s">
        <v>59</v>
      </c>
      <c r="O38">
        <v>35</v>
      </c>
      <c r="P38">
        <v>8</v>
      </c>
      <c r="Q38">
        <v>0.255</v>
      </c>
    </row>
    <row r="39" spans="2:17">
      <c r="B39">
        <v>50</v>
      </c>
      <c r="C39" s="13" t="s">
        <v>63</v>
      </c>
      <c r="D39">
        <v>61</v>
      </c>
      <c r="E39">
        <v>108</v>
      </c>
      <c r="F39">
        <v>18</v>
      </c>
      <c r="G39">
        <v>14</v>
      </c>
      <c r="H39">
        <v>9</v>
      </c>
      <c r="I39">
        <v>6</v>
      </c>
      <c r="J39">
        <v>40</v>
      </c>
      <c r="K39" t="s">
        <v>59</v>
      </c>
      <c r="L39">
        <v>6</v>
      </c>
      <c r="M39" t="s">
        <v>67</v>
      </c>
      <c r="N39" t="s">
        <v>59</v>
      </c>
      <c r="O39">
        <v>45</v>
      </c>
      <c r="P39">
        <v>10</v>
      </c>
      <c r="Q39">
        <v>0.51</v>
      </c>
    </row>
    <row r="40" spans="2:17">
      <c r="B40">
        <v>65</v>
      </c>
      <c r="C40" s="13" t="s">
        <v>88</v>
      </c>
      <c r="D40">
        <v>77</v>
      </c>
      <c r="E40">
        <v>122</v>
      </c>
      <c r="F40">
        <v>18</v>
      </c>
      <c r="G40">
        <v>14</v>
      </c>
      <c r="H40">
        <v>9</v>
      </c>
      <c r="I40">
        <v>6</v>
      </c>
      <c r="J40">
        <v>40</v>
      </c>
      <c r="K40" t="s">
        <v>59</v>
      </c>
      <c r="L40">
        <v>6</v>
      </c>
      <c r="M40" t="s">
        <v>67</v>
      </c>
      <c r="N40" t="s">
        <v>59</v>
      </c>
      <c r="O40">
        <v>45</v>
      </c>
      <c r="P40">
        <v>10</v>
      </c>
      <c r="Q40">
        <v>0.57999999999999996</v>
      </c>
    </row>
    <row r="41" spans="2:17">
      <c r="B41">
        <v>80</v>
      </c>
      <c r="C41" s="13" t="s">
        <v>65</v>
      </c>
      <c r="D41">
        <v>89</v>
      </c>
      <c r="E41">
        <v>136</v>
      </c>
      <c r="F41">
        <v>18</v>
      </c>
      <c r="G41">
        <v>14</v>
      </c>
      <c r="H41">
        <v>9</v>
      </c>
      <c r="I41">
        <v>6</v>
      </c>
      <c r="J41">
        <v>40</v>
      </c>
      <c r="K41" t="s">
        <v>59</v>
      </c>
      <c r="L41">
        <v>6</v>
      </c>
      <c r="M41" t="s">
        <v>67</v>
      </c>
      <c r="N41" t="s">
        <v>59</v>
      </c>
      <c r="O41">
        <v>45</v>
      </c>
      <c r="P41">
        <v>10</v>
      </c>
      <c r="Q41">
        <v>0.65</v>
      </c>
    </row>
    <row r="42" spans="2:17">
      <c r="B42">
        <v>100</v>
      </c>
      <c r="C42" s="13" t="s">
        <v>66</v>
      </c>
      <c r="D42">
        <v>115</v>
      </c>
      <c r="E42">
        <v>178</v>
      </c>
      <c r="F42">
        <v>24</v>
      </c>
      <c r="G42">
        <v>18</v>
      </c>
      <c r="H42">
        <v>11</v>
      </c>
      <c r="I42">
        <v>6</v>
      </c>
      <c r="J42">
        <v>50</v>
      </c>
      <c r="K42" t="s">
        <v>59</v>
      </c>
      <c r="L42">
        <v>8</v>
      </c>
      <c r="M42" t="s">
        <v>72</v>
      </c>
      <c r="N42" t="s">
        <v>59</v>
      </c>
      <c r="O42">
        <v>55</v>
      </c>
      <c r="P42">
        <v>30</v>
      </c>
      <c r="Q42">
        <v>1.06</v>
      </c>
    </row>
    <row r="43" spans="2:17">
      <c r="B43">
        <v>125</v>
      </c>
      <c r="C43" s="13" t="s">
        <v>68</v>
      </c>
      <c r="D43">
        <v>140</v>
      </c>
      <c r="E43">
        <v>204</v>
      </c>
      <c r="F43">
        <v>24</v>
      </c>
      <c r="G43">
        <v>18</v>
      </c>
      <c r="H43">
        <v>11</v>
      </c>
      <c r="I43">
        <v>6</v>
      </c>
      <c r="J43">
        <v>50</v>
      </c>
      <c r="K43" t="s">
        <v>59</v>
      </c>
      <c r="L43">
        <v>8</v>
      </c>
      <c r="M43" t="s">
        <v>72</v>
      </c>
      <c r="N43" t="s">
        <v>59</v>
      </c>
      <c r="O43">
        <v>55</v>
      </c>
      <c r="P43">
        <v>30</v>
      </c>
      <c r="Q43">
        <v>1.2</v>
      </c>
    </row>
    <row r="44" spans="2:17">
      <c r="B44">
        <v>150</v>
      </c>
      <c r="C44" s="13" t="s">
        <v>69</v>
      </c>
      <c r="D44">
        <v>169</v>
      </c>
      <c r="E44">
        <v>232</v>
      </c>
      <c r="F44">
        <v>24</v>
      </c>
      <c r="G44">
        <v>18</v>
      </c>
      <c r="H44">
        <v>11</v>
      </c>
      <c r="I44">
        <v>6</v>
      </c>
      <c r="J44">
        <v>50</v>
      </c>
      <c r="K44" t="s">
        <v>59</v>
      </c>
      <c r="L44">
        <v>8</v>
      </c>
      <c r="M44" t="s">
        <v>72</v>
      </c>
      <c r="N44" t="s">
        <v>59</v>
      </c>
      <c r="O44">
        <v>55</v>
      </c>
      <c r="P44">
        <v>30</v>
      </c>
      <c r="Q44">
        <v>1.64</v>
      </c>
    </row>
    <row r="45" spans="2:17">
      <c r="B45">
        <v>200</v>
      </c>
      <c r="C45" s="13" t="s">
        <v>70</v>
      </c>
      <c r="D45">
        <v>220</v>
      </c>
      <c r="E45">
        <v>284</v>
      </c>
      <c r="F45">
        <v>24</v>
      </c>
      <c r="G45">
        <v>18</v>
      </c>
      <c r="H45">
        <v>11</v>
      </c>
      <c r="I45">
        <v>6</v>
      </c>
      <c r="J45">
        <v>50</v>
      </c>
      <c r="K45" t="s">
        <v>59</v>
      </c>
      <c r="L45">
        <v>8</v>
      </c>
      <c r="M45" t="s">
        <v>72</v>
      </c>
      <c r="N45" t="s">
        <v>59</v>
      </c>
      <c r="O45">
        <v>55</v>
      </c>
      <c r="P45">
        <v>30</v>
      </c>
      <c r="Q45">
        <v>2.02</v>
      </c>
    </row>
    <row r="46" spans="2:17">
      <c r="B46">
        <v>250</v>
      </c>
      <c r="C46" s="13" t="s">
        <v>71</v>
      </c>
      <c r="D46">
        <v>273</v>
      </c>
      <c r="E46">
        <v>348</v>
      </c>
      <c r="F46">
        <v>30</v>
      </c>
      <c r="G46">
        <v>23</v>
      </c>
      <c r="H46">
        <v>14</v>
      </c>
      <c r="I46">
        <v>8</v>
      </c>
      <c r="J46">
        <v>60</v>
      </c>
      <c r="K46" t="s">
        <v>59</v>
      </c>
      <c r="L46">
        <v>8</v>
      </c>
      <c r="M46" t="s">
        <v>79</v>
      </c>
      <c r="N46" t="s">
        <v>59</v>
      </c>
      <c r="O46">
        <v>60</v>
      </c>
      <c r="P46">
        <v>100</v>
      </c>
      <c r="Q46">
        <v>2.99</v>
      </c>
    </row>
    <row r="47" spans="2:17">
      <c r="B47">
        <v>300</v>
      </c>
      <c r="C47" s="13" t="s">
        <v>73</v>
      </c>
      <c r="D47">
        <v>324</v>
      </c>
      <c r="E47">
        <v>398</v>
      </c>
      <c r="F47">
        <v>30</v>
      </c>
      <c r="G47">
        <v>23</v>
      </c>
      <c r="H47">
        <v>14</v>
      </c>
      <c r="I47">
        <v>8</v>
      </c>
      <c r="J47">
        <v>60</v>
      </c>
      <c r="K47" t="s">
        <v>59</v>
      </c>
      <c r="L47">
        <v>8</v>
      </c>
      <c r="M47" t="s">
        <v>79</v>
      </c>
      <c r="N47" t="s">
        <v>59</v>
      </c>
      <c r="O47">
        <v>60</v>
      </c>
      <c r="P47">
        <v>100</v>
      </c>
      <c r="Q47">
        <v>3.41</v>
      </c>
    </row>
    <row r="48" spans="2:17">
      <c r="B48">
        <v>350</v>
      </c>
      <c r="C48" s="13" t="s">
        <v>74</v>
      </c>
      <c r="D48">
        <v>356</v>
      </c>
      <c r="E48">
        <v>432</v>
      </c>
      <c r="F48">
        <v>30</v>
      </c>
      <c r="G48">
        <v>23</v>
      </c>
      <c r="H48">
        <v>14</v>
      </c>
      <c r="I48">
        <v>8</v>
      </c>
      <c r="J48">
        <v>60</v>
      </c>
      <c r="K48" t="s">
        <v>59</v>
      </c>
      <c r="L48">
        <v>8</v>
      </c>
      <c r="M48" t="s">
        <v>79</v>
      </c>
      <c r="N48" t="s">
        <v>59</v>
      </c>
      <c r="O48">
        <v>60</v>
      </c>
      <c r="P48">
        <v>100</v>
      </c>
      <c r="Q48">
        <v>3.81</v>
      </c>
    </row>
    <row r="49" spans="2:17">
      <c r="B49">
        <v>400</v>
      </c>
      <c r="C49" s="13" t="s">
        <v>75</v>
      </c>
      <c r="D49">
        <v>407</v>
      </c>
      <c r="E49">
        <v>498</v>
      </c>
      <c r="F49">
        <v>36</v>
      </c>
      <c r="G49">
        <v>27</v>
      </c>
      <c r="H49">
        <v>18</v>
      </c>
      <c r="I49">
        <v>8</v>
      </c>
      <c r="J49">
        <v>70</v>
      </c>
      <c r="K49" t="s">
        <v>59</v>
      </c>
      <c r="L49">
        <v>10</v>
      </c>
      <c r="M49" t="s">
        <v>82</v>
      </c>
      <c r="N49" t="s">
        <v>59</v>
      </c>
      <c r="O49">
        <v>80</v>
      </c>
      <c r="P49">
        <v>190</v>
      </c>
      <c r="Q49">
        <v>6.86</v>
      </c>
    </row>
    <row r="50" spans="2:17">
      <c r="B50">
        <v>450</v>
      </c>
      <c r="C50" s="13" t="s">
        <v>76</v>
      </c>
      <c r="D50">
        <v>458</v>
      </c>
      <c r="E50">
        <v>550</v>
      </c>
      <c r="F50">
        <v>36</v>
      </c>
      <c r="G50">
        <v>27</v>
      </c>
      <c r="H50">
        <v>18</v>
      </c>
      <c r="I50">
        <v>8</v>
      </c>
      <c r="J50">
        <v>70</v>
      </c>
      <c r="K50" t="s">
        <v>59</v>
      </c>
      <c r="L50">
        <v>10</v>
      </c>
      <c r="M50" t="s">
        <v>82</v>
      </c>
      <c r="N50" t="s">
        <v>59</v>
      </c>
      <c r="O50">
        <v>80</v>
      </c>
      <c r="P50">
        <v>190</v>
      </c>
      <c r="Q50">
        <v>8.68</v>
      </c>
    </row>
    <row r="51" spans="2:17">
      <c r="B51">
        <v>500</v>
      </c>
      <c r="C51" s="13" t="s">
        <v>77</v>
      </c>
      <c r="D51">
        <v>508</v>
      </c>
      <c r="E51">
        <v>600</v>
      </c>
      <c r="F51">
        <v>36</v>
      </c>
      <c r="G51">
        <v>27</v>
      </c>
      <c r="H51">
        <v>18</v>
      </c>
      <c r="I51">
        <v>10</v>
      </c>
      <c r="J51">
        <v>70</v>
      </c>
      <c r="K51" t="s">
        <v>59</v>
      </c>
      <c r="L51">
        <v>10</v>
      </c>
      <c r="M51" t="s">
        <v>82</v>
      </c>
      <c r="N51" t="s">
        <v>59</v>
      </c>
      <c r="O51">
        <v>80</v>
      </c>
      <c r="P51">
        <v>190</v>
      </c>
      <c r="Q51">
        <v>8.1999999999999993</v>
      </c>
    </row>
    <row r="52" spans="2:17">
      <c r="B52">
        <v>600</v>
      </c>
      <c r="C52" s="13" t="s">
        <v>78</v>
      </c>
      <c r="D52">
        <v>610</v>
      </c>
      <c r="E52">
        <v>705</v>
      </c>
      <c r="F52">
        <v>36</v>
      </c>
      <c r="G52">
        <v>27</v>
      </c>
      <c r="H52">
        <v>18</v>
      </c>
      <c r="I52">
        <v>10</v>
      </c>
      <c r="J52">
        <v>70</v>
      </c>
      <c r="K52" t="s">
        <v>59</v>
      </c>
      <c r="L52">
        <v>10</v>
      </c>
      <c r="M52" t="s">
        <v>82</v>
      </c>
      <c r="N52" t="s">
        <v>59</v>
      </c>
      <c r="O52">
        <v>80</v>
      </c>
      <c r="P52">
        <v>190</v>
      </c>
      <c r="Q52">
        <v>12</v>
      </c>
    </row>
    <row r="53" spans="2:17">
      <c r="B53">
        <v>700</v>
      </c>
      <c r="C53" s="13" t="s">
        <v>80</v>
      </c>
      <c r="D53">
        <v>712</v>
      </c>
      <c r="E53">
        <v>834</v>
      </c>
      <c r="F53">
        <v>36</v>
      </c>
      <c r="G53">
        <v>27</v>
      </c>
      <c r="H53">
        <v>18</v>
      </c>
      <c r="I53">
        <v>10</v>
      </c>
      <c r="J53">
        <v>70</v>
      </c>
      <c r="K53" t="s">
        <v>59</v>
      </c>
      <c r="L53">
        <v>10</v>
      </c>
      <c r="M53" t="s">
        <v>82</v>
      </c>
      <c r="N53" t="s">
        <v>59</v>
      </c>
      <c r="O53">
        <v>80</v>
      </c>
      <c r="P53">
        <v>190</v>
      </c>
      <c r="Q53">
        <v>15</v>
      </c>
    </row>
    <row r="54" spans="2:17">
      <c r="B54">
        <v>800</v>
      </c>
      <c r="C54" s="13" t="s">
        <v>81</v>
      </c>
      <c r="D54">
        <v>814</v>
      </c>
      <c r="E54">
        <v>936</v>
      </c>
      <c r="F54">
        <v>36</v>
      </c>
      <c r="G54">
        <v>27</v>
      </c>
      <c r="H54">
        <v>18</v>
      </c>
      <c r="I54">
        <v>10</v>
      </c>
      <c r="J54">
        <v>80</v>
      </c>
      <c r="K54" t="s">
        <v>59</v>
      </c>
      <c r="L54">
        <v>10</v>
      </c>
      <c r="M54" t="s">
        <v>82</v>
      </c>
      <c r="N54" t="s">
        <v>59</v>
      </c>
      <c r="O54">
        <v>80</v>
      </c>
      <c r="P54">
        <v>190</v>
      </c>
      <c r="Q54">
        <v>20</v>
      </c>
    </row>
    <row r="55" spans="2:17">
      <c r="B55">
        <v>900</v>
      </c>
      <c r="C55" s="13" t="s">
        <v>83</v>
      </c>
      <c r="D55">
        <v>916</v>
      </c>
      <c r="E55">
        <v>1036</v>
      </c>
      <c r="F55">
        <v>42</v>
      </c>
      <c r="G55">
        <v>33</v>
      </c>
      <c r="H55">
        <v>18</v>
      </c>
      <c r="I55">
        <v>10</v>
      </c>
      <c r="J55">
        <v>90</v>
      </c>
      <c r="K55" t="s">
        <v>59</v>
      </c>
      <c r="L55">
        <v>10</v>
      </c>
      <c r="M55" t="s">
        <v>100</v>
      </c>
      <c r="N55" t="s">
        <v>59</v>
      </c>
      <c r="O55">
        <v>80</v>
      </c>
      <c r="P55">
        <v>500</v>
      </c>
      <c r="Q55">
        <v>25</v>
      </c>
    </row>
    <row r="56" spans="2:17">
      <c r="B56">
        <v>1000</v>
      </c>
      <c r="C56" s="13" t="s">
        <v>84</v>
      </c>
      <c r="D56">
        <v>1018</v>
      </c>
      <c r="E56">
        <v>1138</v>
      </c>
      <c r="F56">
        <v>42</v>
      </c>
      <c r="G56">
        <v>33</v>
      </c>
      <c r="H56">
        <v>18</v>
      </c>
      <c r="I56">
        <v>10</v>
      </c>
      <c r="J56">
        <v>90</v>
      </c>
      <c r="K56" t="s">
        <v>59</v>
      </c>
      <c r="L56">
        <v>10</v>
      </c>
      <c r="M56" t="s">
        <v>100</v>
      </c>
      <c r="N56" t="s">
        <v>59</v>
      </c>
      <c r="O56">
        <v>80</v>
      </c>
      <c r="P56">
        <v>500</v>
      </c>
      <c r="Q56">
        <v>29.5</v>
      </c>
    </row>
    <row r="57" spans="2:17">
      <c r="B57">
        <v>1200</v>
      </c>
      <c r="C57" s="13" t="s">
        <v>85</v>
      </c>
      <c r="D57">
        <v>1220</v>
      </c>
      <c r="E57">
        <v>1340</v>
      </c>
      <c r="F57">
        <v>42</v>
      </c>
      <c r="G57">
        <v>33</v>
      </c>
      <c r="H57">
        <v>22</v>
      </c>
      <c r="I57">
        <v>12</v>
      </c>
      <c r="J57">
        <v>100</v>
      </c>
      <c r="K57" t="s">
        <v>59</v>
      </c>
      <c r="L57">
        <v>12</v>
      </c>
      <c r="M57" t="s">
        <v>100</v>
      </c>
      <c r="N57" t="s">
        <v>59</v>
      </c>
      <c r="O57">
        <v>90</v>
      </c>
      <c r="P57">
        <v>500</v>
      </c>
      <c r="Q57">
        <v>44</v>
      </c>
    </row>
    <row r="60" spans="2:17">
      <c r="B60" t="s">
        <v>375</v>
      </c>
    </row>
    <row r="61" spans="2:17">
      <c r="B61" t="s">
        <v>89</v>
      </c>
      <c r="C61" t="s">
        <v>90</v>
      </c>
      <c r="D61" t="s">
        <v>91</v>
      </c>
      <c r="E61" t="s">
        <v>92</v>
      </c>
      <c r="F61" t="s">
        <v>34</v>
      </c>
      <c r="G61" t="s">
        <v>93</v>
      </c>
      <c r="H61" t="s">
        <v>94</v>
      </c>
      <c r="I61" t="s">
        <v>95</v>
      </c>
      <c r="J61" t="s">
        <v>96</v>
      </c>
      <c r="K61" t="s">
        <v>59</v>
      </c>
      <c r="L61" t="s">
        <v>232</v>
      </c>
      <c r="M61" t="s">
        <v>97</v>
      </c>
      <c r="N61" t="s">
        <v>107</v>
      </c>
      <c r="O61" t="s">
        <v>98</v>
      </c>
      <c r="P61" t="s">
        <v>99</v>
      </c>
      <c r="Q61" t="s">
        <v>775</v>
      </c>
    </row>
    <row r="62" spans="2:17">
      <c r="B62">
        <f t="shared" ref="B62:Q62" si="0">IF($F$1="leicht",B6,IF($F$1="schwer",B34))</f>
        <v>15</v>
      </c>
      <c r="C62" t="str">
        <f t="shared" si="0"/>
        <v>1/2”</v>
      </c>
      <c r="D62">
        <f t="shared" si="0"/>
        <v>22</v>
      </c>
      <c r="E62">
        <f t="shared" si="0"/>
        <v>66</v>
      </c>
      <c r="F62">
        <f t="shared" si="0"/>
        <v>15</v>
      </c>
      <c r="G62">
        <f t="shared" si="0"/>
        <v>11.5</v>
      </c>
      <c r="H62">
        <f t="shared" si="0"/>
        <v>7</v>
      </c>
      <c r="I62">
        <f t="shared" si="0"/>
        <v>4</v>
      </c>
      <c r="J62">
        <f t="shared" si="0"/>
        <v>30</v>
      </c>
      <c r="K62" t="str">
        <f t="shared" si="0"/>
        <v>x</v>
      </c>
      <c r="L62">
        <f t="shared" si="0"/>
        <v>5</v>
      </c>
      <c r="M62" t="str">
        <f t="shared" si="0"/>
        <v>M10</v>
      </c>
      <c r="N62" t="str">
        <f t="shared" si="0"/>
        <v>x</v>
      </c>
      <c r="O62">
        <f t="shared" si="0"/>
        <v>35</v>
      </c>
      <c r="P62">
        <f t="shared" si="0"/>
        <v>8</v>
      </c>
      <c r="Q62">
        <f t="shared" si="0"/>
        <v>0.09</v>
      </c>
    </row>
    <row r="63" spans="2:17">
      <c r="B63">
        <f t="shared" ref="B63:Q63" si="1">IF($F$1="leicht",B7,IF($F$1="schwer",B35))</f>
        <v>20</v>
      </c>
      <c r="C63" t="str">
        <f t="shared" si="1"/>
        <v>3/4”</v>
      </c>
      <c r="D63">
        <f t="shared" si="1"/>
        <v>27</v>
      </c>
      <c r="E63">
        <f t="shared" si="1"/>
        <v>66</v>
      </c>
      <c r="F63">
        <f t="shared" si="1"/>
        <v>15</v>
      </c>
      <c r="G63">
        <f t="shared" si="1"/>
        <v>11.5</v>
      </c>
      <c r="H63">
        <f t="shared" si="1"/>
        <v>7</v>
      </c>
      <c r="I63">
        <f t="shared" si="1"/>
        <v>4</v>
      </c>
      <c r="J63">
        <f t="shared" si="1"/>
        <v>30</v>
      </c>
      <c r="K63" t="str">
        <f t="shared" si="1"/>
        <v>x</v>
      </c>
      <c r="L63">
        <f t="shared" si="1"/>
        <v>5</v>
      </c>
      <c r="M63" t="str">
        <f t="shared" si="1"/>
        <v>M10</v>
      </c>
      <c r="N63" t="str">
        <f t="shared" si="1"/>
        <v>x</v>
      </c>
      <c r="O63">
        <f t="shared" si="1"/>
        <v>35</v>
      </c>
      <c r="P63">
        <f t="shared" si="1"/>
        <v>8</v>
      </c>
      <c r="Q63">
        <f t="shared" si="1"/>
        <v>0.2</v>
      </c>
    </row>
    <row r="64" spans="2:17">
      <c r="B64">
        <f t="shared" ref="B64:Q64" si="2">IF($F$1="leicht",B8,IF($F$1="schwer",B36))</f>
        <v>25</v>
      </c>
      <c r="C64" t="str">
        <f t="shared" si="2"/>
        <v>1”</v>
      </c>
      <c r="D64">
        <f t="shared" si="2"/>
        <v>34</v>
      </c>
      <c r="E64">
        <f t="shared" si="2"/>
        <v>72</v>
      </c>
      <c r="F64">
        <f t="shared" si="2"/>
        <v>15</v>
      </c>
      <c r="G64">
        <f t="shared" si="2"/>
        <v>11.5</v>
      </c>
      <c r="H64">
        <f t="shared" si="2"/>
        <v>7</v>
      </c>
      <c r="I64">
        <f t="shared" si="2"/>
        <v>4</v>
      </c>
      <c r="J64">
        <f t="shared" si="2"/>
        <v>30</v>
      </c>
      <c r="K64" t="str">
        <f t="shared" si="2"/>
        <v>x</v>
      </c>
      <c r="L64">
        <f t="shared" si="2"/>
        <v>5</v>
      </c>
      <c r="M64" t="str">
        <f t="shared" si="2"/>
        <v>M10</v>
      </c>
      <c r="N64" t="str">
        <f t="shared" si="2"/>
        <v>x</v>
      </c>
      <c r="O64">
        <f t="shared" si="2"/>
        <v>35</v>
      </c>
      <c r="P64">
        <f t="shared" si="2"/>
        <v>8</v>
      </c>
      <c r="Q64">
        <f t="shared" si="2"/>
        <v>0.21</v>
      </c>
    </row>
    <row r="65" spans="2:17">
      <c r="B65">
        <f t="shared" ref="B65:Q65" si="3">IF($F$1="leicht",B9,IF($F$1="schwer",B37))</f>
        <v>32</v>
      </c>
      <c r="C65" t="str">
        <f t="shared" si="3"/>
        <v>1¼”</v>
      </c>
      <c r="D65">
        <f t="shared" si="3"/>
        <v>43</v>
      </c>
      <c r="E65">
        <f t="shared" si="3"/>
        <v>82</v>
      </c>
      <c r="F65">
        <f t="shared" si="3"/>
        <v>15</v>
      </c>
      <c r="G65">
        <f t="shared" si="3"/>
        <v>11.5</v>
      </c>
      <c r="H65">
        <f t="shared" si="3"/>
        <v>7</v>
      </c>
      <c r="I65">
        <f t="shared" si="3"/>
        <v>4</v>
      </c>
      <c r="J65">
        <f t="shared" si="3"/>
        <v>30</v>
      </c>
      <c r="K65" t="str">
        <f t="shared" si="3"/>
        <v>x</v>
      </c>
      <c r="L65">
        <f t="shared" si="3"/>
        <v>5</v>
      </c>
      <c r="M65" t="str">
        <f t="shared" si="3"/>
        <v>M10</v>
      </c>
      <c r="N65" t="str">
        <f t="shared" si="3"/>
        <v>x</v>
      </c>
      <c r="O65">
        <f t="shared" si="3"/>
        <v>35</v>
      </c>
      <c r="P65">
        <f t="shared" si="3"/>
        <v>8</v>
      </c>
      <c r="Q65">
        <f t="shared" si="3"/>
        <v>0.23</v>
      </c>
    </row>
    <row r="66" spans="2:17">
      <c r="B66">
        <f t="shared" ref="B66:Q66" si="4">IF($F$1="leicht",B10,IF($F$1="schwer",B38))</f>
        <v>40</v>
      </c>
      <c r="C66" t="str">
        <f t="shared" si="4"/>
        <v>1½”</v>
      </c>
      <c r="D66">
        <f t="shared" si="4"/>
        <v>49</v>
      </c>
      <c r="E66">
        <f t="shared" si="4"/>
        <v>88</v>
      </c>
      <c r="F66">
        <f t="shared" si="4"/>
        <v>15</v>
      </c>
      <c r="G66">
        <f t="shared" si="4"/>
        <v>11.5</v>
      </c>
      <c r="H66">
        <f t="shared" si="4"/>
        <v>7</v>
      </c>
      <c r="I66">
        <f t="shared" si="4"/>
        <v>4</v>
      </c>
      <c r="J66">
        <f t="shared" si="4"/>
        <v>30</v>
      </c>
      <c r="K66" t="str">
        <f t="shared" si="4"/>
        <v>x</v>
      </c>
      <c r="L66">
        <f t="shared" si="4"/>
        <v>5</v>
      </c>
      <c r="M66" t="str">
        <f t="shared" si="4"/>
        <v>M10</v>
      </c>
      <c r="N66" t="str">
        <f t="shared" si="4"/>
        <v>x</v>
      </c>
      <c r="O66">
        <f t="shared" si="4"/>
        <v>35</v>
      </c>
      <c r="P66">
        <f t="shared" si="4"/>
        <v>8</v>
      </c>
      <c r="Q66">
        <f t="shared" si="4"/>
        <v>0.255</v>
      </c>
    </row>
    <row r="67" spans="2:17">
      <c r="B67">
        <f t="shared" ref="B67:Q67" si="5">IF($F$1="leicht",B11,IF($F$1="schwer",B39))</f>
        <v>50</v>
      </c>
      <c r="C67" t="str">
        <f t="shared" si="5"/>
        <v>2”</v>
      </c>
      <c r="D67">
        <f t="shared" si="5"/>
        <v>61</v>
      </c>
      <c r="E67">
        <f t="shared" si="5"/>
        <v>108</v>
      </c>
      <c r="F67">
        <f t="shared" si="5"/>
        <v>18</v>
      </c>
      <c r="G67">
        <f t="shared" si="5"/>
        <v>14</v>
      </c>
      <c r="H67">
        <f t="shared" si="5"/>
        <v>9</v>
      </c>
      <c r="I67">
        <f t="shared" si="5"/>
        <v>6</v>
      </c>
      <c r="J67">
        <f t="shared" si="5"/>
        <v>40</v>
      </c>
      <c r="K67" t="str">
        <f t="shared" si="5"/>
        <v>x</v>
      </c>
      <c r="L67">
        <f t="shared" si="5"/>
        <v>6</v>
      </c>
      <c r="M67" t="str">
        <f t="shared" si="5"/>
        <v>M12</v>
      </c>
      <c r="N67" t="str">
        <f t="shared" si="5"/>
        <v>x</v>
      </c>
      <c r="O67">
        <f t="shared" si="5"/>
        <v>45</v>
      </c>
      <c r="P67">
        <f t="shared" si="5"/>
        <v>10</v>
      </c>
      <c r="Q67">
        <f t="shared" si="5"/>
        <v>0.51</v>
      </c>
    </row>
    <row r="68" spans="2:17">
      <c r="B68">
        <f t="shared" ref="B68:Q68" si="6">IF($F$1="leicht",B12,IF($F$1="schwer",B40))</f>
        <v>65</v>
      </c>
      <c r="C68" t="str">
        <f t="shared" si="6"/>
        <v>2½”</v>
      </c>
      <c r="D68">
        <f t="shared" si="6"/>
        <v>77</v>
      </c>
      <c r="E68">
        <f t="shared" si="6"/>
        <v>122</v>
      </c>
      <c r="F68">
        <f t="shared" si="6"/>
        <v>18</v>
      </c>
      <c r="G68">
        <f t="shared" si="6"/>
        <v>14</v>
      </c>
      <c r="H68">
        <f t="shared" si="6"/>
        <v>9</v>
      </c>
      <c r="I68">
        <f t="shared" si="6"/>
        <v>6</v>
      </c>
      <c r="J68">
        <f t="shared" si="6"/>
        <v>40</v>
      </c>
      <c r="K68" t="str">
        <f t="shared" si="6"/>
        <v>x</v>
      </c>
      <c r="L68">
        <f t="shared" si="6"/>
        <v>6</v>
      </c>
      <c r="M68" t="str">
        <f t="shared" si="6"/>
        <v>M12</v>
      </c>
      <c r="N68" t="str">
        <f t="shared" si="6"/>
        <v>x</v>
      </c>
      <c r="O68">
        <f t="shared" si="6"/>
        <v>45</v>
      </c>
      <c r="P68">
        <f t="shared" si="6"/>
        <v>10</v>
      </c>
      <c r="Q68">
        <f t="shared" si="6"/>
        <v>0.57999999999999996</v>
      </c>
    </row>
    <row r="69" spans="2:17">
      <c r="B69">
        <f t="shared" ref="B69:Q69" si="7">IF($F$1="leicht",B13,IF($F$1="schwer",B41))</f>
        <v>80</v>
      </c>
      <c r="C69" t="str">
        <f t="shared" si="7"/>
        <v>3”</v>
      </c>
      <c r="D69">
        <f t="shared" si="7"/>
        <v>89</v>
      </c>
      <c r="E69">
        <f t="shared" si="7"/>
        <v>136</v>
      </c>
      <c r="F69">
        <f t="shared" si="7"/>
        <v>18</v>
      </c>
      <c r="G69">
        <f t="shared" si="7"/>
        <v>14</v>
      </c>
      <c r="H69">
        <f t="shared" si="7"/>
        <v>9</v>
      </c>
      <c r="I69">
        <f t="shared" si="7"/>
        <v>6</v>
      </c>
      <c r="J69">
        <f t="shared" si="7"/>
        <v>40</v>
      </c>
      <c r="K69" t="str">
        <f t="shared" si="7"/>
        <v>x</v>
      </c>
      <c r="L69">
        <f t="shared" si="7"/>
        <v>6</v>
      </c>
      <c r="M69" t="str">
        <f t="shared" si="7"/>
        <v>M12</v>
      </c>
      <c r="N69" t="str">
        <f t="shared" si="7"/>
        <v>x</v>
      </c>
      <c r="O69">
        <f t="shared" si="7"/>
        <v>45</v>
      </c>
      <c r="P69">
        <f t="shared" si="7"/>
        <v>10</v>
      </c>
      <c r="Q69">
        <f t="shared" si="7"/>
        <v>0.65</v>
      </c>
    </row>
    <row r="70" spans="2:17">
      <c r="B70">
        <f t="shared" ref="B70:Q70" si="8">IF($F$1="leicht",B14,IF($F$1="schwer",B42))</f>
        <v>100</v>
      </c>
      <c r="C70" t="str">
        <f t="shared" si="8"/>
        <v>4”</v>
      </c>
      <c r="D70">
        <f t="shared" si="8"/>
        <v>115</v>
      </c>
      <c r="E70">
        <f t="shared" si="8"/>
        <v>178</v>
      </c>
      <c r="F70">
        <f t="shared" si="8"/>
        <v>24</v>
      </c>
      <c r="G70">
        <f t="shared" si="8"/>
        <v>18</v>
      </c>
      <c r="H70">
        <f t="shared" si="8"/>
        <v>11</v>
      </c>
      <c r="I70">
        <f t="shared" si="8"/>
        <v>6</v>
      </c>
      <c r="J70">
        <f t="shared" si="8"/>
        <v>50</v>
      </c>
      <c r="K70" t="str">
        <f t="shared" si="8"/>
        <v>x</v>
      </c>
      <c r="L70">
        <f t="shared" si="8"/>
        <v>8</v>
      </c>
      <c r="M70" t="str">
        <f t="shared" si="8"/>
        <v>M16</v>
      </c>
      <c r="N70" t="str">
        <f t="shared" si="8"/>
        <v>x</v>
      </c>
      <c r="O70">
        <f t="shared" si="8"/>
        <v>55</v>
      </c>
      <c r="P70">
        <f t="shared" si="8"/>
        <v>30</v>
      </c>
      <c r="Q70">
        <f t="shared" si="8"/>
        <v>1.06</v>
      </c>
    </row>
    <row r="71" spans="2:17">
      <c r="B71">
        <f t="shared" ref="B71:Q71" si="9">IF($F$1="leicht",B15,IF($F$1="schwer",B43))</f>
        <v>125</v>
      </c>
      <c r="C71" t="str">
        <f t="shared" si="9"/>
        <v>5”</v>
      </c>
      <c r="D71">
        <f t="shared" si="9"/>
        <v>140</v>
      </c>
      <c r="E71">
        <f t="shared" si="9"/>
        <v>204</v>
      </c>
      <c r="F71">
        <f t="shared" si="9"/>
        <v>24</v>
      </c>
      <c r="G71">
        <f t="shared" si="9"/>
        <v>18</v>
      </c>
      <c r="H71">
        <f t="shared" si="9"/>
        <v>11</v>
      </c>
      <c r="I71">
        <f t="shared" si="9"/>
        <v>6</v>
      </c>
      <c r="J71">
        <f t="shared" si="9"/>
        <v>50</v>
      </c>
      <c r="K71" t="str">
        <f t="shared" si="9"/>
        <v>x</v>
      </c>
      <c r="L71">
        <f t="shared" si="9"/>
        <v>8</v>
      </c>
      <c r="M71" t="str">
        <f t="shared" si="9"/>
        <v>M16</v>
      </c>
      <c r="N71" t="str">
        <f t="shared" si="9"/>
        <v>x</v>
      </c>
      <c r="O71">
        <f t="shared" si="9"/>
        <v>55</v>
      </c>
      <c r="P71">
        <f t="shared" si="9"/>
        <v>30</v>
      </c>
      <c r="Q71">
        <f t="shared" si="9"/>
        <v>1.2</v>
      </c>
    </row>
    <row r="72" spans="2:17">
      <c r="B72">
        <f t="shared" ref="B72:Q72" si="10">IF($F$1="leicht",B16,IF($F$1="schwer",B44))</f>
        <v>150</v>
      </c>
      <c r="C72" t="str">
        <f t="shared" si="10"/>
        <v>6”</v>
      </c>
      <c r="D72">
        <f t="shared" si="10"/>
        <v>169</v>
      </c>
      <c r="E72">
        <f t="shared" si="10"/>
        <v>232</v>
      </c>
      <c r="F72">
        <f t="shared" si="10"/>
        <v>24</v>
      </c>
      <c r="G72">
        <f t="shared" si="10"/>
        <v>18</v>
      </c>
      <c r="H72">
        <f t="shared" si="10"/>
        <v>11</v>
      </c>
      <c r="I72">
        <f t="shared" si="10"/>
        <v>6</v>
      </c>
      <c r="J72">
        <f t="shared" si="10"/>
        <v>50</v>
      </c>
      <c r="K72" t="str">
        <f t="shared" si="10"/>
        <v>x</v>
      </c>
      <c r="L72">
        <f t="shared" si="10"/>
        <v>8</v>
      </c>
      <c r="M72" t="str">
        <f t="shared" si="10"/>
        <v>M16</v>
      </c>
      <c r="N72" t="str">
        <f t="shared" si="10"/>
        <v>x</v>
      </c>
      <c r="O72">
        <f t="shared" si="10"/>
        <v>55</v>
      </c>
      <c r="P72">
        <f t="shared" si="10"/>
        <v>30</v>
      </c>
      <c r="Q72">
        <f t="shared" si="10"/>
        <v>1.64</v>
      </c>
    </row>
    <row r="73" spans="2:17">
      <c r="B73">
        <f t="shared" ref="B73:Q73" si="11">IF($F$1="leicht",B17,IF($F$1="schwer",B45))</f>
        <v>200</v>
      </c>
      <c r="C73" t="str">
        <f t="shared" si="11"/>
        <v>8”</v>
      </c>
      <c r="D73">
        <f t="shared" si="11"/>
        <v>220</v>
      </c>
      <c r="E73">
        <f t="shared" si="11"/>
        <v>284</v>
      </c>
      <c r="F73">
        <f t="shared" si="11"/>
        <v>24</v>
      </c>
      <c r="G73">
        <f t="shared" si="11"/>
        <v>18</v>
      </c>
      <c r="H73">
        <f t="shared" si="11"/>
        <v>11</v>
      </c>
      <c r="I73">
        <f t="shared" si="11"/>
        <v>6</v>
      </c>
      <c r="J73">
        <f t="shared" si="11"/>
        <v>50</v>
      </c>
      <c r="K73" t="str">
        <f t="shared" si="11"/>
        <v>x</v>
      </c>
      <c r="L73">
        <f t="shared" si="11"/>
        <v>8</v>
      </c>
      <c r="M73" t="str">
        <f t="shared" si="11"/>
        <v>M16</v>
      </c>
      <c r="N73" t="str">
        <f t="shared" si="11"/>
        <v>x</v>
      </c>
      <c r="O73">
        <f t="shared" si="11"/>
        <v>55</v>
      </c>
      <c r="P73">
        <f t="shared" si="11"/>
        <v>30</v>
      </c>
      <c r="Q73">
        <f t="shared" si="11"/>
        <v>2.02</v>
      </c>
    </row>
    <row r="74" spans="2:17">
      <c r="B74">
        <f t="shared" ref="B74:Q74" si="12">IF($F$1="leicht",B18,IF($F$1="schwer",B46))</f>
        <v>250</v>
      </c>
      <c r="C74" t="str">
        <f t="shared" si="12"/>
        <v>10”</v>
      </c>
      <c r="D74">
        <f t="shared" si="12"/>
        <v>273</v>
      </c>
      <c r="E74">
        <f t="shared" si="12"/>
        <v>348</v>
      </c>
      <c r="F74">
        <f t="shared" si="12"/>
        <v>30</v>
      </c>
      <c r="G74">
        <f t="shared" si="12"/>
        <v>23</v>
      </c>
      <c r="H74">
        <f t="shared" si="12"/>
        <v>14</v>
      </c>
      <c r="I74">
        <f t="shared" si="12"/>
        <v>8</v>
      </c>
      <c r="J74">
        <f t="shared" si="12"/>
        <v>60</v>
      </c>
      <c r="K74" t="str">
        <f t="shared" si="12"/>
        <v>x</v>
      </c>
      <c r="L74">
        <f t="shared" si="12"/>
        <v>8</v>
      </c>
      <c r="M74" t="str">
        <f t="shared" si="12"/>
        <v>M20</v>
      </c>
      <c r="N74" t="str">
        <f t="shared" si="12"/>
        <v>x</v>
      </c>
      <c r="O74">
        <f t="shared" si="12"/>
        <v>60</v>
      </c>
      <c r="P74">
        <f t="shared" si="12"/>
        <v>100</v>
      </c>
      <c r="Q74">
        <f t="shared" si="12"/>
        <v>2.99</v>
      </c>
    </row>
    <row r="75" spans="2:17">
      <c r="B75">
        <f t="shared" ref="B75:Q75" si="13">IF($F$1="leicht",B19,IF($F$1="schwer",B47))</f>
        <v>300</v>
      </c>
      <c r="C75" t="str">
        <f t="shared" si="13"/>
        <v>12”</v>
      </c>
      <c r="D75">
        <f t="shared" si="13"/>
        <v>324</v>
      </c>
      <c r="E75">
        <f t="shared" si="13"/>
        <v>398</v>
      </c>
      <c r="F75">
        <f t="shared" si="13"/>
        <v>30</v>
      </c>
      <c r="G75">
        <f t="shared" si="13"/>
        <v>23</v>
      </c>
      <c r="H75">
        <f t="shared" si="13"/>
        <v>14</v>
      </c>
      <c r="I75">
        <f t="shared" si="13"/>
        <v>8</v>
      </c>
      <c r="J75">
        <f t="shared" si="13"/>
        <v>60</v>
      </c>
      <c r="K75" t="str">
        <f t="shared" si="13"/>
        <v>x</v>
      </c>
      <c r="L75">
        <f t="shared" si="13"/>
        <v>8</v>
      </c>
      <c r="M75" t="str">
        <f t="shared" si="13"/>
        <v>M20</v>
      </c>
      <c r="N75" t="str">
        <f t="shared" si="13"/>
        <v>x</v>
      </c>
      <c r="O75">
        <f t="shared" si="13"/>
        <v>60</v>
      </c>
      <c r="P75">
        <f t="shared" si="13"/>
        <v>100</v>
      </c>
      <c r="Q75">
        <f t="shared" si="13"/>
        <v>3.41</v>
      </c>
    </row>
    <row r="76" spans="2:17">
      <c r="B76">
        <f t="shared" ref="B76:Q76" si="14">IF($F$1="leicht",B20,IF($F$1="schwer",B48))</f>
        <v>350</v>
      </c>
      <c r="C76" t="str">
        <f t="shared" si="14"/>
        <v>14”</v>
      </c>
      <c r="D76">
        <f t="shared" si="14"/>
        <v>356</v>
      </c>
      <c r="E76">
        <f t="shared" si="14"/>
        <v>432</v>
      </c>
      <c r="F76">
        <f t="shared" si="14"/>
        <v>30</v>
      </c>
      <c r="G76">
        <f t="shared" si="14"/>
        <v>23</v>
      </c>
      <c r="H76">
        <f t="shared" si="14"/>
        <v>14</v>
      </c>
      <c r="I76">
        <f t="shared" si="14"/>
        <v>8</v>
      </c>
      <c r="J76">
        <f t="shared" si="14"/>
        <v>60</v>
      </c>
      <c r="K76" t="str">
        <f t="shared" si="14"/>
        <v>x</v>
      </c>
      <c r="L76">
        <f t="shared" si="14"/>
        <v>8</v>
      </c>
      <c r="M76" t="str">
        <f t="shared" si="14"/>
        <v>M20</v>
      </c>
      <c r="N76" t="str">
        <f t="shared" si="14"/>
        <v>x</v>
      </c>
      <c r="O76">
        <f t="shared" si="14"/>
        <v>60</v>
      </c>
      <c r="P76">
        <f t="shared" si="14"/>
        <v>100</v>
      </c>
      <c r="Q76">
        <f t="shared" si="14"/>
        <v>3.81</v>
      </c>
    </row>
    <row r="77" spans="2:17">
      <c r="B77">
        <f t="shared" ref="B77:Q77" si="15">IF($F$1="leicht",B21,IF($F$1="schwer",B49))</f>
        <v>400</v>
      </c>
      <c r="C77" t="str">
        <f t="shared" si="15"/>
        <v>16”</v>
      </c>
      <c r="D77">
        <f t="shared" si="15"/>
        <v>407</v>
      </c>
      <c r="E77">
        <f t="shared" si="15"/>
        <v>498</v>
      </c>
      <c r="F77">
        <f t="shared" si="15"/>
        <v>36</v>
      </c>
      <c r="G77">
        <f t="shared" si="15"/>
        <v>27</v>
      </c>
      <c r="H77">
        <f t="shared" si="15"/>
        <v>18</v>
      </c>
      <c r="I77">
        <f t="shared" si="15"/>
        <v>8</v>
      </c>
      <c r="J77">
        <f t="shared" si="15"/>
        <v>70</v>
      </c>
      <c r="K77" t="str">
        <f t="shared" si="15"/>
        <v>x</v>
      </c>
      <c r="L77">
        <f t="shared" si="15"/>
        <v>10</v>
      </c>
      <c r="M77" t="str">
        <f t="shared" si="15"/>
        <v>M24</v>
      </c>
      <c r="N77" t="str">
        <f t="shared" si="15"/>
        <v>x</v>
      </c>
      <c r="O77">
        <f t="shared" si="15"/>
        <v>80</v>
      </c>
      <c r="P77">
        <f t="shared" si="15"/>
        <v>190</v>
      </c>
      <c r="Q77">
        <f t="shared" si="15"/>
        <v>6.86</v>
      </c>
    </row>
    <row r="78" spans="2:17">
      <c r="B78">
        <f t="shared" ref="B78:Q78" si="16">IF($F$1="leicht",B22,IF($F$1="schwer",B50))</f>
        <v>450</v>
      </c>
      <c r="C78" t="str">
        <f t="shared" si="16"/>
        <v>18”</v>
      </c>
      <c r="D78">
        <f t="shared" si="16"/>
        <v>458</v>
      </c>
      <c r="E78">
        <f t="shared" si="16"/>
        <v>550</v>
      </c>
      <c r="F78">
        <f t="shared" si="16"/>
        <v>36</v>
      </c>
      <c r="G78">
        <f t="shared" si="16"/>
        <v>27</v>
      </c>
      <c r="H78">
        <f t="shared" si="16"/>
        <v>18</v>
      </c>
      <c r="I78">
        <f t="shared" si="16"/>
        <v>8</v>
      </c>
      <c r="J78">
        <f t="shared" si="16"/>
        <v>70</v>
      </c>
      <c r="K78" t="str">
        <f t="shared" si="16"/>
        <v>x</v>
      </c>
      <c r="L78">
        <f t="shared" si="16"/>
        <v>10</v>
      </c>
      <c r="M78" t="str">
        <f t="shared" si="16"/>
        <v>M24</v>
      </c>
      <c r="N78" t="str">
        <f t="shared" si="16"/>
        <v>x</v>
      </c>
      <c r="O78">
        <f t="shared" si="16"/>
        <v>80</v>
      </c>
      <c r="P78">
        <f t="shared" si="16"/>
        <v>190</v>
      </c>
      <c r="Q78">
        <f t="shared" si="16"/>
        <v>8.68</v>
      </c>
    </row>
    <row r="79" spans="2:17">
      <c r="B79">
        <f t="shared" ref="B79:Q79" si="17">IF($F$1="leicht",B23,IF($F$1="schwer",B51))</f>
        <v>500</v>
      </c>
      <c r="C79" t="str">
        <f t="shared" si="17"/>
        <v>20”</v>
      </c>
      <c r="D79">
        <f t="shared" si="17"/>
        <v>508</v>
      </c>
      <c r="E79">
        <f t="shared" si="17"/>
        <v>600</v>
      </c>
      <c r="F79">
        <f t="shared" si="17"/>
        <v>36</v>
      </c>
      <c r="G79">
        <f t="shared" si="17"/>
        <v>27</v>
      </c>
      <c r="H79">
        <f t="shared" si="17"/>
        <v>18</v>
      </c>
      <c r="I79">
        <f t="shared" si="17"/>
        <v>10</v>
      </c>
      <c r="J79">
        <f t="shared" si="17"/>
        <v>70</v>
      </c>
      <c r="K79" t="str">
        <f t="shared" si="17"/>
        <v>x</v>
      </c>
      <c r="L79">
        <f t="shared" si="17"/>
        <v>10</v>
      </c>
      <c r="M79" t="str">
        <f t="shared" si="17"/>
        <v>M24</v>
      </c>
      <c r="N79" t="str">
        <f t="shared" si="17"/>
        <v>x</v>
      </c>
      <c r="O79">
        <f t="shared" si="17"/>
        <v>80</v>
      </c>
      <c r="P79">
        <f t="shared" si="17"/>
        <v>190</v>
      </c>
      <c r="Q79">
        <f t="shared" si="17"/>
        <v>8.1999999999999993</v>
      </c>
    </row>
    <row r="80" spans="2:17">
      <c r="B80">
        <f t="shared" ref="B80:Q80" si="18">IF($F$1="leicht",B24,IF($F$1="schwer",B52))</f>
        <v>600</v>
      </c>
      <c r="C80" t="str">
        <f t="shared" si="18"/>
        <v>24”</v>
      </c>
      <c r="D80">
        <f t="shared" si="18"/>
        <v>610</v>
      </c>
      <c r="E80">
        <f t="shared" si="18"/>
        <v>705</v>
      </c>
      <c r="F80">
        <f t="shared" si="18"/>
        <v>36</v>
      </c>
      <c r="G80">
        <f t="shared" si="18"/>
        <v>27</v>
      </c>
      <c r="H80">
        <f t="shared" si="18"/>
        <v>18</v>
      </c>
      <c r="I80">
        <f t="shared" si="18"/>
        <v>10</v>
      </c>
      <c r="J80">
        <f t="shared" si="18"/>
        <v>70</v>
      </c>
      <c r="K80" t="str">
        <f t="shared" si="18"/>
        <v>x</v>
      </c>
      <c r="L80">
        <f t="shared" si="18"/>
        <v>10</v>
      </c>
      <c r="M80" t="str">
        <f t="shared" si="18"/>
        <v>M24</v>
      </c>
      <c r="N80" t="str">
        <f t="shared" si="18"/>
        <v>x</v>
      </c>
      <c r="O80">
        <f t="shared" si="18"/>
        <v>80</v>
      </c>
      <c r="P80">
        <f t="shared" si="18"/>
        <v>190</v>
      </c>
      <c r="Q80">
        <f t="shared" si="18"/>
        <v>12</v>
      </c>
    </row>
    <row r="81" spans="2:23">
      <c r="B81">
        <f t="shared" ref="B81:Q81" si="19">IF($F$1="leicht",B25,IF($F$1="schwer",B53))</f>
        <v>700</v>
      </c>
      <c r="C81" t="str">
        <f t="shared" si="19"/>
        <v>28”</v>
      </c>
      <c r="D81">
        <f t="shared" si="19"/>
        <v>712</v>
      </c>
      <c r="E81">
        <f t="shared" si="19"/>
        <v>834</v>
      </c>
      <c r="F81">
        <f t="shared" si="19"/>
        <v>36</v>
      </c>
      <c r="G81">
        <f t="shared" si="19"/>
        <v>27</v>
      </c>
      <c r="H81">
        <f t="shared" si="19"/>
        <v>18</v>
      </c>
      <c r="I81">
        <f t="shared" si="19"/>
        <v>10</v>
      </c>
      <c r="J81">
        <f t="shared" si="19"/>
        <v>70</v>
      </c>
      <c r="K81" t="str">
        <f t="shared" si="19"/>
        <v>x</v>
      </c>
      <c r="L81">
        <f t="shared" si="19"/>
        <v>10</v>
      </c>
      <c r="M81" t="str">
        <f t="shared" si="19"/>
        <v>M24</v>
      </c>
      <c r="N81" t="str">
        <f t="shared" si="19"/>
        <v>x</v>
      </c>
      <c r="O81">
        <f t="shared" si="19"/>
        <v>80</v>
      </c>
      <c r="P81">
        <f t="shared" si="19"/>
        <v>190</v>
      </c>
      <c r="Q81">
        <f t="shared" si="19"/>
        <v>15</v>
      </c>
    </row>
    <row r="82" spans="2:23">
      <c r="B82">
        <f t="shared" ref="B82:Q82" si="20">IF($F$1="leicht",B26,IF($F$1="schwer",B54))</f>
        <v>800</v>
      </c>
      <c r="C82" t="str">
        <f t="shared" si="20"/>
        <v>32”</v>
      </c>
      <c r="D82">
        <f t="shared" si="20"/>
        <v>814</v>
      </c>
      <c r="E82">
        <f t="shared" si="20"/>
        <v>936</v>
      </c>
      <c r="F82">
        <f t="shared" si="20"/>
        <v>36</v>
      </c>
      <c r="G82">
        <f t="shared" si="20"/>
        <v>27</v>
      </c>
      <c r="H82">
        <f t="shared" si="20"/>
        <v>18</v>
      </c>
      <c r="I82">
        <f t="shared" si="20"/>
        <v>10</v>
      </c>
      <c r="J82">
        <f t="shared" si="20"/>
        <v>80</v>
      </c>
      <c r="K82" t="str">
        <f t="shared" si="20"/>
        <v>x</v>
      </c>
      <c r="L82">
        <f t="shared" si="20"/>
        <v>10</v>
      </c>
      <c r="M82" t="str">
        <f t="shared" si="20"/>
        <v>M24</v>
      </c>
      <c r="N82" t="str">
        <f t="shared" si="20"/>
        <v>x</v>
      </c>
      <c r="O82">
        <f t="shared" si="20"/>
        <v>80</v>
      </c>
      <c r="P82">
        <f t="shared" si="20"/>
        <v>190</v>
      </c>
      <c r="Q82">
        <f t="shared" si="20"/>
        <v>20</v>
      </c>
    </row>
    <row r="83" spans="2:23">
      <c r="B83">
        <f t="shared" ref="B83:Q83" si="21">IF($F$1="leicht",B27,IF($F$1="schwer",B55))</f>
        <v>900</v>
      </c>
      <c r="C83" t="str">
        <f t="shared" si="21"/>
        <v>36”</v>
      </c>
      <c r="D83">
        <f t="shared" si="21"/>
        <v>916</v>
      </c>
      <c r="E83">
        <f t="shared" si="21"/>
        <v>1036</v>
      </c>
      <c r="F83">
        <f t="shared" si="21"/>
        <v>42</v>
      </c>
      <c r="G83">
        <f t="shared" si="21"/>
        <v>33</v>
      </c>
      <c r="H83">
        <f t="shared" si="21"/>
        <v>18</v>
      </c>
      <c r="I83">
        <f t="shared" si="21"/>
        <v>10</v>
      </c>
      <c r="J83">
        <f t="shared" si="21"/>
        <v>90</v>
      </c>
      <c r="K83" t="str">
        <f t="shared" si="21"/>
        <v>x</v>
      </c>
      <c r="L83">
        <f t="shared" si="21"/>
        <v>10</v>
      </c>
      <c r="M83" t="str">
        <f t="shared" si="21"/>
        <v>M30</v>
      </c>
      <c r="N83" t="str">
        <f t="shared" si="21"/>
        <v>x</v>
      </c>
      <c r="O83">
        <f t="shared" si="21"/>
        <v>80</v>
      </c>
      <c r="P83">
        <f t="shared" si="21"/>
        <v>500</v>
      </c>
      <c r="Q83">
        <f t="shared" si="21"/>
        <v>25</v>
      </c>
    </row>
    <row r="84" spans="2:23">
      <c r="B84">
        <f t="shared" ref="B84:Q84" si="22">IF($F$1="leicht",B28,IF($F$1="schwer",B56))</f>
        <v>1000</v>
      </c>
      <c r="C84" t="str">
        <f t="shared" si="22"/>
        <v>40”</v>
      </c>
      <c r="D84">
        <f t="shared" si="22"/>
        <v>1018</v>
      </c>
      <c r="E84">
        <f t="shared" si="22"/>
        <v>1138</v>
      </c>
      <c r="F84">
        <f t="shared" si="22"/>
        <v>42</v>
      </c>
      <c r="G84">
        <f t="shared" si="22"/>
        <v>33</v>
      </c>
      <c r="H84">
        <f t="shared" si="22"/>
        <v>18</v>
      </c>
      <c r="I84">
        <f t="shared" si="22"/>
        <v>10</v>
      </c>
      <c r="J84">
        <f t="shared" si="22"/>
        <v>90</v>
      </c>
      <c r="K84" t="str">
        <f t="shared" si="22"/>
        <v>x</v>
      </c>
      <c r="L84">
        <f t="shared" si="22"/>
        <v>10</v>
      </c>
      <c r="M84" t="str">
        <f t="shared" si="22"/>
        <v>M30</v>
      </c>
      <c r="N84" t="str">
        <f t="shared" si="22"/>
        <v>x</v>
      </c>
      <c r="O84">
        <f t="shared" si="22"/>
        <v>80</v>
      </c>
      <c r="P84">
        <f t="shared" si="22"/>
        <v>500</v>
      </c>
      <c r="Q84">
        <f t="shared" si="22"/>
        <v>29.5</v>
      </c>
    </row>
    <row r="85" spans="2:23">
      <c r="B85">
        <f t="shared" ref="B85:Q85" si="23">IF($F$1="leicht",B29,IF($F$1="schwer",B57))</f>
        <v>1200</v>
      </c>
      <c r="C85" t="str">
        <f t="shared" si="23"/>
        <v>48”</v>
      </c>
      <c r="D85">
        <f t="shared" si="23"/>
        <v>1220</v>
      </c>
      <c r="E85">
        <f t="shared" si="23"/>
        <v>1340</v>
      </c>
      <c r="F85">
        <f t="shared" si="23"/>
        <v>42</v>
      </c>
      <c r="G85">
        <f t="shared" si="23"/>
        <v>33</v>
      </c>
      <c r="H85">
        <f t="shared" si="23"/>
        <v>22</v>
      </c>
      <c r="I85">
        <f t="shared" si="23"/>
        <v>12</v>
      </c>
      <c r="J85">
        <f t="shared" si="23"/>
        <v>100</v>
      </c>
      <c r="K85" t="str">
        <f t="shared" si="23"/>
        <v>x</v>
      </c>
      <c r="L85">
        <f t="shared" si="23"/>
        <v>12</v>
      </c>
      <c r="M85" t="str">
        <f t="shared" si="23"/>
        <v>M30</v>
      </c>
      <c r="N85" t="str">
        <f t="shared" si="23"/>
        <v>x</v>
      </c>
      <c r="O85">
        <f t="shared" si="23"/>
        <v>90</v>
      </c>
      <c r="P85">
        <f t="shared" si="23"/>
        <v>500</v>
      </c>
      <c r="Q85">
        <f t="shared" si="23"/>
        <v>44</v>
      </c>
    </row>
    <row r="88" spans="2:23">
      <c r="B88" t="s">
        <v>103</v>
      </c>
      <c r="K88" t="s">
        <v>282</v>
      </c>
      <c r="S88" t="s">
        <v>788</v>
      </c>
    </row>
    <row r="89" spans="2:23">
      <c r="B89" s="15" t="s">
        <v>89</v>
      </c>
      <c r="C89" t="s">
        <v>92</v>
      </c>
      <c r="D89" t="s">
        <v>96</v>
      </c>
      <c r="E89" t="s">
        <v>104</v>
      </c>
      <c r="F89" t="s">
        <v>108</v>
      </c>
      <c r="G89" s="63" t="s">
        <v>105</v>
      </c>
      <c r="H89" s="63" t="s">
        <v>106</v>
      </c>
      <c r="I89" s="59" t="s">
        <v>379</v>
      </c>
      <c r="K89" s="15" t="s">
        <v>89</v>
      </c>
      <c r="L89" t="s">
        <v>92</v>
      </c>
      <c r="M89" t="s">
        <v>96</v>
      </c>
      <c r="N89" t="s">
        <v>104</v>
      </c>
      <c r="O89" t="s">
        <v>108</v>
      </c>
      <c r="P89" t="s">
        <v>283</v>
      </c>
      <c r="Q89" t="s">
        <v>484</v>
      </c>
      <c r="S89" s="15" t="s">
        <v>89</v>
      </c>
      <c r="T89" t="s">
        <v>789</v>
      </c>
      <c r="U89" t="s">
        <v>790</v>
      </c>
      <c r="V89" t="s">
        <v>791</v>
      </c>
      <c r="W89" t="s">
        <v>792</v>
      </c>
    </row>
    <row r="90" spans="2:23">
      <c r="B90" s="11">
        <v>15</v>
      </c>
      <c r="C90">
        <v>20</v>
      </c>
      <c r="D90">
        <v>20</v>
      </c>
      <c r="E90">
        <v>4</v>
      </c>
      <c r="F90">
        <v>2</v>
      </c>
      <c r="G90">
        <v>2</v>
      </c>
      <c r="H90">
        <v>2</v>
      </c>
      <c r="I90" s="60">
        <f>IF($F$1="leicht",Flachnocken[[#This Row],[leicht_STK]],IF($F$1="schwer",Flachnocken[[#This Row],[schwer_STK]]))</f>
        <v>2</v>
      </c>
      <c r="K90" s="11">
        <v>15</v>
      </c>
      <c r="L90">
        <v>20</v>
      </c>
      <c r="M90">
        <v>20</v>
      </c>
      <c r="N90">
        <v>5</v>
      </c>
      <c r="O90">
        <v>2</v>
      </c>
      <c r="P90">
        <v>8</v>
      </c>
      <c r="Q90">
        <v>100</v>
      </c>
      <c r="S90" s="11">
        <v>15</v>
      </c>
      <c r="T90">
        <f>Flachnocken[[#This Row],[A]]*Flachnocken[[#This Row],[B]]*Flachnocken[[#This Row],[S]]*$H$1/1000</f>
        <v>1.2479999999999998E-2</v>
      </c>
      <c r="U90">
        <f>Flachnocken_DK[[#This Row],[A]]*Flachnocken_DK[[#This Row],[B]]*Flachnocken_DK[[#This Row],[S]]*$K$1/1000</f>
        <v>1.5599999999999999E-2</v>
      </c>
      <c r="V90">
        <f>IF(U202,Gew_FL[[#This Row],[HL_Einzel]]*Flachnocken[[#This Row],[STK_Auswahl]],0)</f>
        <v>0</v>
      </c>
      <c r="W90">
        <f>IF(H494,Gew_FL[[#This Row],[DK_Einzel]]*Flachnocken_DK[[#This Row],[DK_STK]],0)</f>
        <v>0</v>
      </c>
    </row>
    <row r="91" spans="2:23">
      <c r="B91" s="13">
        <v>20</v>
      </c>
      <c r="C91">
        <v>20</v>
      </c>
      <c r="D91">
        <v>20</v>
      </c>
      <c r="E91">
        <v>4</v>
      </c>
      <c r="F91">
        <v>2</v>
      </c>
      <c r="G91">
        <v>2</v>
      </c>
      <c r="H91">
        <v>2</v>
      </c>
      <c r="I91" s="61">
        <f>IF($F$1="leicht",Flachnocken[[#This Row],[leicht_STK]],IF($F$1="schwer",Flachnocken[[#This Row],[schwer_STK]]))</f>
        <v>2</v>
      </c>
      <c r="K91" s="13">
        <v>20</v>
      </c>
      <c r="L91">
        <v>20</v>
      </c>
      <c r="M91">
        <v>20</v>
      </c>
      <c r="N91">
        <v>5</v>
      </c>
      <c r="O91">
        <v>2</v>
      </c>
      <c r="P91">
        <v>8</v>
      </c>
      <c r="Q91">
        <v>100</v>
      </c>
      <c r="S91" s="13">
        <v>20</v>
      </c>
      <c r="T91">
        <f>Flachnocken[[#This Row],[A]]*Flachnocken[[#This Row],[B]]*Flachnocken[[#This Row],[S]]*$H$1/1000</f>
        <v>1.2479999999999998E-2</v>
      </c>
      <c r="U91">
        <f>Flachnocken_DK[[#This Row],[A]]*Flachnocken_DK[[#This Row],[B]]*Flachnocken_DK[[#This Row],[S]]*$K$1/1000</f>
        <v>1.5599999999999999E-2</v>
      </c>
      <c r="V91">
        <f>IF(U203,Gew_FL[[#This Row],[HL_Einzel]]*Flachnocken[[#This Row],[STK_Auswahl]],0)</f>
        <v>0</v>
      </c>
      <c r="W91">
        <f>IF(H495,Gew_FL[[#This Row],[DK_Einzel]]*Flachnocken_DK[[#This Row],[DK_STK]],0)</f>
        <v>0</v>
      </c>
    </row>
    <row r="92" spans="2:23">
      <c r="B92" s="11">
        <v>25</v>
      </c>
      <c r="C92">
        <v>20</v>
      </c>
      <c r="D92">
        <v>20</v>
      </c>
      <c r="E92">
        <v>4</v>
      </c>
      <c r="F92">
        <v>2</v>
      </c>
      <c r="G92">
        <v>2</v>
      </c>
      <c r="H92">
        <v>2</v>
      </c>
      <c r="I92" s="62">
        <f>IF($F$1="leicht",Flachnocken[[#This Row],[leicht_STK]],IF($F$1="schwer",Flachnocken[[#This Row],[schwer_STK]]))</f>
        <v>2</v>
      </c>
      <c r="K92" s="11">
        <v>25</v>
      </c>
      <c r="L92">
        <v>20</v>
      </c>
      <c r="M92">
        <v>20</v>
      </c>
      <c r="N92">
        <v>5</v>
      </c>
      <c r="O92">
        <v>2</v>
      </c>
      <c r="P92">
        <v>8</v>
      </c>
      <c r="Q92">
        <v>100</v>
      </c>
      <c r="S92" s="11">
        <v>25</v>
      </c>
      <c r="T92">
        <f>Flachnocken[[#This Row],[A]]*Flachnocken[[#This Row],[B]]*Flachnocken[[#This Row],[S]]*$H$1/1000</f>
        <v>1.2479999999999998E-2</v>
      </c>
      <c r="U92">
        <f>Flachnocken_DK[[#This Row],[A]]*Flachnocken_DK[[#This Row],[B]]*Flachnocken_DK[[#This Row],[S]]*$K$1/1000</f>
        <v>1.5599999999999999E-2</v>
      </c>
      <c r="V92">
        <f>IF(U204,Gew_FL[[#This Row],[HL_Einzel]]*Flachnocken[[#This Row],[STK_Auswahl]],0)</f>
        <v>0</v>
      </c>
      <c r="W92">
        <f>IF(H496,Gew_FL[[#This Row],[DK_Einzel]]*Flachnocken_DK[[#This Row],[DK_STK]],0)</f>
        <v>0</v>
      </c>
    </row>
    <row r="93" spans="2:23">
      <c r="B93" s="13">
        <v>32</v>
      </c>
      <c r="C93">
        <v>20</v>
      </c>
      <c r="D93">
        <v>20</v>
      </c>
      <c r="E93">
        <v>4</v>
      </c>
      <c r="F93">
        <v>2</v>
      </c>
      <c r="G93">
        <v>2</v>
      </c>
      <c r="H93">
        <v>2</v>
      </c>
      <c r="I93" s="61">
        <f>IF($F$1="leicht",Flachnocken[[#This Row],[leicht_STK]],IF($F$1="schwer",Flachnocken[[#This Row],[schwer_STK]]))</f>
        <v>2</v>
      </c>
      <c r="K93" s="13">
        <v>32</v>
      </c>
      <c r="L93">
        <v>20</v>
      </c>
      <c r="M93">
        <v>20</v>
      </c>
      <c r="N93">
        <v>5</v>
      </c>
      <c r="O93">
        <v>2</v>
      </c>
      <c r="P93">
        <v>8</v>
      </c>
      <c r="Q93">
        <v>100</v>
      </c>
      <c r="S93" s="13">
        <v>32</v>
      </c>
      <c r="T93">
        <f>Flachnocken[[#This Row],[A]]*Flachnocken[[#This Row],[B]]*Flachnocken[[#This Row],[S]]*$H$1/1000</f>
        <v>1.2479999999999998E-2</v>
      </c>
      <c r="U93">
        <f>Flachnocken_DK[[#This Row],[A]]*Flachnocken_DK[[#This Row],[B]]*Flachnocken_DK[[#This Row],[S]]*$K$1/1000</f>
        <v>1.5599999999999999E-2</v>
      </c>
      <c r="V93">
        <f>IF(U205,Gew_FL[[#This Row],[HL_Einzel]]*Flachnocken[[#This Row],[STK_Auswahl]],0)</f>
        <v>0</v>
      </c>
      <c r="W93">
        <f>IF(H497,Gew_FL[[#This Row],[DK_Einzel]]*Flachnocken_DK[[#This Row],[DK_STK]],0)</f>
        <v>0</v>
      </c>
    </row>
    <row r="94" spans="2:23">
      <c r="B94" s="11">
        <v>40</v>
      </c>
      <c r="C94">
        <v>20</v>
      </c>
      <c r="D94">
        <v>20</v>
      </c>
      <c r="E94">
        <v>4</v>
      </c>
      <c r="F94">
        <v>2</v>
      </c>
      <c r="G94">
        <v>2</v>
      </c>
      <c r="H94">
        <v>2</v>
      </c>
      <c r="I94" s="62">
        <f>IF($F$1="leicht",Flachnocken[[#This Row],[leicht_STK]],IF($F$1="schwer",Flachnocken[[#This Row],[schwer_STK]]))</f>
        <v>2</v>
      </c>
      <c r="K94" s="11">
        <v>40</v>
      </c>
      <c r="L94">
        <v>20</v>
      </c>
      <c r="M94">
        <v>20</v>
      </c>
      <c r="N94">
        <v>5</v>
      </c>
      <c r="O94">
        <v>2</v>
      </c>
      <c r="P94">
        <v>8</v>
      </c>
      <c r="Q94">
        <v>100</v>
      </c>
      <c r="S94" s="11">
        <v>40</v>
      </c>
      <c r="T94">
        <f>Flachnocken[[#This Row],[A]]*Flachnocken[[#This Row],[B]]*Flachnocken[[#This Row],[S]]*$H$1/1000</f>
        <v>1.2479999999999998E-2</v>
      </c>
      <c r="U94">
        <f>Flachnocken_DK[[#This Row],[A]]*Flachnocken_DK[[#This Row],[B]]*Flachnocken_DK[[#This Row],[S]]*$K$1/1000</f>
        <v>1.5599999999999999E-2</v>
      </c>
      <c r="V94">
        <f>IF(U206,Gew_FL[[#This Row],[HL_Einzel]]*Flachnocken[[#This Row],[STK_Auswahl]],0)</f>
        <v>0</v>
      </c>
      <c r="W94">
        <f>IF(H498,Gew_FL[[#This Row],[DK_Einzel]]*Flachnocken_DK[[#This Row],[DK_STK]],0)</f>
        <v>0</v>
      </c>
    </row>
    <row r="95" spans="2:23">
      <c r="B95" s="13">
        <v>50</v>
      </c>
      <c r="C95">
        <v>20</v>
      </c>
      <c r="D95">
        <v>20</v>
      </c>
      <c r="E95">
        <v>6</v>
      </c>
      <c r="F95">
        <v>3</v>
      </c>
      <c r="G95">
        <v>2</v>
      </c>
      <c r="H95">
        <v>4</v>
      </c>
      <c r="I95" s="61">
        <f>IF($F$1="leicht",Flachnocken[[#This Row],[leicht_STK]],IF($F$1="schwer",Flachnocken[[#This Row],[schwer_STK]]))</f>
        <v>4</v>
      </c>
      <c r="K95" s="13">
        <v>50</v>
      </c>
      <c r="L95">
        <v>20</v>
      </c>
      <c r="M95">
        <v>20</v>
      </c>
      <c r="N95">
        <v>5</v>
      </c>
      <c r="O95">
        <v>2</v>
      </c>
      <c r="P95">
        <v>8</v>
      </c>
      <c r="Q95">
        <v>100</v>
      </c>
      <c r="S95" s="13">
        <v>50</v>
      </c>
      <c r="T95">
        <f>Flachnocken[[#This Row],[A]]*Flachnocken[[#This Row],[B]]*Flachnocken[[#This Row],[S]]*$H$1/1000</f>
        <v>1.8720000000000001E-2</v>
      </c>
      <c r="U95">
        <f>Flachnocken_DK[[#This Row],[A]]*Flachnocken_DK[[#This Row],[B]]*Flachnocken_DK[[#This Row],[S]]*$K$1/1000</f>
        <v>1.5599999999999999E-2</v>
      </c>
      <c r="V95">
        <f>IF(U207,Gew_FL[[#This Row],[HL_Einzel]]*Flachnocken[[#This Row],[STK_Auswahl]],0)</f>
        <v>0</v>
      </c>
      <c r="W95">
        <f>IF(H499,Gew_FL[[#This Row],[DK_Einzel]]*Flachnocken_DK[[#This Row],[DK_STK]],0)</f>
        <v>0</v>
      </c>
    </row>
    <row r="96" spans="2:23">
      <c r="B96" s="11">
        <v>65</v>
      </c>
      <c r="C96">
        <v>20</v>
      </c>
      <c r="D96">
        <v>20</v>
      </c>
      <c r="E96">
        <v>6</v>
      </c>
      <c r="F96">
        <v>3</v>
      </c>
      <c r="G96">
        <v>2</v>
      </c>
      <c r="H96">
        <v>4</v>
      </c>
      <c r="I96" s="62">
        <f>IF($F$1="leicht",Flachnocken[[#This Row],[leicht_STK]],IF($F$1="schwer",Flachnocken[[#This Row],[schwer_STK]]))</f>
        <v>4</v>
      </c>
      <c r="K96" s="11">
        <v>65</v>
      </c>
      <c r="L96">
        <v>20</v>
      </c>
      <c r="M96">
        <v>20</v>
      </c>
      <c r="N96">
        <v>5</v>
      </c>
      <c r="O96">
        <v>2</v>
      </c>
      <c r="P96">
        <v>8</v>
      </c>
      <c r="Q96">
        <v>100</v>
      </c>
      <c r="S96" s="11">
        <v>65</v>
      </c>
      <c r="T96">
        <f>Flachnocken[[#This Row],[A]]*Flachnocken[[#This Row],[B]]*Flachnocken[[#This Row],[S]]*$H$1/1000</f>
        <v>1.8720000000000001E-2</v>
      </c>
      <c r="U96">
        <f>Flachnocken_DK[[#This Row],[A]]*Flachnocken_DK[[#This Row],[B]]*Flachnocken_DK[[#This Row],[S]]*$K$1/1000</f>
        <v>1.5599999999999999E-2</v>
      </c>
      <c r="V96">
        <f>IF(U208,Gew_FL[[#This Row],[HL_Einzel]]*Flachnocken[[#This Row],[STK_Auswahl]],0)</f>
        <v>0</v>
      </c>
      <c r="W96">
        <f>IF(H500,Gew_FL[[#This Row],[DK_Einzel]]*Flachnocken_DK[[#This Row],[DK_STK]],0)</f>
        <v>0</v>
      </c>
    </row>
    <row r="97" spans="2:23">
      <c r="B97" s="13">
        <v>80</v>
      </c>
      <c r="C97">
        <v>20</v>
      </c>
      <c r="D97">
        <v>20</v>
      </c>
      <c r="E97">
        <v>6</v>
      </c>
      <c r="F97">
        <v>3</v>
      </c>
      <c r="G97">
        <v>2</v>
      </c>
      <c r="H97">
        <v>4</v>
      </c>
      <c r="I97" s="61">
        <f>IF($F$1="leicht",Flachnocken[[#This Row],[leicht_STK]],IF($F$1="schwer",Flachnocken[[#This Row],[schwer_STK]]))</f>
        <v>4</v>
      </c>
      <c r="K97" s="13">
        <v>80</v>
      </c>
      <c r="L97">
        <v>20</v>
      </c>
      <c r="M97">
        <v>20</v>
      </c>
      <c r="N97">
        <v>6</v>
      </c>
      <c r="O97">
        <v>3</v>
      </c>
      <c r="P97">
        <v>8</v>
      </c>
      <c r="Q97">
        <v>90</v>
      </c>
      <c r="S97" s="13">
        <v>80</v>
      </c>
      <c r="T97">
        <f>Flachnocken[[#This Row],[A]]*Flachnocken[[#This Row],[B]]*Flachnocken[[#This Row],[S]]*$H$1/1000</f>
        <v>1.8720000000000001E-2</v>
      </c>
      <c r="U97">
        <f>Flachnocken_DK[[#This Row],[A]]*Flachnocken_DK[[#This Row],[B]]*Flachnocken_DK[[#This Row],[S]]*$K$1/1000</f>
        <v>1.8720000000000001E-2</v>
      </c>
      <c r="V97">
        <f>IF(U209,Gew_FL[[#This Row],[HL_Einzel]]*Flachnocken[[#This Row],[STK_Auswahl]],0)</f>
        <v>0</v>
      </c>
      <c r="W97">
        <f>IF(H501,Gew_FL[[#This Row],[DK_Einzel]]*Flachnocken_DK[[#This Row],[DK_STK]],0)</f>
        <v>0</v>
      </c>
    </row>
    <row r="98" spans="2:23">
      <c r="B98" s="11">
        <v>100</v>
      </c>
      <c r="C98">
        <v>20</v>
      </c>
      <c r="D98">
        <v>20</v>
      </c>
      <c r="E98">
        <v>6</v>
      </c>
      <c r="F98">
        <v>3</v>
      </c>
      <c r="G98">
        <v>4</v>
      </c>
      <c r="H98">
        <v>8</v>
      </c>
      <c r="I98" s="62">
        <f>IF($F$1="leicht",Flachnocken[[#This Row],[leicht_STK]],IF($F$1="schwer",Flachnocken[[#This Row],[schwer_STK]]))</f>
        <v>8</v>
      </c>
      <c r="K98" s="11">
        <v>100</v>
      </c>
      <c r="L98">
        <v>20</v>
      </c>
      <c r="M98">
        <v>20</v>
      </c>
      <c r="N98">
        <v>6</v>
      </c>
      <c r="O98">
        <v>3</v>
      </c>
      <c r="P98">
        <v>8</v>
      </c>
      <c r="Q98">
        <v>90</v>
      </c>
      <c r="S98" s="11">
        <v>100</v>
      </c>
      <c r="T98">
        <f>Flachnocken[[#This Row],[A]]*Flachnocken[[#This Row],[B]]*Flachnocken[[#This Row],[S]]*$H$1/1000</f>
        <v>1.8720000000000001E-2</v>
      </c>
      <c r="U98">
        <f>Flachnocken_DK[[#This Row],[A]]*Flachnocken_DK[[#This Row],[B]]*Flachnocken_DK[[#This Row],[S]]*$K$1/1000</f>
        <v>1.8720000000000001E-2</v>
      </c>
      <c r="V98">
        <f>IF(U210,Gew_FL[[#This Row],[HL_Einzel]]*Flachnocken[[#This Row],[STK_Auswahl]],0)</f>
        <v>0</v>
      </c>
      <c r="W98">
        <f>IF(H502,Gew_FL[[#This Row],[DK_Einzel]]*Flachnocken_DK[[#This Row],[DK_STK]],0)</f>
        <v>0</v>
      </c>
    </row>
    <row r="99" spans="2:23">
      <c r="B99" s="13">
        <v>125</v>
      </c>
      <c r="C99">
        <v>20</v>
      </c>
      <c r="D99">
        <v>20</v>
      </c>
      <c r="E99">
        <v>6</v>
      </c>
      <c r="F99">
        <v>3</v>
      </c>
      <c r="G99">
        <v>4</v>
      </c>
      <c r="H99">
        <v>8</v>
      </c>
      <c r="I99" s="61">
        <f>IF($F$1="leicht",Flachnocken[[#This Row],[leicht_STK]],IF($F$1="schwer",Flachnocken[[#This Row],[schwer_STK]]))</f>
        <v>8</v>
      </c>
      <c r="K99" s="13">
        <v>125</v>
      </c>
      <c r="L99">
        <v>20</v>
      </c>
      <c r="M99">
        <v>20</v>
      </c>
      <c r="N99">
        <v>6</v>
      </c>
      <c r="O99">
        <v>3</v>
      </c>
      <c r="P99">
        <v>8</v>
      </c>
      <c r="Q99">
        <v>90</v>
      </c>
      <c r="S99" s="13">
        <v>125</v>
      </c>
      <c r="T99">
        <f>Flachnocken[[#This Row],[A]]*Flachnocken[[#This Row],[B]]*Flachnocken[[#This Row],[S]]*$H$1/1000</f>
        <v>1.8720000000000001E-2</v>
      </c>
      <c r="U99">
        <f>Flachnocken_DK[[#This Row],[A]]*Flachnocken_DK[[#This Row],[B]]*Flachnocken_DK[[#This Row],[S]]*$K$1/1000</f>
        <v>1.8720000000000001E-2</v>
      </c>
      <c r="V99">
        <f>IF(U211,Gew_FL[[#This Row],[HL_Einzel]]*Flachnocken[[#This Row],[STK_Auswahl]],0)</f>
        <v>0</v>
      </c>
      <c r="W99">
        <f>IF(H503,Gew_FL[[#This Row],[DK_Einzel]]*Flachnocken_DK[[#This Row],[DK_STK]],0)</f>
        <v>0</v>
      </c>
    </row>
    <row r="100" spans="2:23">
      <c r="B100" s="11">
        <v>150</v>
      </c>
      <c r="C100">
        <v>20</v>
      </c>
      <c r="D100">
        <v>20</v>
      </c>
      <c r="E100">
        <v>6</v>
      </c>
      <c r="F100">
        <v>3</v>
      </c>
      <c r="G100">
        <v>4</v>
      </c>
      <c r="H100">
        <v>8</v>
      </c>
      <c r="I100" s="62">
        <f>IF($F$1="leicht",Flachnocken[[#This Row],[leicht_STK]],IF($F$1="schwer",Flachnocken[[#This Row],[schwer_STK]]))</f>
        <v>8</v>
      </c>
      <c r="K100" s="11">
        <v>150</v>
      </c>
      <c r="L100">
        <v>20</v>
      </c>
      <c r="M100">
        <v>20</v>
      </c>
      <c r="N100">
        <v>6</v>
      </c>
      <c r="O100">
        <v>3</v>
      </c>
      <c r="P100">
        <v>8</v>
      </c>
      <c r="Q100">
        <v>90</v>
      </c>
      <c r="S100" s="11">
        <v>150</v>
      </c>
      <c r="T100">
        <f>Flachnocken[[#This Row],[A]]*Flachnocken[[#This Row],[B]]*Flachnocken[[#This Row],[S]]*$H$1/1000</f>
        <v>1.8720000000000001E-2</v>
      </c>
      <c r="U100">
        <f>Flachnocken_DK[[#This Row],[A]]*Flachnocken_DK[[#This Row],[B]]*Flachnocken_DK[[#This Row],[S]]*$K$1/1000</f>
        <v>1.8720000000000001E-2</v>
      </c>
      <c r="V100">
        <f>IF(U212,Gew_FL[[#This Row],[HL_Einzel]]*Flachnocken[[#This Row],[STK_Auswahl]],0)</f>
        <v>0</v>
      </c>
      <c r="W100">
        <f>IF(H504,Gew_FL[[#This Row],[DK_Einzel]]*Flachnocken_DK[[#This Row],[DK_STK]],0)</f>
        <v>0</v>
      </c>
    </row>
    <row r="101" spans="2:23">
      <c r="B101" s="13">
        <v>200</v>
      </c>
      <c r="C101">
        <v>30</v>
      </c>
      <c r="D101">
        <v>30</v>
      </c>
      <c r="E101">
        <v>8</v>
      </c>
      <c r="F101">
        <v>4</v>
      </c>
      <c r="G101">
        <v>8</v>
      </c>
      <c r="H101">
        <v>8</v>
      </c>
      <c r="I101" s="61">
        <f>IF($F$1="leicht",Flachnocken[[#This Row],[leicht_STK]],IF($F$1="schwer",Flachnocken[[#This Row],[schwer_STK]]))</f>
        <v>8</v>
      </c>
      <c r="K101" s="13">
        <v>200</v>
      </c>
      <c r="L101">
        <v>30</v>
      </c>
      <c r="M101">
        <v>30</v>
      </c>
      <c r="N101">
        <v>8</v>
      </c>
      <c r="O101">
        <v>4</v>
      </c>
      <c r="P101">
        <v>12</v>
      </c>
      <c r="Q101">
        <v>130</v>
      </c>
      <c r="S101" s="13">
        <v>200</v>
      </c>
      <c r="T101">
        <f>Flachnocken[[#This Row],[A]]*Flachnocken[[#This Row],[B]]*Flachnocken[[#This Row],[S]]*$H$1/1000</f>
        <v>5.6159999999999995E-2</v>
      </c>
      <c r="U101">
        <f>Flachnocken_DK[[#This Row],[A]]*Flachnocken_DK[[#This Row],[B]]*Flachnocken_DK[[#This Row],[S]]*$K$1/1000</f>
        <v>5.6159999999999995E-2</v>
      </c>
      <c r="V101">
        <f>IF(U213,Gew_FL[[#This Row],[HL_Einzel]]*Flachnocken[[#This Row],[STK_Auswahl]],0)</f>
        <v>0</v>
      </c>
      <c r="W101">
        <f>IF(H505,Gew_FL[[#This Row],[DK_Einzel]]*Flachnocken_DK[[#This Row],[DK_STK]],0)</f>
        <v>0</v>
      </c>
    </row>
    <row r="102" spans="2:23">
      <c r="B102" s="11">
        <v>250</v>
      </c>
      <c r="C102">
        <v>30</v>
      </c>
      <c r="D102">
        <v>30</v>
      </c>
      <c r="E102">
        <v>8</v>
      </c>
      <c r="F102">
        <v>4</v>
      </c>
      <c r="G102">
        <v>8</v>
      </c>
      <c r="H102">
        <v>8</v>
      </c>
      <c r="I102" s="62">
        <f>IF($F$1="leicht",Flachnocken[[#This Row],[leicht_STK]],IF($F$1="schwer",Flachnocken[[#This Row],[schwer_STK]]))</f>
        <v>8</v>
      </c>
      <c r="K102" s="11">
        <v>250</v>
      </c>
      <c r="L102">
        <v>30</v>
      </c>
      <c r="M102">
        <v>30</v>
      </c>
      <c r="N102">
        <v>8</v>
      </c>
      <c r="O102">
        <v>4</v>
      </c>
      <c r="P102">
        <v>12</v>
      </c>
      <c r="Q102">
        <v>130</v>
      </c>
      <c r="S102" s="11">
        <v>250</v>
      </c>
      <c r="T102">
        <f>Flachnocken[[#This Row],[A]]*Flachnocken[[#This Row],[B]]*Flachnocken[[#This Row],[S]]*$H$1/1000</f>
        <v>5.6159999999999995E-2</v>
      </c>
      <c r="U102">
        <f>Flachnocken_DK[[#This Row],[A]]*Flachnocken_DK[[#This Row],[B]]*Flachnocken_DK[[#This Row],[S]]*$K$1/1000</f>
        <v>5.6159999999999995E-2</v>
      </c>
      <c r="V102">
        <f>IF(U214,Gew_FL[[#This Row],[HL_Einzel]]*Flachnocken[[#This Row],[STK_Auswahl]],0)</f>
        <v>0</v>
      </c>
      <c r="W102">
        <f>IF(H506,Gew_FL[[#This Row],[DK_Einzel]]*Flachnocken_DK[[#This Row],[DK_STK]],0)</f>
        <v>0</v>
      </c>
    </row>
    <row r="103" spans="2:23">
      <c r="B103" s="13">
        <v>300</v>
      </c>
      <c r="C103">
        <v>30</v>
      </c>
      <c r="D103">
        <v>30</v>
      </c>
      <c r="E103">
        <v>8</v>
      </c>
      <c r="F103">
        <v>4</v>
      </c>
      <c r="G103">
        <v>8</v>
      </c>
      <c r="H103">
        <v>8</v>
      </c>
      <c r="I103" s="61">
        <f>IF($F$1="leicht",Flachnocken[[#This Row],[leicht_STK]],IF($F$1="schwer",Flachnocken[[#This Row],[schwer_STK]]))</f>
        <v>8</v>
      </c>
      <c r="K103" s="13">
        <v>300</v>
      </c>
      <c r="L103">
        <v>30</v>
      </c>
      <c r="M103">
        <v>30</v>
      </c>
      <c r="N103">
        <v>8</v>
      </c>
      <c r="O103">
        <v>4</v>
      </c>
      <c r="P103">
        <v>12</v>
      </c>
      <c r="Q103">
        <v>130</v>
      </c>
      <c r="S103" s="13">
        <v>300</v>
      </c>
      <c r="T103">
        <f>Flachnocken[[#This Row],[A]]*Flachnocken[[#This Row],[B]]*Flachnocken[[#This Row],[S]]*$H$1/1000</f>
        <v>5.6159999999999995E-2</v>
      </c>
      <c r="U103">
        <f>Flachnocken_DK[[#This Row],[A]]*Flachnocken_DK[[#This Row],[B]]*Flachnocken_DK[[#This Row],[S]]*$K$1/1000</f>
        <v>5.6159999999999995E-2</v>
      </c>
      <c r="V103">
        <f>IF(U215,Gew_FL[[#This Row],[HL_Einzel]]*Flachnocken[[#This Row],[STK_Auswahl]],0)</f>
        <v>0</v>
      </c>
      <c r="W103">
        <f>IF(H507,Gew_FL[[#This Row],[DK_Einzel]]*Flachnocken_DK[[#This Row],[DK_STK]],0)</f>
        <v>0</v>
      </c>
    </row>
    <row r="104" spans="2:23">
      <c r="B104" s="11">
        <v>350</v>
      </c>
      <c r="C104">
        <v>30</v>
      </c>
      <c r="D104">
        <v>30</v>
      </c>
      <c r="E104">
        <v>8</v>
      </c>
      <c r="F104">
        <v>4</v>
      </c>
      <c r="G104">
        <v>8</v>
      </c>
      <c r="H104">
        <v>8</v>
      </c>
      <c r="I104" s="62">
        <f>IF($F$1="leicht",Flachnocken[[#This Row],[leicht_STK]],IF($F$1="schwer",Flachnocken[[#This Row],[schwer_STK]]))</f>
        <v>8</v>
      </c>
      <c r="K104" s="11">
        <v>350</v>
      </c>
      <c r="L104">
        <v>30</v>
      </c>
      <c r="M104">
        <v>30</v>
      </c>
      <c r="N104">
        <v>8</v>
      </c>
      <c r="O104">
        <v>4</v>
      </c>
      <c r="P104">
        <v>12</v>
      </c>
      <c r="Q104">
        <v>130</v>
      </c>
      <c r="S104" s="11">
        <v>350</v>
      </c>
      <c r="T104">
        <f>Flachnocken[[#This Row],[A]]*Flachnocken[[#This Row],[B]]*Flachnocken[[#This Row],[S]]*$H$1/1000</f>
        <v>5.6159999999999995E-2</v>
      </c>
      <c r="U104">
        <f>Flachnocken_DK[[#This Row],[A]]*Flachnocken_DK[[#This Row],[B]]*Flachnocken_DK[[#This Row],[S]]*$K$1/1000</f>
        <v>5.6159999999999995E-2</v>
      </c>
      <c r="V104">
        <f>IF(U216,Gew_FL[[#This Row],[HL_Einzel]]*Flachnocken[[#This Row],[STK_Auswahl]],0)</f>
        <v>0</v>
      </c>
      <c r="W104">
        <f>IF(H508,Gew_FL[[#This Row],[DK_Einzel]]*Flachnocken_DK[[#This Row],[DK_STK]],0)</f>
        <v>0</v>
      </c>
    </row>
    <row r="105" spans="2:23">
      <c r="B105" s="13">
        <v>400</v>
      </c>
      <c r="C105">
        <v>30</v>
      </c>
      <c r="D105">
        <v>30</v>
      </c>
      <c r="E105">
        <v>8</v>
      </c>
      <c r="F105">
        <v>4</v>
      </c>
      <c r="G105">
        <v>8</v>
      </c>
      <c r="H105">
        <v>8</v>
      </c>
      <c r="I105" s="61">
        <f>IF($F$1="leicht",Flachnocken[[#This Row],[leicht_STK]],IF($F$1="schwer",Flachnocken[[#This Row],[schwer_STK]]))</f>
        <v>8</v>
      </c>
      <c r="K105" s="13">
        <v>400</v>
      </c>
      <c r="L105">
        <v>30</v>
      </c>
      <c r="M105">
        <v>30</v>
      </c>
      <c r="N105">
        <v>8</v>
      </c>
      <c r="O105">
        <v>4</v>
      </c>
      <c r="P105">
        <v>12</v>
      </c>
      <c r="Q105">
        <v>130</v>
      </c>
      <c r="S105" s="13">
        <v>400</v>
      </c>
      <c r="T105">
        <f>Flachnocken[[#This Row],[A]]*Flachnocken[[#This Row],[B]]*Flachnocken[[#This Row],[S]]*$H$1/1000</f>
        <v>5.6159999999999995E-2</v>
      </c>
      <c r="U105">
        <f>Flachnocken_DK[[#This Row],[A]]*Flachnocken_DK[[#This Row],[B]]*Flachnocken_DK[[#This Row],[S]]*$K$1/1000</f>
        <v>5.6159999999999995E-2</v>
      </c>
      <c r="V105">
        <f>IF(U217,Gew_FL[[#This Row],[HL_Einzel]]*Flachnocken[[#This Row],[STK_Auswahl]],0)</f>
        <v>0</v>
      </c>
      <c r="W105">
        <f>IF(H509,Gew_FL[[#This Row],[DK_Einzel]]*Flachnocken_DK[[#This Row],[DK_STK]],0)</f>
        <v>0</v>
      </c>
    </row>
    <row r="106" spans="2:23">
      <c r="B106" s="11">
        <v>450</v>
      </c>
      <c r="C106">
        <v>30</v>
      </c>
      <c r="D106">
        <v>30</v>
      </c>
      <c r="E106">
        <v>8</v>
      </c>
      <c r="F106">
        <v>4</v>
      </c>
      <c r="G106">
        <v>8</v>
      </c>
      <c r="H106">
        <v>8</v>
      </c>
      <c r="I106" s="62">
        <f>IF($F$1="leicht",Flachnocken[[#This Row],[leicht_STK]],IF($F$1="schwer",Flachnocken[[#This Row],[schwer_STK]]))</f>
        <v>8</v>
      </c>
      <c r="K106" s="11">
        <v>450</v>
      </c>
      <c r="L106">
        <v>30</v>
      </c>
      <c r="M106">
        <v>30</v>
      </c>
      <c r="N106">
        <v>8</v>
      </c>
      <c r="O106">
        <v>4</v>
      </c>
      <c r="P106">
        <v>12</v>
      </c>
      <c r="Q106">
        <v>130</v>
      </c>
      <c r="S106" s="11">
        <v>450</v>
      </c>
      <c r="T106">
        <f>Flachnocken[[#This Row],[A]]*Flachnocken[[#This Row],[B]]*Flachnocken[[#This Row],[S]]*$H$1/1000</f>
        <v>5.6159999999999995E-2</v>
      </c>
      <c r="U106">
        <f>Flachnocken_DK[[#This Row],[A]]*Flachnocken_DK[[#This Row],[B]]*Flachnocken_DK[[#This Row],[S]]*$K$1/1000</f>
        <v>5.6159999999999995E-2</v>
      </c>
      <c r="V106">
        <f>IF(U218,Gew_FL[[#This Row],[HL_Einzel]]*Flachnocken[[#This Row],[STK_Auswahl]],0)</f>
        <v>0</v>
      </c>
      <c r="W106">
        <f>IF(H510,Gew_FL[[#This Row],[DK_Einzel]]*Flachnocken_DK[[#This Row],[DK_STK]],0)</f>
        <v>0</v>
      </c>
    </row>
    <row r="107" spans="2:23">
      <c r="B107" s="13">
        <v>500</v>
      </c>
      <c r="C107">
        <v>30</v>
      </c>
      <c r="D107">
        <v>30</v>
      </c>
      <c r="E107">
        <v>8</v>
      </c>
      <c r="F107">
        <v>4</v>
      </c>
      <c r="G107">
        <v>8</v>
      </c>
      <c r="H107">
        <v>8</v>
      </c>
      <c r="I107" s="61">
        <f>IF($F$1="leicht",Flachnocken[[#This Row],[leicht_STK]],IF($F$1="schwer",Flachnocken[[#This Row],[schwer_STK]]))</f>
        <v>8</v>
      </c>
      <c r="K107" s="13">
        <v>500</v>
      </c>
      <c r="L107">
        <v>30</v>
      </c>
      <c r="M107">
        <v>30</v>
      </c>
      <c r="N107">
        <v>8</v>
      </c>
      <c r="O107">
        <v>4</v>
      </c>
      <c r="P107">
        <v>12</v>
      </c>
      <c r="Q107">
        <v>130</v>
      </c>
      <c r="S107" s="13">
        <v>500</v>
      </c>
      <c r="T107">
        <f>Flachnocken[[#This Row],[A]]*Flachnocken[[#This Row],[B]]*Flachnocken[[#This Row],[S]]*$H$1/1000</f>
        <v>5.6159999999999995E-2</v>
      </c>
      <c r="U107">
        <f>Flachnocken_DK[[#This Row],[A]]*Flachnocken_DK[[#This Row],[B]]*Flachnocken_DK[[#This Row],[S]]*$K$1/1000</f>
        <v>5.6159999999999995E-2</v>
      </c>
      <c r="V107">
        <f>IF(U219,Gew_FL[[#This Row],[HL_Einzel]]*Flachnocken[[#This Row],[STK_Auswahl]],0)</f>
        <v>0</v>
      </c>
      <c r="W107">
        <f>IF(H511,Gew_FL[[#This Row],[DK_Einzel]]*Flachnocken_DK[[#This Row],[DK_STK]],0)</f>
        <v>0</v>
      </c>
    </row>
    <row r="108" spans="2:23">
      <c r="B108" s="11">
        <v>600</v>
      </c>
      <c r="C108">
        <v>40</v>
      </c>
      <c r="D108">
        <v>40</v>
      </c>
      <c r="E108">
        <v>10</v>
      </c>
      <c r="F108">
        <v>5</v>
      </c>
      <c r="G108">
        <v>8</v>
      </c>
      <c r="H108">
        <v>8</v>
      </c>
      <c r="I108" s="62">
        <f>IF($F$1="leicht",Flachnocken[[#This Row],[leicht_STK]],IF($F$1="schwer",Flachnocken[[#This Row],[schwer_STK]]))</f>
        <v>8</v>
      </c>
      <c r="K108" s="11">
        <v>600</v>
      </c>
      <c r="L108">
        <v>40</v>
      </c>
      <c r="M108">
        <v>40</v>
      </c>
      <c r="N108">
        <v>10</v>
      </c>
      <c r="O108">
        <v>5</v>
      </c>
      <c r="P108">
        <v>16</v>
      </c>
      <c r="Q108">
        <v>120</v>
      </c>
      <c r="S108" s="11">
        <v>600</v>
      </c>
      <c r="T108">
        <f>Flachnocken[[#This Row],[A]]*Flachnocken[[#This Row],[B]]*Flachnocken[[#This Row],[S]]*$H$1/1000</f>
        <v>0.12479999999999999</v>
      </c>
      <c r="U108">
        <f>Flachnocken_DK[[#This Row],[A]]*Flachnocken_DK[[#This Row],[B]]*Flachnocken_DK[[#This Row],[S]]*$K$1/1000</f>
        <v>0.12479999999999999</v>
      </c>
      <c r="V108">
        <f>IF(U220,Gew_FL[[#This Row],[HL_Einzel]]*Flachnocken[[#This Row],[STK_Auswahl]],0)</f>
        <v>0</v>
      </c>
      <c r="W108">
        <f>IF(H512,Gew_FL[[#This Row],[DK_Einzel]]*Flachnocken_DK[[#This Row],[DK_STK]],0)</f>
        <v>0</v>
      </c>
    </row>
    <row r="109" spans="2:23">
      <c r="B109" s="13">
        <v>700</v>
      </c>
      <c r="C109">
        <v>40</v>
      </c>
      <c r="D109">
        <v>40</v>
      </c>
      <c r="E109">
        <v>10</v>
      </c>
      <c r="F109">
        <v>5</v>
      </c>
      <c r="G109">
        <v>8</v>
      </c>
      <c r="H109">
        <v>8</v>
      </c>
      <c r="I109" s="61">
        <f>IF($F$1="leicht",Flachnocken[[#This Row],[leicht_STK]],IF($F$1="schwer",Flachnocken[[#This Row],[schwer_STK]]))</f>
        <v>8</v>
      </c>
      <c r="K109" s="13">
        <v>700</v>
      </c>
      <c r="L109">
        <v>40</v>
      </c>
      <c r="M109">
        <v>40</v>
      </c>
      <c r="N109">
        <v>10</v>
      </c>
      <c r="O109">
        <v>5</v>
      </c>
      <c r="P109">
        <v>16</v>
      </c>
      <c r="Q109">
        <v>120</v>
      </c>
      <c r="S109" s="13">
        <v>700</v>
      </c>
      <c r="T109">
        <f>Flachnocken[[#This Row],[A]]*Flachnocken[[#This Row],[B]]*Flachnocken[[#This Row],[S]]*$H$1/1000</f>
        <v>0.12479999999999999</v>
      </c>
      <c r="U109">
        <f>Flachnocken_DK[[#This Row],[A]]*Flachnocken_DK[[#This Row],[B]]*Flachnocken_DK[[#This Row],[S]]*$K$1/1000</f>
        <v>0.12479999999999999</v>
      </c>
      <c r="V109">
        <f>IF(U221,Gew_FL[[#This Row],[HL_Einzel]]*Flachnocken[[#This Row],[STK_Auswahl]],0)</f>
        <v>0</v>
      </c>
      <c r="W109">
        <f>IF(H513,Gew_FL[[#This Row],[DK_Einzel]]*Flachnocken_DK[[#This Row],[DK_STK]],0)</f>
        <v>0</v>
      </c>
    </row>
    <row r="110" spans="2:23">
      <c r="B110" s="11">
        <v>800</v>
      </c>
      <c r="C110">
        <v>40</v>
      </c>
      <c r="D110">
        <v>40</v>
      </c>
      <c r="E110">
        <v>10</v>
      </c>
      <c r="F110">
        <v>5</v>
      </c>
      <c r="G110">
        <v>8</v>
      </c>
      <c r="H110">
        <v>8</v>
      </c>
      <c r="I110" s="62">
        <f>IF($F$1="leicht",Flachnocken[[#This Row],[leicht_STK]],IF($F$1="schwer",Flachnocken[[#This Row],[schwer_STK]]))</f>
        <v>8</v>
      </c>
      <c r="K110" s="11">
        <v>800</v>
      </c>
      <c r="L110">
        <v>40</v>
      </c>
      <c r="M110">
        <v>40</v>
      </c>
      <c r="N110">
        <v>10</v>
      </c>
      <c r="O110">
        <v>5</v>
      </c>
      <c r="P110">
        <v>16</v>
      </c>
      <c r="Q110">
        <v>120</v>
      </c>
      <c r="S110" s="11">
        <v>800</v>
      </c>
      <c r="T110">
        <f>Flachnocken[[#This Row],[A]]*Flachnocken[[#This Row],[B]]*Flachnocken[[#This Row],[S]]*$H$1/1000</f>
        <v>0.12479999999999999</v>
      </c>
      <c r="U110">
        <f>Flachnocken_DK[[#This Row],[A]]*Flachnocken_DK[[#This Row],[B]]*Flachnocken_DK[[#This Row],[S]]*$K$1/1000</f>
        <v>0.12479999999999999</v>
      </c>
      <c r="V110">
        <f>IF(U222,Gew_FL[[#This Row],[HL_Einzel]]*Flachnocken[[#This Row],[STK_Auswahl]],0)</f>
        <v>0</v>
      </c>
      <c r="W110">
        <f>IF(H514,Gew_FL[[#This Row],[DK_Einzel]]*Flachnocken_DK[[#This Row],[DK_STK]],0)</f>
        <v>0</v>
      </c>
    </row>
    <row r="111" spans="2:23">
      <c r="B111" s="13">
        <v>900</v>
      </c>
      <c r="C111">
        <v>40</v>
      </c>
      <c r="D111">
        <v>40</v>
      </c>
      <c r="E111">
        <v>10</v>
      </c>
      <c r="F111">
        <v>5</v>
      </c>
      <c r="G111">
        <v>8</v>
      </c>
      <c r="H111">
        <v>8</v>
      </c>
      <c r="I111" s="61">
        <f>IF($F$1="leicht",Flachnocken[[#This Row],[leicht_STK]],IF($F$1="schwer",Flachnocken[[#This Row],[schwer_STK]]))</f>
        <v>8</v>
      </c>
      <c r="K111" s="13">
        <v>900</v>
      </c>
      <c r="L111">
        <v>40</v>
      </c>
      <c r="M111">
        <v>40</v>
      </c>
      <c r="N111">
        <v>10</v>
      </c>
      <c r="O111">
        <v>5</v>
      </c>
      <c r="P111">
        <v>16</v>
      </c>
      <c r="Q111">
        <v>120</v>
      </c>
      <c r="S111" s="13">
        <v>900</v>
      </c>
      <c r="T111">
        <f>Flachnocken[[#This Row],[A]]*Flachnocken[[#This Row],[B]]*Flachnocken[[#This Row],[S]]*$H$1/1000</f>
        <v>0.12479999999999999</v>
      </c>
      <c r="U111">
        <f>Flachnocken_DK[[#This Row],[A]]*Flachnocken_DK[[#This Row],[B]]*Flachnocken_DK[[#This Row],[S]]*$K$1/1000</f>
        <v>0.12479999999999999</v>
      </c>
      <c r="V111">
        <f>IF(U223,Gew_FL[[#This Row],[HL_Einzel]]*Flachnocken[[#This Row],[STK_Auswahl]],0)</f>
        <v>0</v>
      </c>
      <c r="W111">
        <f>IF(H515,Gew_FL[[#This Row],[DK_Einzel]]*Flachnocken_DK[[#This Row],[DK_STK]],0)</f>
        <v>0</v>
      </c>
    </row>
    <row r="112" spans="2:23">
      <c r="B112" s="11">
        <v>1000</v>
      </c>
      <c r="C112">
        <v>40</v>
      </c>
      <c r="D112">
        <v>40</v>
      </c>
      <c r="E112">
        <v>10</v>
      </c>
      <c r="F112">
        <v>5</v>
      </c>
      <c r="G112">
        <v>8</v>
      </c>
      <c r="H112">
        <v>8</v>
      </c>
      <c r="I112" s="62">
        <f>IF($F$1="leicht",Flachnocken[[#This Row],[leicht_STK]],IF($F$1="schwer",Flachnocken[[#This Row],[schwer_STK]]))</f>
        <v>8</v>
      </c>
      <c r="K112" s="11">
        <v>1000</v>
      </c>
      <c r="L112">
        <v>40</v>
      </c>
      <c r="M112">
        <v>40</v>
      </c>
      <c r="N112">
        <v>10</v>
      </c>
      <c r="O112">
        <v>5</v>
      </c>
      <c r="P112">
        <v>16</v>
      </c>
      <c r="Q112">
        <v>120</v>
      </c>
      <c r="S112" s="11">
        <v>1000</v>
      </c>
      <c r="T112">
        <f>Flachnocken[[#This Row],[A]]*Flachnocken[[#This Row],[B]]*Flachnocken[[#This Row],[S]]*$H$1/1000</f>
        <v>0.12479999999999999</v>
      </c>
      <c r="U112">
        <f>Flachnocken_DK[[#This Row],[A]]*Flachnocken_DK[[#This Row],[B]]*Flachnocken_DK[[#This Row],[S]]*$K$1/1000</f>
        <v>0.12479999999999999</v>
      </c>
      <c r="V112">
        <f>IF(U224,Gew_FL[[#This Row],[HL_Einzel]]*Flachnocken[[#This Row],[STK_Auswahl]],0)</f>
        <v>0</v>
      </c>
      <c r="W112">
        <f>IF(H516,Gew_FL[[#This Row],[DK_Einzel]]*Flachnocken_DK[[#This Row],[DK_STK]],0)</f>
        <v>0</v>
      </c>
    </row>
    <row r="113" spans="2:23">
      <c r="B113" s="13">
        <v>1200</v>
      </c>
      <c r="C113">
        <v>40</v>
      </c>
      <c r="D113">
        <v>40</v>
      </c>
      <c r="E113">
        <v>10</v>
      </c>
      <c r="F113">
        <v>5</v>
      </c>
      <c r="G113">
        <v>8</v>
      </c>
      <c r="H113">
        <v>8</v>
      </c>
      <c r="I113" s="54">
        <f>IF($F$1="leicht",Flachnocken[[#This Row],[leicht_STK]],IF($F$1="schwer",Flachnocken[[#This Row],[schwer_STK]]))</f>
        <v>8</v>
      </c>
      <c r="K113" s="13">
        <v>1200</v>
      </c>
      <c r="L113">
        <v>40</v>
      </c>
      <c r="M113">
        <v>40</v>
      </c>
      <c r="N113">
        <v>10</v>
      </c>
      <c r="O113">
        <v>5</v>
      </c>
      <c r="P113">
        <v>16</v>
      </c>
      <c r="Q113">
        <v>120</v>
      </c>
      <c r="S113" s="13">
        <v>1200</v>
      </c>
      <c r="T113">
        <f>Flachnocken[[#This Row],[A]]*Flachnocken[[#This Row],[B]]*Flachnocken[[#This Row],[S]]*$H$1/1000</f>
        <v>0.12479999999999999</v>
      </c>
      <c r="U113">
        <f>Flachnocken_DK[[#This Row],[A]]*Flachnocken_DK[[#This Row],[B]]*Flachnocken_DK[[#This Row],[S]]*$K$1/1000</f>
        <v>0.12479999999999999</v>
      </c>
      <c r="V113">
        <f>IF(U225,Gew_FL[[#This Row],[HL_Einzel]]*Flachnocken[[#This Row],[STK_Auswahl]],0)</f>
        <v>0</v>
      </c>
      <c r="W113">
        <f>IF(H517,Gew_FL[[#This Row],[DK_Einzel]]*Flachnocken_DK[[#This Row],[DK_STK]],0)</f>
        <v>0</v>
      </c>
    </row>
    <row r="116" spans="2:23">
      <c r="B116" t="s">
        <v>111</v>
      </c>
      <c r="K116" t="s">
        <v>280</v>
      </c>
      <c r="S116" t="s">
        <v>794</v>
      </c>
      <c r="T116" t="s">
        <v>802</v>
      </c>
      <c r="U116" t="s">
        <v>801</v>
      </c>
    </row>
    <row r="117" spans="2:23">
      <c r="B117" s="15" t="s">
        <v>89</v>
      </c>
      <c r="C117" t="s">
        <v>380</v>
      </c>
      <c r="D117" t="s">
        <v>381</v>
      </c>
      <c r="E117" t="s">
        <v>109</v>
      </c>
      <c r="F117" t="s">
        <v>110</v>
      </c>
      <c r="G117" s="16" t="s">
        <v>265</v>
      </c>
      <c r="H117" t="s">
        <v>266</v>
      </c>
      <c r="I117" s="59" t="s">
        <v>382</v>
      </c>
      <c r="K117" s="15" t="s">
        <v>89</v>
      </c>
      <c r="L117" t="s">
        <v>281</v>
      </c>
      <c r="M117" t="s">
        <v>109</v>
      </c>
      <c r="N117" t="s">
        <v>110</v>
      </c>
      <c r="O117" s="16" t="s">
        <v>265</v>
      </c>
      <c r="P117" t="s">
        <v>266</v>
      </c>
      <c r="S117" s="15" t="s">
        <v>89</v>
      </c>
      <c r="T117" t="s">
        <v>614</v>
      </c>
      <c r="U117" t="s">
        <v>602</v>
      </c>
    </row>
    <row r="118" spans="2:23">
      <c r="B118" s="11">
        <v>15</v>
      </c>
      <c r="C118">
        <v>50</v>
      </c>
      <c r="D118">
        <v>50</v>
      </c>
      <c r="E118">
        <v>30</v>
      </c>
      <c r="F118">
        <v>20</v>
      </c>
      <c r="G118" s="12">
        <v>100</v>
      </c>
      <c r="H118">
        <v>8</v>
      </c>
      <c r="I118" s="60">
        <f>IF($F$1="leicht",Axialstopp[[#This Row],[leicht_Laenge]],IF($F$1="schwer",Axialstopp[[#This Row],[schwer_Laenge]]))</f>
        <v>50</v>
      </c>
      <c r="K118" s="11">
        <v>15</v>
      </c>
      <c r="L118" s="71">
        <v>140</v>
      </c>
      <c r="M118" s="72">
        <v>30</v>
      </c>
      <c r="N118" s="71">
        <v>20</v>
      </c>
      <c r="O118" s="73">
        <v>100</v>
      </c>
      <c r="P118" s="71">
        <v>8</v>
      </c>
      <c r="S118" s="11">
        <v>15</v>
      </c>
      <c r="T118">
        <f>IF(T202,Axialstopp[[#This Row],[L_Auswahl]]*Axialstopp[[#This Row],[H]]*Axialstopp[[#This Row],[W]]*2*$H$1/1000,0)</f>
        <v>0</v>
      </c>
      <c r="U118">
        <f>IF(G494,Axialstopp_DK[[#This Row],[L_DK]]*Axialstopp_DK[[#This Row],[W]]*Axialstopp_DK[[#This Row],[H]]*$K$1*2/1000,0)</f>
        <v>0</v>
      </c>
    </row>
    <row r="119" spans="2:23">
      <c r="B119" s="13">
        <v>20</v>
      </c>
      <c r="C119">
        <v>50</v>
      </c>
      <c r="D119">
        <v>50</v>
      </c>
      <c r="E119">
        <v>30</v>
      </c>
      <c r="F119">
        <v>20</v>
      </c>
      <c r="G119" s="14">
        <v>100</v>
      </c>
      <c r="H119">
        <v>8</v>
      </c>
      <c r="I119" s="61">
        <f>IF($F$1="leicht",Axialstopp[[#This Row],[leicht_Laenge]],IF($F$1="schwer",Axialstopp[[#This Row],[schwer_Laenge]]))</f>
        <v>50</v>
      </c>
      <c r="K119" s="13">
        <v>20</v>
      </c>
      <c r="L119">
        <v>140</v>
      </c>
      <c r="M119" s="13">
        <v>30</v>
      </c>
      <c r="N119">
        <v>20</v>
      </c>
      <c r="O119" s="14">
        <v>100</v>
      </c>
      <c r="P119">
        <v>8</v>
      </c>
      <c r="S119" s="13">
        <v>20</v>
      </c>
      <c r="T119">
        <f>IF(T203,Axialstopp[[#This Row],[L_Auswahl]]*Axialstopp[[#This Row],[H]]*Axialstopp[[#This Row],[W]]*2*$H$1/1000,0)</f>
        <v>0</v>
      </c>
      <c r="U119">
        <f>IF(G495,Axialstopp_DK[[#This Row],[L_DK]]*Axialstopp_DK[[#This Row],[W]]*Axialstopp_DK[[#This Row],[H]]*$K$1*2/1000,0)</f>
        <v>0</v>
      </c>
    </row>
    <row r="120" spans="2:23">
      <c r="B120" s="11">
        <v>25</v>
      </c>
      <c r="C120">
        <v>50</v>
      </c>
      <c r="D120">
        <v>50</v>
      </c>
      <c r="E120">
        <v>30</v>
      </c>
      <c r="F120">
        <v>20</v>
      </c>
      <c r="G120" s="12">
        <v>100</v>
      </c>
      <c r="H120">
        <v>8</v>
      </c>
      <c r="I120" s="62">
        <f>IF($F$1="leicht",Axialstopp[[#This Row],[leicht_Laenge]],IF($F$1="schwer",Axialstopp[[#This Row],[schwer_Laenge]]))</f>
        <v>50</v>
      </c>
      <c r="K120" s="11">
        <v>25</v>
      </c>
      <c r="L120">
        <v>140</v>
      </c>
      <c r="M120" s="11">
        <v>30</v>
      </c>
      <c r="N120">
        <v>20</v>
      </c>
      <c r="O120" s="12">
        <v>100</v>
      </c>
      <c r="P120">
        <v>8</v>
      </c>
      <c r="S120" s="11">
        <v>25</v>
      </c>
      <c r="T120">
        <f>IF(T204,Axialstopp[[#This Row],[L_Auswahl]]*Axialstopp[[#This Row],[H]]*Axialstopp[[#This Row],[W]]*2*$H$1/1000,0)</f>
        <v>0</v>
      </c>
      <c r="U120">
        <f>IF(G496,Axialstopp_DK[[#This Row],[L_DK]]*Axialstopp_DK[[#This Row],[W]]*Axialstopp_DK[[#This Row],[H]]*$K$1*2/1000,0)</f>
        <v>0</v>
      </c>
    </row>
    <row r="121" spans="2:23">
      <c r="B121" s="13">
        <v>32</v>
      </c>
      <c r="C121">
        <v>50</v>
      </c>
      <c r="D121">
        <v>50</v>
      </c>
      <c r="E121">
        <v>30</v>
      </c>
      <c r="F121">
        <v>20</v>
      </c>
      <c r="G121" s="14">
        <v>100</v>
      </c>
      <c r="H121">
        <v>8</v>
      </c>
      <c r="I121" s="61">
        <f>IF($F$1="leicht",Axialstopp[[#This Row],[leicht_Laenge]],IF($F$1="schwer",Axialstopp[[#This Row],[schwer_Laenge]]))</f>
        <v>50</v>
      </c>
      <c r="K121" s="13">
        <v>32</v>
      </c>
      <c r="L121">
        <v>140</v>
      </c>
      <c r="M121" s="13">
        <v>30</v>
      </c>
      <c r="N121">
        <v>20</v>
      </c>
      <c r="O121" s="14">
        <v>100</v>
      </c>
      <c r="P121">
        <v>8</v>
      </c>
      <c r="S121" s="13">
        <v>32</v>
      </c>
      <c r="T121">
        <f>IF(T205,Axialstopp[[#This Row],[L_Auswahl]]*Axialstopp[[#This Row],[H]]*Axialstopp[[#This Row],[W]]*2*$H$1/1000,0)</f>
        <v>0</v>
      </c>
      <c r="U121">
        <f>IF(G497,Axialstopp_DK[[#This Row],[L_DK]]*Axialstopp_DK[[#This Row],[W]]*Axialstopp_DK[[#This Row],[H]]*$K$1*2/1000,0)</f>
        <v>0</v>
      </c>
    </row>
    <row r="122" spans="2:23">
      <c r="B122" s="11">
        <v>40</v>
      </c>
      <c r="C122">
        <v>50</v>
      </c>
      <c r="D122">
        <v>50</v>
      </c>
      <c r="E122">
        <v>30</v>
      </c>
      <c r="F122">
        <v>20</v>
      </c>
      <c r="G122" s="12">
        <v>100</v>
      </c>
      <c r="H122">
        <v>8</v>
      </c>
      <c r="I122" s="62">
        <f>IF($F$1="leicht",Axialstopp[[#This Row],[leicht_Laenge]],IF($F$1="schwer",Axialstopp[[#This Row],[schwer_Laenge]]))</f>
        <v>50</v>
      </c>
      <c r="K122" s="11">
        <v>40</v>
      </c>
      <c r="L122">
        <v>140</v>
      </c>
      <c r="M122" s="11">
        <v>30</v>
      </c>
      <c r="N122">
        <v>20</v>
      </c>
      <c r="O122" s="12">
        <v>100</v>
      </c>
      <c r="P122">
        <v>8</v>
      </c>
      <c r="S122" s="11">
        <v>40</v>
      </c>
      <c r="T122">
        <f>IF(T206,Axialstopp[[#This Row],[L_Auswahl]]*Axialstopp[[#This Row],[H]]*Axialstopp[[#This Row],[W]]*2*$H$1/1000,0)</f>
        <v>0</v>
      </c>
      <c r="U122">
        <f>IF(G498,Axialstopp_DK[[#This Row],[L_DK]]*Axialstopp_DK[[#This Row],[W]]*Axialstopp_DK[[#This Row],[H]]*$K$1*2/1000,0)</f>
        <v>0</v>
      </c>
    </row>
    <row r="123" spans="2:23">
      <c r="B123" s="13">
        <v>50</v>
      </c>
      <c r="C123">
        <v>50</v>
      </c>
      <c r="D123">
        <v>50</v>
      </c>
      <c r="E123">
        <v>30</v>
      </c>
      <c r="F123">
        <v>20</v>
      </c>
      <c r="G123" s="14">
        <v>100</v>
      </c>
      <c r="H123">
        <v>8</v>
      </c>
      <c r="I123" s="61">
        <f>IF($F$1="leicht",Axialstopp[[#This Row],[leicht_Laenge]],IF($F$1="schwer",Axialstopp[[#This Row],[schwer_Laenge]]))</f>
        <v>50</v>
      </c>
      <c r="K123" s="13">
        <v>50</v>
      </c>
      <c r="L123">
        <v>140</v>
      </c>
      <c r="M123" s="13">
        <v>30</v>
      </c>
      <c r="N123">
        <v>20</v>
      </c>
      <c r="O123" s="14">
        <v>100</v>
      </c>
      <c r="P123">
        <v>8</v>
      </c>
      <c r="S123" s="13">
        <v>50</v>
      </c>
      <c r="T123">
        <f>IF(T207,Axialstopp[[#This Row],[L_Auswahl]]*Axialstopp[[#This Row],[H]]*Axialstopp[[#This Row],[W]]*2*$H$1/1000,0)</f>
        <v>0</v>
      </c>
      <c r="U123">
        <f>IF(G499,Axialstopp_DK[[#This Row],[L_DK]]*Axialstopp_DK[[#This Row],[W]]*Axialstopp_DK[[#This Row],[H]]*$K$1*2/1000,0)</f>
        <v>0</v>
      </c>
    </row>
    <row r="124" spans="2:23">
      <c r="B124" s="11">
        <v>65</v>
      </c>
      <c r="C124">
        <v>50</v>
      </c>
      <c r="D124">
        <v>50</v>
      </c>
      <c r="E124">
        <v>30</v>
      </c>
      <c r="F124">
        <v>20</v>
      </c>
      <c r="G124" s="12">
        <v>100</v>
      </c>
      <c r="H124">
        <v>8</v>
      </c>
      <c r="I124" s="62">
        <f>IF($F$1="leicht",Axialstopp[[#This Row],[leicht_Laenge]],IF($F$1="schwer",Axialstopp[[#This Row],[schwer_Laenge]]))</f>
        <v>50</v>
      </c>
      <c r="K124" s="11">
        <v>65</v>
      </c>
      <c r="L124">
        <v>140</v>
      </c>
      <c r="M124" s="11">
        <v>30</v>
      </c>
      <c r="N124">
        <v>20</v>
      </c>
      <c r="O124" s="12">
        <v>100</v>
      </c>
      <c r="P124">
        <v>8</v>
      </c>
      <c r="S124" s="11">
        <v>65</v>
      </c>
      <c r="T124">
        <f>IF(T208,Axialstopp[[#This Row],[L_Auswahl]]*Axialstopp[[#This Row],[H]]*Axialstopp[[#This Row],[W]]*2*$H$1/1000,0)</f>
        <v>0</v>
      </c>
      <c r="U124">
        <f>IF(G500,Axialstopp_DK[[#This Row],[L_DK]]*Axialstopp_DK[[#This Row],[W]]*Axialstopp_DK[[#This Row],[H]]*$K$1*2/1000,0)</f>
        <v>0</v>
      </c>
    </row>
    <row r="125" spans="2:23">
      <c r="B125" s="13">
        <v>80</v>
      </c>
      <c r="C125">
        <v>50</v>
      </c>
      <c r="D125">
        <v>50</v>
      </c>
      <c r="E125">
        <v>30</v>
      </c>
      <c r="F125">
        <v>20</v>
      </c>
      <c r="G125" s="14">
        <v>100</v>
      </c>
      <c r="H125">
        <v>8</v>
      </c>
      <c r="I125" s="61">
        <f>IF($F$1="leicht",Axialstopp[[#This Row],[leicht_Laenge]],IF($F$1="schwer",Axialstopp[[#This Row],[schwer_Laenge]]))</f>
        <v>50</v>
      </c>
      <c r="K125" s="13">
        <v>80</v>
      </c>
      <c r="L125">
        <v>140</v>
      </c>
      <c r="M125" s="13">
        <v>30</v>
      </c>
      <c r="N125">
        <v>20</v>
      </c>
      <c r="O125" s="14">
        <v>100</v>
      </c>
      <c r="P125">
        <v>8</v>
      </c>
      <c r="S125" s="13">
        <v>80</v>
      </c>
      <c r="T125">
        <f>IF(T209,Axialstopp[[#This Row],[L_Auswahl]]*Axialstopp[[#This Row],[H]]*Axialstopp[[#This Row],[W]]*2*$H$1/1000,0)</f>
        <v>0</v>
      </c>
      <c r="U125">
        <f>IF(G501,Axialstopp_DK[[#This Row],[L_DK]]*Axialstopp_DK[[#This Row],[W]]*Axialstopp_DK[[#This Row],[H]]*$K$1*2/1000,0)</f>
        <v>0</v>
      </c>
    </row>
    <row r="126" spans="2:23">
      <c r="B126" s="11">
        <v>100</v>
      </c>
      <c r="C126">
        <v>50</v>
      </c>
      <c r="D126">
        <v>75</v>
      </c>
      <c r="E126">
        <v>30</v>
      </c>
      <c r="F126">
        <v>20</v>
      </c>
      <c r="G126" s="12">
        <v>100</v>
      </c>
      <c r="H126">
        <v>8</v>
      </c>
      <c r="I126" s="62">
        <f>IF($F$1="leicht",Axialstopp[[#This Row],[leicht_Laenge]],IF($F$1="schwer",Axialstopp[[#This Row],[schwer_Laenge]]))</f>
        <v>75</v>
      </c>
      <c r="K126" s="11">
        <v>100</v>
      </c>
      <c r="L126">
        <v>140</v>
      </c>
      <c r="M126" s="11">
        <v>30</v>
      </c>
      <c r="N126">
        <v>20</v>
      </c>
      <c r="O126" s="12">
        <v>100</v>
      </c>
      <c r="P126">
        <v>8</v>
      </c>
      <c r="S126" s="11">
        <v>100</v>
      </c>
      <c r="T126">
        <f>IF(T210,Axialstopp[[#This Row],[L_Auswahl]]*Axialstopp[[#This Row],[H]]*Axialstopp[[#This Row],[W]]*2*$H$1/1000,0)</f>
        <v>0</v>
      </c>
      <c r="U126">
        <f>IF(G502,Axialstopp_DK[[#This Row],[L_DK]]*Axialstopp_DK[[#This Row],[W]]*Axialstopp_DK[[#This Row],[H]]*$K$1*2/1000,0)</f>
        <v>0</v>
      </c>
    </row>
    <row r="127" spans="2:23">
      <c r="B127" s="13">
        <v>125</v>
      </c>
      <c r="C127">
        <v>50</v>
      </c>
      <c r="D127">
        <v>75</v>
      </c>
      <c r="E127">
        <v>30</v>
      </c>
      <c r="F127">
        <v>20</v>
      </c>
      <c r="G127" s="14">
        <v>100</v>
      </c>
      <c r="H127">
        <v>8</v>
      </c>
      <c r="I127" s="61">
        <f>IF($F$1="leicht",Axialstopp[[#This Row],[leicht_Laenge]],IF($F$1="schwer",Axialstopp[[#This Row],[schwer_Laenge]]))</f>
        <v>75</v>
      </c>
      <c r="K127" s="13">
        <v>125</v>
      </c>
      <c r="L127">
        <v>365</v>
      </c>
      <c r="M127" s="13">
        <v>30</v>
      </c>
      <c r="N127">
        <v>20</v>
      </c>
      <c r="O127" s="14">
        <v>100</v>
      </c>
      <c r="P127">
        <v>8</v>
      </c>
      <c r="S127" s="13">
        <v>125</v>
      </c>
      <c r="T127">
        <f>IF(T211,Axialstopp[[#This Row],[L_Auswahl]]*Axialstopp[[#This Row],[H]]*Axialstopp[[#This Row],[W]]*2*$H$1/1000,0)</f>
        <v>0</v>
      </c>
      <c r="U127">
        <f>IF(G503,Axialstopp_DK[[#This Row],[L_DK]]*Axialstopp_DK[[#This Row],[W]]*Axialstopp_DK[[#This Row],[H]]*$K$1*2/1000,0)</f>
        <v>0</v>
      </c>
    </row>
    <row r="128" spans="2:23">
      <c r="B128" s="11">
        <v>150</v>
      </c>
      <c r="C128">
        <v>50</v>
      </c>
      <c r="D128">
        <v>75</v>
      </c>
      <c r="E128">
        <v>30</v>
      </c>
      <c r="F128">
        <v>20</v>
      </c>
      <c r="G128" s="12">
        <v>100</v>
      </c>
      <c r="H128">
        <v>8</v>
      </c>
      <c r="I128" s="62">
        <f>IF($F$1="leicht",Axialstopp[[#This Row],[leicht_Laenge]],IF($F$1="schwer",Axialstopp[[#This Row],[schwer_Laenge]]))</f>
        <v>75</v>
      </c>
      <c r="K128" s="11">
        <v>150</v>
      </c>
      <c r="L128">
        <v>380</v>
      </c>
      <c r="M128" s="11">
        <v>30</v>
      </c>
      <c r="N128">
        <v>20</v>
      </c>
      <c r="O128" s="12">
        <v>100</v>
      </c>
      <c r="P128">
        <v>8</v>
      </c>
      <c r="S128" s="11">
        <v>150</v>
      </c>
      <c r="T128">
        <f>IF(T212,Axialstopp[[#This Row],[L_Auswahl]]*Axialstopp[[#This Row],[H]]*Axialstopp[[#This Row],[W]]*2*$H$1/1000,0)</f>
        <v>0</v>
      </c>
      <c r="U128">
        <f>IF(G504,Axialstopp_DK[[#This Row],[L_DK]]*Axialstopp_DK[[#This Row],[W]]*Axialstopp_DK[[#This Row],[H]]*$K$1*2/1000,0)</f>
        <v>0</v>
      </c>
    </row>
    <row r="129" spans="2:35">
      <c r="B129" s="13">
        <v>200</v>
      </c>
      <c r="C129">
        <v>75</v>
      </c>
      <c r="D129">
        <v>75</v>
      </c>
      <c r="E129">
        <v>30</v>
      </c>
      <c r="F129">
        <v>20</v>
      </c>
      <c r="G129" s="14">
        <v>100</v>
      </c>
      <c r="H129">
        <v>8</v>
      </c>
      <c r="I129" s="61">
        <f>IF($F$1="leicht",Axialstopp[[#This Row],[leicht_Laenge]],IF($F$1="schwer",Axialstopp[[#This Row],[schwer_Laenge]]))</f>
        <v>75</v>
      </c>
      <c r="K129" s="13">
        <v>200</v>
      </c>
      <c r="L129">
        <v>410</v>
      </c>
      <c r="M129" s="13">
        <v>30</v>
      </c>
      <c r="N129">
        <v>20</v>
      </c>
      <c r="O129" s="14">
        <v>100</v>
      </c>
      <c r="P129">
        <v>8</v>
      </c>
      <c r="S129" s="13">
        <v>200</v>
      </c>
      <c r="T129">
        <f>IF(T213,Axialstopp[[#This Row],[L_Auswahl]]*Axialstopp[[#This Row],[H]]*Axialstopp[[#This Row],[W]]*2*$H$1/1000,0)</f>
        <v>0</v>
      </c>
      <c r="U129">
        <f>IF(G505,Axialstopp_DK[[#This Row],[L_DK]]*Axialstopp_DK[[#This Row],[W]]*Axialstopp_DK[[#This Row],[H]]*$K$1*2/1000,0)</f>
        <v>0</v>
      </c>
    </row>
    <row r="130" spans="2:35">
      <c r="B130" s="11">
        <v>250</v>
      </c>
      <c r="C130">
        <v>75</v>
      </c>
      <c r="D130">
        <v>90</v>
      </c>
      <c r="E130">
        <v>30</v>
      </c>
      <c r="F130">
        <v>20</v>
      </c>
      <c r="G130" s="12">
        <v>100</v>
      </c>
      <c r="H130">
        <v>8</v>
      </c>
      <c r="I130" s="62">
        <f>IF($F$1="leicht",Axialstopp[[#This Row],[leicht_Laenge]],IF($F$1="schwer",Axialstopp[[#This Row],[schwer_Laenge]]))</f>
        <v>90</v>
      </c>
      <c r="K130" s="11">
        <v>250</v>
      </c>
      <c r="L130">
        <v>435</v>
      </c>
      <c r="M130" s="11">
        <v>30</v>
      </c>
      <c r="N130">
        <v>20</v>
      </c>
      <c r="O130" s="12">
        <v>100</v>
      </c>
      <c r="P130">
        <v>8</v>
      </c>
      <c r="S130" s="11">
        <v>250</v>
      </c>
      <c r="T130">
        <f>IF(T214,Axialstopp[[#This Row],[L_Auswahl]]*Axialstopp[[#This Row],[H]]*Axialstopp[[#This Row],[W]]*2*$H$1/1000,0)</f>
        <v>0</v>
      </c>
      <c r="U130">
        <f>IF(G506,Axialstopp_DK[[#This Row],[L_DK]]*Axialstopp_DK[[#This Row],[W]]*Axialstopp_DK[[#This Row],[H]]*$K$1*2/1000,0)</f>
        <v>0</v>
      </c>
    </row>
    <row r="131" spans="2:35">
      <c r="B131" s="13">
        <v>300</v>
      </c>
      <c r="C131">
        <v>75</v>
      </c>
      <c r="D131">
        <v>120</v>
      </c>
      <c r="E131">
        <v>30</v>
      </c>
      <c r="F131">
        <v>20</v>
      </c>
      <c r="G131" s="14">
        <v>100</v>
      </c>
      <c r="H131">
        <v>8</v>
      </c>
      <c r="I131" s="61">
        <f>IF($F$1="leicht",Axialstopp[[#This Row],[leicht_Laenge]],IF($F$1="schwer",Axialstopp[[#This Row],[schwer_Laenge]]))</f>
        <v>120</v>
      </c>
      <c r="K131" s="13">
        <v>300</v>
      </c>
      <c r="L131">
        <v>480</v>
      </c>
      <c r="M131" s="13">
        <v>30</v>
      </c>
      <c r="N131">
        <v>20</v>
      </c>
      <c r="O131" s="14">
        <v>100</v>
      </c>
      <c r="P131">
        <v>8</v>
      </c>
      <c r="S131" s="13">
        <v>300</v>
      </c>
      <c r="T131">
        <f>IF(T215,Axialstopp[[#This Row],[L_Auswahl]]*Axialstopp[[#This Row],[H]]*Axialstopp[[#This Row],[W]]*2*$H$1/1000,0)</f>
        <v>0</v>
      </c>
      <c r="U131">
        <f>IF(G507,Axialstopp_DK[[#This Row],[L_DK]]*Axialstopp_DK[[#This Row],[W]]*Axialstopp_DK[[#This Row],[H]]*$K$1*2/1000,0)</f>
        <v>0</v>
      </c>
    </row>
    <row r="132" spans="2:35">
      <c r="B132" s="11">
        <v>350</v>
      </c>
      <c r="C132">
        <v>75</v>
      </c>
      <c r="D132">
        <v>120</v>
      </c>
      <c r="E132">
        <v>30</v>
      </c>
      <c r="F132">
        <v>20</v>
      </c>
      <c r="G132" s="12">
        <v>100</v>
      </c>
      <c r="H132">
        <v>8</v>
      </c>
      <c r="I132" s="62">
        <f>IF($F$1="leicht",Axialstopp[[#This Row],[leicht_Laenge]],IF($F$1="schwer",Axialstopp[[#This Row],[schwer_Laenge]]))</f>
        <v>120</v>
      </c>
      <c r="K132" s="11">
        <v>350</v>
      </c>
      <c r="L132">
        <v>495</v>
      </c>
      <c r="M132" s="11">
        <v>30</v>
      </c>
      <c r="N132">
        <v>20</v>
      </c>
      <c r="O132" s="12">
        <v>100</v>
      </c>
      <c r="P132">
        <v>8</v>
      </c>
      <c r="S132" s="11">
        <v>350</v>
      </c>
      <c r="T132">
        <f>IF(T216,Axialstopp[[#This Row],[L_Auswahl]]*Axialstopp[[#This Row],[H]]*Axialstopp[[#This Row],[W]]*2*$H$1/1000,0)</f>
        <v>0</v>
      </c>
      <c r="U132">
        <f>IF(G508,Axialstopp_DK[[#This Row],[L_DK]]*Axialstopp_DK[[#This Row],[W]]*Axialstopp_DK[[#This Row],[H]]*$K$1*2/1000,0)</f>
        <v>0</v>
      </c>
    </row>
    <row r="133" spans="2:35">
      <c r="B133" s="13">
        <v>400</v>
      </c>
      <c r="C133">
        <v>100</v>
      </c>
      <c r="D133">
        <v>150</v>
      </c>
      <c r="E133">
        <v>30</v>
      </c>
      <c r="F133">
        <v>20</v>
      </c>
      <c r="G133" s="14">
        <v>100</v>
      </c>
      <c r="H133">
        <v>8</v>
      </c>
      <c r="I133" s="61">
        <f>IF($F$1="leicht",Axialstopp[[#This Row],[leicht_Laenge]],IF($F$1="schwer",Axialstopp[[#This Row],[schwer_Laenge]]))</f>
        <v>150</v>
      </c>
      <c r="K133" s="13">
        <v>400</v>
      </c>
      <c r="L133">
        <v>525</v>
      </c>
      <c r="M133" s="13">
        <v>30</v>
      </c>
      <c r="N133">
        <v>20</v>
      </c>
      <c r="O133" s="14">
        <v>100</v>
      </c>
      <c r="P133">
        <v>8</v>
      </c>
      <c r="S133" s="13">
        <v>400</v>
      </c>
      <c r="T133">
        <f>IF(T217,Axialstopp[[#This Row],[L_Auswahl]]*Axialstopp[[#This Row],[H]]*Axialstopp[[#This Row],[W]]*2*$H$1/1000,0)</f>
        <v>0</v>
      </c>
      <c r="U133">
        <f>IF(G509,Axialstopp_DK[[#This Row],[L_DK]]*Axialstopp_DK[[#This Row],[W]]*Axialstopp_DK[[#This Row],[H]]*$K$1*2/1000,0)</f>
        <v>0</v>
      </c>
    </row>
    <row r="134" spans="2:35">
      <c r="B134" s="11">
        <v>450</v>
      </c>
      <c r="C134">
        <v>100</v>
      </c>
      <c r="D134">
        <v>175</v>
      </c>
      <c r="E134">
        <v>30</v>
      </c>
      <c r="F134">
        <v>20</v>
      </c>
      <c r="G134" s="12">
        <v>100</v>
      </c>
      <c r="H134">
        <v>8</v>
      </c>
      <c r="I134" s="62">
        <f>IF($F$1="leicht",Axialstopp[[#This Row],[leicht_Laenge]],IF($F$1="schwer",Axialstopp[[#This Row],[schwer_Laenge]]))</f>
        <v>175</v>
      </c>
      <c r="K134" s="11">
        <v>450</v>
      </c>
      <c r="L134">
        <v>0</v>
      </c>
      <c r="M134" s="11">
        <v>0</v>
      </c>
      <c r="N134">
        <v>0</v>
      </c>
      <c r="O134" s="12">
        <v>0</v>
      </c>
      <c r="P134">
        <v>0</v>
      </c>
      <c r="S134" s="11">
        <v>450</v>
      </c>
      <c r="T134">
        <f>IF(T218,Axialstopp[[#This Row],[L_Auswahl]]*Axialstopp[[#This Row],[H]]*Axialstopp[[#This Row],[W]]*2*$H$1/1000,0)</f>
        <v>0</v>
      </c>
      <c r="U134">
        <f>IF(G510,Axialstopp_DK[[#This Row],[L_DK]]*Axialstopp_DK[[#This Row],[W]]*Axialstopp_DK[[#This Row],[H]]*$K$1*2/1000,0)</f>
        <v>0</v>
      </c>
    </row>
    <row r="135" spans="2:35">
      <c r="B135" s="13">
        <v>500</v>
      </c>
      <c r="C135">
        <v>125</v>
      </c>
      <c r="D135">
        <v>200</v>
      </c>
      <c r="E135">
        <v>30</v>
      </c>
      <c r="F135">
        <v>20</v>
      </c>
      <c r="G135" s="14">
        <v>100</v>
      </c>
      <c r="H135">
        <v>8</v>
      </c>
      <c r="I135" s="61">
        <f>IF($F$1="leicht",Axialstopp[[#This Row],[leicht_Laenge]],IF($F$1="schwer",Axialstopp[[#This Row],[schwer_Laenge]]))</f>
        <v>200</v>
      </c>
      <c r="K135" s="13">
        <v>500</v>
      </c>
      <c r="L135">
        <v>560</v>
      </c>
      <c r="M135" s="13">
        <v>30</v>
      </c>
      <c r="N135">
        <v>20</v>
      </c>
      <c r="O135" s="14">
        <v>100</v>
      </c>
      <c r="P135">
        <v>8</v>
      </c>
      <c r="S135" s="13">
        <v>500</v>
      </c>
      <c r="T135">
        <f>IF(T219,Axialstopp[[#This Row],[L_Auswahl]]*Axialstopp[[#This Row],[H]]*Axialstopp[[#This Row],[W]]*2*$H$1/1000,0)</f>
        <v>0</v>
      </c>
      <c r="U135">
        <f>IF(G511,Axialstopp_DK[[#This Row],[L_DK]]*Axialstopp_DK[[#This Row],[W]]*Axialstopp_DK[[#This Row],[H]]*$K$1*2/1000,0)</f>
        <v>0</v>
      </c>
    </row>
    <row r="136" spans="2:35">
      <c r="B136" s="11">
        <v>600</v>
      </c>
      <c r="C136">
        <v>150</v>
      </c>
      <c r="D136">
        <v>225</v>
      </c>
      <c r="E136">
        <v>50</v>
      </c>
      <c r="F136">
        <v>20</v>
      </c>
      <c r="G136" s="12">
        <v>100</v>
      </c>
      <c r="H136">
        <v>8</v>
      </c>
      <c r="I136" s="62">
        <f>IF($F$1="leicht",Axialstopp[[#This Row],[leicht_Laenge]],IF($F$1="schwer",Axialstopp[[#This Row],[schwer_Laenge]]))</f>
        <v>225</v>
      </c>
      <c r="K136" s="11">
        <v>600</v>
      </c>
      <c r="L136">
        <v>700</v>
      </c>
      <c r="M136">
        <v>70</v>
      </c>
      <c r="N136">
        <v>20</v>
      </c>
      <c r="O136" s="12">
        <v>100</v>
      </c>
      <c r="P136">
        <v>8</v>
      </c>
      <c r="S136" s="11">
        <v>600</v>
      </c>
      <c r="T136">
        <f>IF(T220,Axialstopp[[#This Row],[L_Auswahl]]*Axialstopp[[#This Row],[H]]*Axialstopp[[#This Row],[W]]*2*$H$1/1000,0)</f>
        <v>0</v>
      </c>
      <c r="U136">
        <f>IF(G512,Axialstopp_DK[[#This Row],[L_DK]]*Axialstopp_DK[[#This Row],[W]]*Axialstopp_DK[[#This Row],[H]]*$K$1*2/1000,0)</f>
        <v>0</v>
      </c>
    </row>
    <row r="137" spans="2:35">
      <c r="B137" s="13">
        <v>700</v>
      </c>
      <c r="C137">
        <v>150</v>
      </c>
      <c r="D137">
        <v>225</v>
      </c>
      <c r="E137">
        <v>50</v>
      </c>
      <c r="F137">
        <v>20</v>
      </c>
      <c r="G137" s="14">
        <v>100</v>
      </c>
      <c r="H137">
        <v>8</v>
      </c>
      <c r="I137" s="61">
        <f>IF($F$1="leicht",Axialstopp[[#This Row],[leicht_Laenge]],IF($F$1="schwer",Axialstopp[[#This Row],[schwer_Laenge]]))</f>
        <v>225</v>
      </c>
      <c r="K137" s="13">
        <v>700</v>
      </c>
      <c r="L137">
        <v>730</v>
      </c>
      <c r="M137">
        <v>70</v>
      </c>
      <c r="N137">
        <v>20</v>
      </c>
      <c r="O137" s="14">
        <v>100</v>
      </c>
      <c r="P137">
        <v>8</v>
      </c>
      <c r="S137" s="13">
        <v>700</v>
      </c>
      <c r="T137">
        <f>IF(T221,Axialstopp[[#This Row],[L_Auswahl]]*Axialstopp[[#This Row],[H]]*Axialstopp[[#This Row],[W]]*2*$H$1/1000,0)</f>
        <v>0</v>
      </c>
      <c r="U137">
        <f>IF(G513,Axialstopp_DK[[#This Row],[L_DK]]*Axialstopp_DK[[#This Row],[W]]*Axialstopp_DK[[#This Row],[H]]*$K$1*2/1000,0)</f>
        <v>0</v>
      </c>
    </row>
    <row r="138" spans="2:35">
      <c r="B138" s="11">
        <v>800</v>
      </c>
      <c r="C138">
        <v>200</v>
      </c>
      <c r="D138">
        <v>300</v>
      </c>
      <c r="E138">
        <v>50</v>
      </c>
      <c r="F138">
        <v>20</v>
      </c>
      <c r="G138" s="12">
        <v>100</v>
      </c>
      <c r="H138">
        <v>8</v>
      </c>
      <c r="I138" s="62">
        <f>IF($F$1="leicht",Axialstopp[[#This Row],[leicht_Laenge]],IF($F$1="schwer",Axialstopp[[#This Row],[schwer_Laenge]]))</f>
        <v>300</v>
      </c>
      <c r="K138" s="11">
        <v>800</v>
      </c>
      <c r="L138">
        <v>760</v>
      </c>
      <c r="M138">
        <v>70</v>
      </c>
      <c r="N138">
        <v>20</v>
      </c>
      <c r="O138" s="12">
        <v>100</v>
      </c>
      <c r="P138">
        <v>8</v>
      </c>
      <c r="S138" s="11">
        <v>800</v>
      </c>
      <c r="T138">
        <f>IF(T222,Axialstopp[[#This Row],[L_Auswahl]]*Axialstopp[[#This Row],[H]]*Axialstopp[[#This Row],[W]]*2*$H$1/1000,0)</f>
        <v>0</v>
      </c>
      <c r="U138">
        <f>IF(G514,Axialstopp_DK[[#This Row],[L_DK]]*Axialstopp_DK[[#This Row],[W]]*Axialstopp_DK[[#This Row],[H]]*$K$1*2/1000,0)</f>
        <v>0</v>
      </c>
    </row>
    <row r="139" spans="2:35">
      <c r="B139" s="13">
        <v>900</v>
      </c>
      <c r="C139">
        <v>200</v>
      </c>
      <c r="D139">
        <v>300</v>
      </c>
      <c r="E139">
        <v>50</v>
      </c>
      <c r="F139">
        <v>20</v>
      </c>
      <c r="G139" s="14">
        <v>100</v>
      </c>
      <c r="H139">
        <v>8</v>
      </c>
      <c r="I139" s="61">
        <f>IF($F$1="leicht",Axialstopp[[#This Row],[leicht_Laenge]],IF($F$1="schwer",Axialstopp[[#This Row],[schwer_Laenge]]))</f>
        <v>300</v>
      </c>
      <c r="K139" s="13">
        <v>900</v>
      </c>
      <c r="L139">
        <v>790</v>
      </c>
      <c r="M139">
        <v>70</v>
      </c>
      <c r="N139">
        <v>20</v>
      </c>
      <c r="O139" s="14">
        <v>100</v>
      </c>
      <c r="P139">
        <v>8</v>
      </c>
      <c r="S139" s="13">
        <v>900</v>
      </c>
      <c r="T139">
        <f>IF(T223,Axialstopp[[#This Row],[L_Auswahl]]*Axialstopp[[#This Row],[H]]*Axialstopp[[#This Row],[W]]*2*$H$1/1000,0)</f>
        <v>0</v>
      </c>
      <c r="U139">
        <f>IF(G515,Axialstopp_DK[[#This Row],[L_DK]]*Axialstopp_DK[[#This Row],[W]]*Axialstopp_DK[[#This Row],[H]]*$K$1*2/1000,0)</f>
        <v>0</v>
      </c>
    </row>
    <row r="140" spans="2:35">
      <c r="B140" s="11">
        <v>1000</v>
      </c>
      <c r="C140">
        <v>200</v>
      </c>
      <c r="D140">
        <v>350</v>
      </c>
      <c r="E140">
        <v>50</v>
      </c>
      <c r="F140">
        <v>20</v>
      </c>
      <c r="G140" s="12">
        <v>100</v>
      </c>
      <c r="H140">
        <v>8</v>
      </c>
      <c r="I140" s="62">
        <f>IF($F$1="leicht",Axialstopp[[#This Row],[leicht_Laenge]],IF($F$1="schwer",Axialstopp[[#This Row],[schwer_Laenge]]))</f>
        <v>350</v>
      </c>
      <c r="K140" s="11">
        <v>1000</v>
      </c>
      <c r="L140">
        <v>815</v>
      </c>
      <c r="M140">
        <v>70</v>
      </c>
      <c r="N140">
        <v>20</v>
      </c>
      <c r="O140" s="12">
        <v>100</v>
      </c>
      <c r="P140">
        <v>8</v>
      </c>
      <c r="S140" s="11">
        <v>1000</v>
      </c>
      <c r="T140">
        <f>IF(T224,Axialstopp[[#This Row],[L_Auswahl]]*Axialstopp[[#This Row],[H]]*Axialstopp[[#This Row],[W]]*2*$H$1/1000,0)</f>
        <v>0</v>
      </c>
      <c r="U140">
        <f>IF(G516,Axialstopp_DK[[#This Row],[L_DK]]*Axialstopp_DK[[#This Row],[W]]*Axialstopp_DK[[#This Row],[H]]*$K$1*2/1000,0)</f>
        <v>0</v>
      </c>
    </row>
    <row r="141" spans="2:35">
      <c r="B141" s="13">
        <v>1200</v>
      </c>
      <c r="C141">
        <v>225</v>
      </c>
      <c r="D141">
        <v>450</v>
      </c>
      <c r="E141">
        <v>50</v>
      </c>
      <c r="F141">
        <v>20</v>
      </c>
      <c r="G141" s="14">
        <v>100</v>
      </c>
      <c r="H141">
        <v>8</v>
      </c>
      <c r="I141" s="54">
        <f>IF($F$1="leicht",Axialstopp[[#This Row],[leicht_Laenge]],IF($F$1="schwer",Axialstopp[[#This Row],[schwer_Laenge]]))</f>
        <v>450</v>
      </c>
      <c r="K141" s="13">
        <v>1200</v>
      </c>
      <c r="L141">
        <v>865</v>
      </c>
      <c r="M141">
        <v>70</v>
      </c>
      <c r="N141">
        <v>20</v>
      </c>
      <c r="O141" s="14">
        <v>100</v>
      </c>
      <c r="P141">
        <v>8</v>
      </c>
      <c r="S141" s="13">
        <v>1200</v>
      </c>
      <c r="T141">
        <f>IF(T225,Axialstopp[[#This Row],[L_Auswahl]]*Axialstopp[[#This Row],[H]]*Axialstopp[[#This Row],[W]]*2*$H$1/1000,0)</f>
        <v>0</v>
      </c>
      <c r="U141">
        <f>IF(G517,Axialstopp_DK[[#This Row],[L_DK]]*Axialstopp_DK[[#This Row],[W]]*Axialstopp_DK[[#This Row],[H]]*$K$1*2/1000,0)</f>
        <v>0</v>
      </c>
    </row>
    <row r="144" spans="2:35">
      <c r="B144" t="s">
        <v>372</v>
      </c>
      <c r="H144" t="s">
        <v>244</v>
      </c>
      <c r="J144" t="s">
        <v>241</v>
      </c>
      <c r="L144" t="s">
        <v>246</v>
      </c>
      <c r="N144" t="s">
        <v>247</v>
      </c>
      <c r="Q144" t="s">
        <v>123</v>
      </c>
      <c r="Z144" t="s">
        <v>248</v>
      </c>
      <c r="AB144" t="s">
        <v>249</v>
      </c>
      <c r="AG144" t="s">
        <v>611</v>
      </c>
      <c r="AI144" t="s">
        <v>775</v>
      </c>
    </row>
    <row r="145" spans="2:45">
      <c r="B145" t="s">
        <v>89</v>
      </c>
      <c r="C145" t="s">
        <v>90</v>
      </c>
      <c r="D145" t="s">
        <v>91</v>
      </c>
      <c r="E145" t="s">
        <v>112</v>
      </c>
      <c r="F145" t="s">
        <v>109</v>
      </c>
      <c r="G145" t="s">
        <v>228</v>
      </c>
      <c r="H145" t="s">
        <v>113</v>
      </c>
      <c r="I145" t="s">
        <v>116</v>
      </c>
      <c r="J145" t="s">
        <v>117</v>
      </c>
      <c r="K145" t="s">
        <v>21</v>
      </c>
      <c r="L145" t="s">
        <v>24</v>
      </c>
      <c r="M145" t="s">
        <v>122</v>
      </c>
      <c r="N145" t="s">
        <v>242</v>
      </c>
      <c r="O145" t="s">
        <v>243</v>
      </c>
      <c r="Q145" t="s">
        <v>89</v>
      </c>
      <c r="R145" t="s">
        <v>90</v>
      </c>
      <c r="S145" t="s">
        <v>91</v>
      </c>
      <c r="T145" t="s">
        <v>112</v>
      </c>
      <c r="U145" t="s">
        <v>109</v>
      </c>
      <c r="V145" t="s">
        <v>228</v>
      </c>
      <c r="W145" t="s">
        <v>113</v>
      </c>
      <c r="X145" t="s">
        <v>116</v>
      </c>
      <c r="Y145" t="s">
        <v>117</v>
      </c>
      <c r="Z145" t="s">
        <v>21</v>
      </c>
      <c r="AA145" t="s">
        <v>24</v>
      </c>
      <c r="AB145" t="s">
        <v>122</v>
      </c>
      <c r="AC145" t="s">
        <v>242</v>
      </c>
      <c r="AD145" t="s">
        <v>243</v>
      </c>
      <c r="AI145" s="92" t="s">
        <v>89</v>
      </c>
      <c r="AJ145" s="15" t="s">
        <v>721</v>
      </c>
      <c r="AK145" s="15" t="s">
        <v>722</v>
      </c>
      <c r="AL145" s="15" t="s">
        <v>723</v>
      </c>
      <c r="AM145" s="15" t="s">
        <v>724</v>
      </c>
      <c r="AN145" s="15" t="s">
        <v>725</v>
      </c>
      <c r="AO145" s="15" t="s">
        <v>726</v>
      </c>
      <c r="AP145" s="24" t="s">
        <v>776</v>
      </c>
      <c r="AQ145" s="24" t="s">
        <v>777</v>
      </c>
      <c r="AR145" s="24" t="s">
        <v>778</v>
      </c>
      <c r="AS145" s="24" t="s">
        <v>779</v>
      </c>
    </row>
    <row r="146" spans="2:45">
      <c r="B146">
        <v>15</v>
      </c>
      <c r="C146" t="s">
        <v>58</v>
      </c>
      <c r="D146">
        <v>22</v>
      </c>
      <c r="E146">
        <v>3</v>
      </c>
      <c r="F146">
        <v>60</v>
      </c>
      <c r="G146">
        <v>6</v>
      </c>
      <c r="H146">
        <v>80</v>
      </c>
      <c r="I146" t="s">
        <v>96</v>
      </c>
      <c r="J146" t="s">
        <v>34</v>
      </c>
      <c r="K146" t="s">
        <v>114</v>
      </c>
      <c r="L146" t="s">
        <v>115</v>
      </c>
      <c r="M146" t="s">
        <v>240</v>
      </c>
      <c r="N146">
        <v>0</v>
      </c>
      <c r="O146">
        <v>0</v>
      </c>
      <c r="Q146">
        <v>15</v>
      </c>
      <c r="R146" t="str">
        <f>Prim_Supp_leicht_edel[[#This Row],[IN]]</f>
        <v>1/2”</v>
      </c>
      <c r="S146">
        <f>Prim_Supp_leicht_edel[[#This Row],[OD]]</f>
        <v>22</v>
      </c>
      <c r="T146">
        <f>Prim_Supp_leicht_edel[[#This Row],[sC]]</f>
        <v>3</v>
      </c>
      <c r="U146">
        <f>Prim_Supp_leicht_edel[[#This Row],[W]]</f>
        <v>60</v>
      </c>
      <c r="V146">
        <f>Prim_Supp_leicht_edel[[#This Row],[s_Blech]]</f>
        <v>6</v>
      </c>
      <c r="W146">
        <f>Prim_Supp_leicht_edel[[#This Row],[CL]]</f>
        <v>80</v>
      </c>
      <c r="X146" t="str">
        <f>Prim_Supp_leicht_edel[[#This Row],[GB_GS]]</f>
        <v>B</v>
      </c>
      <c r="Y146" t="str">
        <f>Prim_Supp_leicht_edel[[#This Row],[SB_SS]]</f>
        <v>C</v>
      </c>
      <c r="Z146" t="str">
        <f>Prim_Supp_leicht_edel[[#This Row],[FP]]</f>
        <v>D</v>
      </c>
      <c r="AA146" t="str">
        <f>Prim_Supp_leicht_edel[[#This Row],[PFP]]</f>
        <v>T</v>
      </c>
      <c r="AB146" t="str">
        <f>Prim_Supp_leicht_edel[[#This Row],[Ausf]]</f>
        <v>iT</v>
      </c>
      <c r="AC146">
        <f>Prim_Supp_leicht_edel[[#This Row],[U_height]]</f>
        <v>0</v>
      </c>
      <c r="AD146">
        <v>0</v>
      </c>
      <c r="AG146" t="e" cm="1">
        <f t="array" ref="AG146:AG169">Prim_Supp_leicht_edel[CL]-SQRT(POWER((Prim_Supp_leicht_edel[OD]/2)+Prim_Supp_leicht_edel[sC],2)-POWER((Prim_Supp_leicht_edel[W]/2)-Prim_Supp_leicht_edel[s_Blech],2))</f>
        <v>#NUM!</v>
      </c>
      <c r="AI146" s="87">
        <v>15</v>
      </c>
      <c r="AJ146" s="1">
        <f t="shared" ref="AJ146:AJ156" si="24">AK146</f>
        <v>0.79</v>
      </c>
      <c r="AK146">
        <v>0.79</v>
      </c>
      <c r="AL146" s="1">
        <f t="shared" ref="AL146:AL153" si="25">AM146</f>
        <v>0.85</v>
      </c>
      <c r="AM146">
        <v>0.85</v>
      </c>
      <c r="AN146" s="1">
        <f>Gew_Prim_Supp[[#This Row],[SC_Fixed]]</f>
        <v>4.8</v>
      </c>
      <c r="AO146">
        <v>4.8</v>
      </c>
      <c r="AP146">
        <f>IF($F$1="leicht",Gew_Prim_Supp[[#This Row],[Light_C]],IF($F$1="schwer",Gew_Prim_Supp[[#This Row],[Heavy_C]]))</f>
        <v>0.85</v>
      </c>
      <c r="AQ146">
        <f>IF($F$1="leicht",Gew_Prim_Supp[[#This Row],[Light_S]],IF($F$1="schwer",Gew_Prim_Supp[[#This Row],[Heavy_S]]))</f>
        <v>0.85</v>
      </c>
      <c r="AR146">
        <f>IF($B$1="Carbon",Gew_Prim_Supp[[#This Row],[HL_Carbon]],IF($B$1="Stainless",Gew_Prim_Supp[[#This Row],[HL_Stainless]]))</f>
        <v>0.85</v>
      </c>
      <c r="AS146">
        <f>IF($D$1="FP",Gew_Prim_Supp[[#This Row],[SC_Fixed]],Gew_Prim_Supp[[#This Row],[SC_Slide]])</f>
        <v>4.8</v>
      </c>
    </row>
    <row r="147" spans="2:45">
      <c r="B147">
        <v>20</v>
      </c>
      <c r="C147" t="s">
        <v>61</v>
      </c>
      <c r="D147">
        <v>27</v>
      </c>
      <c r="E147">
        <v>3</v>
      </c>
      <c r="F147">
        <v>60</v>
      </c>
      <c r="G147">
        <v>6</v>
      </c>
      <c r="H147">
        <v>82.5</v>
      </c>
      <c r="I147" t="s">
        <v>96</v>
      </c>
      <c r="J147" t="s">
        <v>34</v>
      </c>
      <c r="K147" t="s">
        <v>114</v>
      </c>
      <c r="L147" t="s">
        <v>115</v>
      </c>
      <c r="M147" t="s">
        <v>240</v>
      </c>
      <c r="N147">
        <v>0</v>
      </c>
      <c r="O147">
        <v>0</v>
      </c>
      <c r="Q147">
        <v>20</v>
      </c>
      <c r="R147" t="str">
        <f>Prim_Supp_leicht_edel[[#This Row],[IN]]</f>
        <v>3/4”</v>
      </c>
      <c r="S147">
        <f>Prim_Supp_leicht_edel[[#This Row],[OD]]</f>
        <v>27</v>
      </c>
      <c r="T147">
        <f>Prim_Supp_leicht_edel[[#This Row],[sC]]</f>
        <v>3</v>
      </c>
      <c r="U147">
        <f>Prim_Supp_leicht_edel[[#This Row],[W]]</f>
        <v>60</v>
      </c>
      <c r="V147">
        <f>Prim_Supp_leicht_edel[[#This Row],[s_Blech]]</f>
        <v>6</v>
      </c>
      <c r="W147">
        <f>Prim_Supp_leicht_edel[[#This Row],[CL]]</f>
        <v>82.5</v>
      </c>
      <c r="X147" t="str">
        <f>Prim_Supp_leicht_edel[[#This Row],[GB_GS]]</f>
        <v>B</v>
      </c>
      <c r="Y147" t="str">
        <f>Prim_Supp_leicht_edel[[#This Row],[SB_SS]]</f>
        <v>C</v>
      </c>
      <c r="Z147" t="str">
        <f>Prim_Supp_leicht_edel[[#This Row],[FP]]</f>
        <v>D</v>
      </c>
      <c r="AA147" t="str">
        <f>Prim_Supp_leicht_edel[[#This Row],[PFP]]</f>
        <v>T</v>
      </c>
      <c r="AB147" t="str">
        <f>Prim_Supp_leicht_edel[[#This Row],[Ausf]]</f>
        <v>iT</v>
      </c>
      <c r="AC147">
        <f>Prim_Supp_leicht_edel[[#This Row],[U_height]]</f>
        <v>0</v>
      </c>
      <c r="AD147">
        <v>0</v>
      </c>
      <c r="AG147" t="e">
        <v>#NUM!</v>
      </c>
      <c r="AI147" s="88">
        <v>20</v>
      </c>
      <c r="AJ147" s="1">
        <f t="shared" si="24"/>
        <v>0.8</v>
      </c>
      <c r="AK147">
        <v>0.8</v>
      </c>
      <c r="AL147" s="1">
        <f t="shared" si="25"/>
        <v>0.9</v>
      </c>
      <c r="AM147">
        <v>0.9</v>
      </c>
      <c r="AN147" s="1">
        <f>Gew_Prim_Supp[[#This Row],[SC_Fixed]]</f>
        <v>7.3</v>
      </c>
      <c r="AO147">
        <v>7.3</v>
      </c>
      <c r="AP147">
        <f>IF($F$1="leicht",Gew_Prim_Supp[[#This Row],[Light_C]],IF($F$1="schwer",Gew_Prim_Supp[[#This Row],[Heavy_C]]))</f>
        <v>0.9</v>
      </c>
      <c r="AQ147">
        <f>IF($F$1="leicht",Gew_Prim_Supp[[#This Row],[Light_S]],IF($F$1="schwer",Gew_Prim_Supp[[#This Row],[Heavy_S]]))</f>
        <v>0.9</v>
      </c>
      <c r="AR147">
        <f>IF($B$1="Carbon",Gew_Prim_Supp[[#This Row],[HL_Carbon]],IF($B$1="Stainless",Gew_Prim_Supp[[#This Row],[HL_Stainless]]))</f>
        <v>0.9</v>
      </c>
      <c r="AS147">
        <f>IF($D$1="FP",Gew_Prim_Supp[[#This Row],[SC_Fixed]],Gew_Prim_Supp[[#This Row],[SC_Slide]])</f>
        <v>7.3</v>
      </c>
    </row>
    <row r="148" spans="2:45">
      <c r="B148">
        <v>25</v>
      </c>
      <c r="C148" t="s">
        <v>62</v>
      </c>
      <c r="D148">
        <v>34</v>
      </c>
      <c r="E148">
        <v>3</v>
      </c>
      <c r="F148">
        <v>60</v>
      </c>
      <c r="G148">
        <v>6</v>
      </c>
      <c r="H148">
        <v>86</v>
      </c>
      <c r="I148" t="s">
        <v>96</v>
      </c>
      <c r="J148" t="s">
        <v>34</v>
      </c>
      <c r="K148" t="s">
        <v>114</v>
      </c>
      <c r="L148" t="s">
        <v>115</v>
      </c>
      <c r="M148" t="s">
        <v>240</v>
      </c>
      <c r="N148">
        <v>0</v>
      </c>
      <c r="O148">
        <v>0</v>
      </c>
      <c r="Q148">
        <v>25</v>
      </c>
      <c r="R148" t="str">
        <f>Prim_Supp_leicht_edel[[#This Row],[IN]]</f>
        <v>1”</v>
      </c>
      <c r="S148">
        <f>Prim_Supp_leicht_edel[[#This Row],[OD]]</f>
        <v>34</v>
      </c>
      <c r="T148">
        <f>Prim_Supp_leicht_edel[[#This Row],[sC]]</f>
        <v>3</v>
      </c>
      <c r="U148">
        <f>Prim_Supp_leicht_edel[[#This Row],[W]]</f>
        <v>60</v>
      </c>
      <c r="V148">
        <f>Prim_Supp_leicht_edel[[#This Row],[s_Blech]]</f>
        <v>6</v>
      </c>
      <c r="W148">
        <f>Prim_Supp_leicht_edel[[#This Row],[CL]]</f>
        <v>86</v>
      </c>
      <c r="X148" t="str">
        <f>Prim_Supp_leicht_edel[[#This Row],[GB_GS]]</f>
        <v>B</v>
      </c>
      <c r="Y148" t="str">
        <f>Prim_Supp_leicht_edel[[#This Row],[SB_SS]]</f>
        <v>C</v>
      </c>
      <c r="Z148" t="str">
        <f>Prim_Supp_leicht_edel[[#This Row],[FP]]</f>
        <v>D</v>
      </c>
      <c r="AA148" t="str">
        <f>Prim_Supp_leicht_edel[[#This Row],[PFP]]</f>
        <v>T</v>
      </c>
      <c r="AB148" t="str">
        <f>Prim_Supp_leicht_edel[[#This Row],[Ausf]]</f>
        <v>iT</v>
      </c>
      <c r="AC148">
        <f>Prim_Supp_leicht_edel[[#This Row],[U_height]]</f>
        <v>0</v>
      </c>
      <c r="AD148">
        <v>0</v>
      </c>
      <c r="AG148" t="e">
        <v>#NUM!</v>
      </c>
      <c r="AI148" s="87">
        <v>25</v>
      </c>
      <c r="AJ148" s="1">
        <f t="shared" si="24"/>
        <v>0.82</v>
      </c>
      <c r="AK148">
        <v>0.82</v>
      </c>
      <c r="AL148" s="1">
        <f t="shared" si="25"/>
        <v>0.96</v>
      </c>
      <c r="AM148">
        <v>0.96</v>
      </c>
      <c r="AN148" s="1">
        <f>Gew_Prim_Supp[[#This Row],[SC_Fixed]]</f>
        <v>7.4</v>
      </c>
      <c r="AO148">
        <v>7.4</v>
      </c>
      <c r="AP148">
        <f>IF($F$1="leicht",Gew_Prim_Supp[[#This Row],[Light_C]],IF($F$1="schwer",Gew_Prim_Supp[[#This Row],[Heavy_C]]))</f>
        <v>0.96</v>
      </c>
      <c r="AQ148">
        <f>IF($F$1="leicht",Gew_Prim_Supp[[#This Row],[Light_S]],IF($F$1="schwer",Gew_Prim_Supp[[#This Row],[Heavy_S]]))</f>
        <v>0.96</v>
      </c>
      <c r="AR148">
        <f>IF($B$1="Carbon",Gew_Prim_Supp[[#This Row],[HL_Carbon]],IF($B$1="Stainless",Gew_Prim_Supp[[#This Row],[HL_Stainless]]))</f>
        <v>0.96</v>
      </c>
      <c r="AS148">
        <f>IF($D$1="FP",Gew_Prim_Supp[[#This Row],[SC_Fixed]],Gew_Prim_Supp[[#This Row],[SC_Slide]])</f>
        <v>7.4</v>
      </c>
    </row>
    <row r="149" spans="2:45">
      <c r="B149">
        <v>32</v>
      </c>
      <c r="C149" t="s">
        <v>86</v>
      </c>
      <c r="D149">
        <v>43</v>
      </c>
      <c r="E149">
        <v>3</v>
      </c>
      <c r="F149">
        <v>60</v>
      </c>
      <c r="G149">
        <v>6</v>
      </c>
      <c r="H149">
        <v>90.5</v>
      </c>
      <c r="I149" t="s">
        <v>96</v>
      </c>
      <c r="J149" t="s">
        <v>34</v>
      </c>
      <c r="K149" t="s">
        <v>114</v>
      </c>
      <c r="L149" t="s">
        <v>115</v>
      </c>
      <c r="M149" t="s">
        <v>240</v>
      </c>
      <c r="N149">
        <v>0</v>
      </c>
      <c r="O149">
        <v>0</v>
      </c>
      <c r="Q149">
        <v>32</v>
      </c>
      <c r="R149" t="str">
        <f>Prim_Supp_leicht_edel[[#This Row],[IN]]</f>
        <v>1¼”</v>
      </c>
      <c r="S149">
        <f>Prim_Supp_leicht_edel[[#This Row],[OD]]</f>
        <v>43</v>
      </c>
      <c r="T149">
        <f>Prim_Supp_leicht_edel[[#This Row],[sC]]</f>
        <v>3</v>
      </c>
      <c r="U149">
        <f>Prim_Supp_leicht_edel[[#This Row],[W]]</f>
        <v>60</v>
      </c>
      <c r="V149">
        <f>Prim_Supp_leicht_edel[[#This Row],[s_Blech]]</f>
        <v>6</v>
      </c>
      <c r="W149">
        <f>Prim_Supp_leicht_edel[[#This Row],[CL]]</f>
        <v>90.5</v>
      </c>
      <c r="X149" t="str">
        <f>Prim_Supp_leicht_edel[[#This Row],[GB_GS]]</f>
        <v>B</v>
      </c>
      <c r="Y149" t="str">
        <f>Prim_Supp_leicht_edel[[#This Row],[SB_SS]]</f>
        <v>C</v>
      </c>
      <c r="Z149" t="str">
        <f>Prim_Supp_leicht_edel[[#This Row],[FP]]</f>
        <v>D</v>
      </c>
      <c r="AA149" t="str">
        <f>Prim_Supp_leicht_edel[[#This Row],[PFP]]</f>
        <v>T</v>
      </c>
      <c r="AB149" t="str">
        <f>Prim_Supp_leicht_edel[[#This Row],[Ausf]]</f>
        <v>iT</v>
      </c>
      <c r="AC149">
        <f>Prim_Supp_leicht_edel[[#This Row],[U_height]]</f>
        <v>0</v>
      </c>
      <c r="AD149">
        <v>0</v>
      </c>
      <c r="AG149">
        <v>85.57557109910195</v>
      </c>
      <c r="AI149" s="88">
        <v>32</v>
      </c>
      <c r="AJ149" s="1">
        <f t="shared" si="24"/>
        <v>0.81</v>
      </c>
      <c r="AK149">
        <v>0.81</v>
      </c>
      <c r="AL149" s="1">
        <f t="shared" si="25"/>
        <v>0.98</v>
      </c>
      <c r="AM149">
        <v>0.98</v>
      </c>
      <c r="AN149" s="1">
        <f>Gew_Prim_Supp[[#This Row],[SC_Fixed]]</f>
        <v>7.4</v>
      </c>
      <c r="AO149">
        <v>7.4</v>
      </c>
      <c r="AP149">
        <f>IF($F$1="leicht",Gew_Prim_Supp[[#This Row],[Light_C]],IF($F$1="schwer",Gew_Prim_Supp[[#This Row],[Heavy_C]]))</f>
        <v>0.98</v>
      </c>
      <c r="AQ149">
        <f>IF($F$1="leicht",Gew_Prim_Supp[[#This Row],[Light_S]],IF($F$1="schwer",Gew_Prim_Supp[[#This Row],[Heavy_S]]))</f>
        <v>0.98</v>
      </c>
      <c r="AR149">
        <f>IF($B$1="Carbon",Gew_Prim_Supp[[#This Row],[HL_Carbon]],IF($B$1="Stainless",Gew_Prim_Supp[[#This Row],[HL_Stainless]]))</f>
        <v>0.98</v>
      </c>
      <c r="AS149">
        <f>IF($D$1="FP",Gew_Prim_Supp[[#This Row],[SC_Fixed]],Gew_Prim_Supp[[#This Row],[SC_Slide]])</f>
        <v>7.4</v>
      </c>
    </row>
    <row r="150" spans="2:45">
      <c r="B150">
        <v>40</v>
      </c>
      <c r="C150" t="s">
        <v>87</v>
      </c>
      <c r="D150">
        <v>49</v>
      </c>
      <c r="E150">
        <v>3</v>
      </c>
      <c r="F150">
        <v>60</v>
      </c>
      <c r="G150">
        <v>6</v>
      </c>
      <c r="H150">
        <v>93.5</v>
      </c>
      <c r="I150" t="s">
        <v>96</v>
      </c>
      <c r="J150" t="s">
        <v>34</v>
      </c>
      <c r="K150" t="s">
        <v>114</v>
      </c>
      <c r="L150" t="s">
        <v>115</v>
      </c>
      <c r="M150" t="s">
        <v>240</v>
      </c>
      <c r="N150">
        <v>0</v>
      </c>
      <c r="O150">
        <v>0</v>
      </c>
      <c r="Q150">
        <v>40</v>
      </c>
      <c r="R150" t="str">
        <f>Prim_Supp_leicht_edel[[#This Row],[IN]]</f>
        <v>1½”</v>
      </c>
      <c r="S150">
        <f>Prim_Supp_leicht_edel[[#This Row],[OD]]</f>
        <v>49</v>
      </c>
      <c r="T150">
        <f>Prim_Supp_leicht_edel[[#This Row],[sC]]</f>
        <v>3</v>
      </c>
      <c r="U150">
        <f>Prim_Supp_leicht_edel[[#This Row],[W]]</f>
        <v>60</v>
      </c>
      <c r="V150">
        <f>Prim_Supp_leicht_edel[[#This Row],[s_Blech]]</f>
        <v>6</v>
      </c>
      <c r="W150">
        <f>Prim_Supp_leicht_edel[[#This Row],[CL]]</f>
        <v>93.5</v>
      </c>
      <c r="X150" t="str">
        <f>Prim_Supp_leicht_edel[[#This Row],[GB_GS]]</f>
        <v>B</v>
      </c>
      <c r="Y150" t="str">
        <f>Prim_Supp_leicht_edel[[#This Row],[SB_SS]]</f>
        <v>C</v>
      </c>
      <c r="Z150" t="str">
        <f>Prim_Supp_leicht_edel[[#This Row],[FP]]</f>
        <v>D</v>
      </c>
      <c r="AA150" t="str">
        <f>Prim_Supp_leicht_edel[[#This Row],[PFP]]</f>
        <v>T</v>
      </c>
      <c r="AB150" t="str">
        <f>Prim_Supp_leicht_edel[[#This Row],[Ausf]]</f>
        <v>iT</v>
      </c>
      <c r="AC150">
        <f>Prim_Supp_leicht_edel[[#This Row],[U_height]]</f>
        <v>0</v>
      </c>
      <c r="AD150">
        <v>0</v>
      </c>
      <c r="AG150">
        <v>80.074278417902448</v>
      </c>
      <c r="AI150" s="87">
        <v>40</v>
      </c>
      <c r="AJ150" s="1">
        <f t="shared" si="24"/>
        <v>0.85</v>
      </c>
      <c r="AK150">
        <v>0.85</v>
      </c>
      <c r="AL150" s="1">
        <f t="shared" si="25"/>
        <v>1</v>
      </c>
      <c r="AM150">
        <v>1</v>
      </c>
      <c r="AN150" s="1">
        <f>Gew_Prim_Supp[[#This Row],[SC_Fixed]]</f>
        <v>7.4</v>
      </c>
      <c r="AO150">
        <v>7.4</v>
      </c>
      <c r="AP150">
        <f>IF($F$1="leicht",Gew_Prim_Supp[[#This Row],[Light_C]],IF($F$1="schwer",Gew_Prim_Supp[[#This Row],[Heavy_C]]))</f>
        <v>1</v>
      </c>
      <c r="AQ150">
        <f>IF($F$1="leicht",Gew_Prim_Supp[[#This Row],[Light_S]],IF($F$1="schwer",Gew_Prim_Supp[[#This Row],[Heavy_S]]))</f>
        <v>1</v>
      </c>
      <c r="AR150">
        <f>IF($B$1="Carbon",Gew_Prim_Supp[[#This Row],[HL_Carbon]],IF($B$1="Stainless",Gew_Prim_Supp[[#This Row],[HL_Stainless]]))</f>
        <v>1</v>
      </c>
      <c r="AS150">
        <f>IF($D$1="FP",Gew_Prim_Supp[[#This Row],[SC_Fixed]],Gew_Prim_Supp[[#This Row],[SC_Slide]])</f>
        <v>7.4</v>
      </c>
    </row>
    <row r="151" spans="2:45">
      <c r="B151">
        <v>50</v>
      </c>
      <c r="C151" t="s">
        <v>63</v>
      </c>
      <c r="D151">
        <v>61</v>
      </c>
      <c r="E151">
        <v>4</v>
      </c>
      <c r="F151">
        <v>60</v>
      </c>
      <c r="G151">
        <v>6</v>
      </c>
      <c r="H151">
        <v>100.5</v>
      </c>
      <c r="I151" t="s">
        <v>96</v>
      </c>
      <c r="J151" t="s">
        <v>34</v>
      </c>
      <c r="K151" t="s">
        <v>114</v>
      </c>
      <c r="L151" t="s">
        <v>115</v>
      </c>
      <c r="M151" t="s">
        <v>240</v>
      </c>
      <c r="N151">
        <v>0</v>
      </c>
      <c r="O151">
        <v>0</v>
      </c>
      <c r="Q151">
        <v>50</v>
      </c>
      <c r="R151" t="str">
        <f>Prim_Supp_leicht_edel[[#This Row],[IN]]</f>
        <v>2”</v>
      </c>
      <c r="S151">
        <f>Prim_Supp_leicht_edel[[#This Row],[OD]]</f>
        <v>61</v>
      </c>
      <c r="T151">
        <f>Prim_Supp_leicht_edel[[#This Row],[sC]]</f>
        <v>4</v>
      </c>
      <c r="U151">
        <f>Prim_Supp_leicht_edel[[#This Row],[W]]</f>
        <v>60</v>
      </c>
      <c r="V151">
        <f>Prim_Supp_leicht_edel[[#This Row],[s_Blech]]</f>
        <v>6</v>
      </c>
      <c r="W151">
        <f>Prim_Supp_leicht_edel[[#This Row],[CL]]</f>
        <v>100.5</v>
      </c>
      <c r="X151" t="str">
        <f>Prim_Supp_leicht_edel[[#This Row],[GB_GS]]</f>
        <v>B</v>
      </c>
      <c r="Y151" t="str">
        <f>Prim_Supp_leicht_edel[[#This Row],[SB_SS]]</f>
        <v>C</v>
      </c>
      <c r="Z151" t="str">
        <f>Prim_Supp_leicht_edel[[#This Row],[FP]]</f>
        <v>D</v>
      </c>
      <c r="AA151" t="str">
        <f>Prim_Supp_leicht_edel[[#This Row],[PFP]]</f>
        <v>T</v>
      </c>
      <c r="AB151" t="str">
        <f>Prim_Supp_leicht_edel[[#This Row],[Ausf]]</f>
        <v>iT</v>
      </c>
      <c r="AC151">
        <f>Prim_Supp_leicht_edel[[#This Row],[U_height]]</f>
        <v>0</v>
      </c>
      <c r="AD151">
        <v>0</v>
      </c>
      <c r="AG151">
        <v>75.715932537212538</v>
      </c>
      <c r="AI151" s="88">
        <v>50</v>
      </c>
      <c r="AJ151" s="1">
        <f t="shared" si="24"/>
        <v>1.05</v>
      </c>
      <c r="AK151">
        <v>1.05</v>
      </c>
      <c r="AL151" s="1">
        <f t="shared" si="25"/>
        <v>1.32</v>
      </c>
      <c r="AM151">
        <v>1.32</v>
      </c>
      <c r="AN151" s="1">
        <f>Gew_Prim_Supp[[#This Row],[SC_Fixed]]</f>
        <v>7.7</v>
      </c>
      <c r="AO151">
        <v>7.7</v>
      </c>
      <c r="AP151">
        <f>IF($F$1="leicht",Gew_Prim_Supp[[#This Row],[Light_C]],IF($F$1="schwer",Gew_Prim_Supp[[#This Row],[Heavy_C]]))</f>
        <v>1.32</v>
      </c>
      <c r="AQ151">
        <f>IF($F$1="leicht",Gew_Prim_Supp[[#This Row],[Light_S]],IF($F$1="schwer",Gew_Prim_Supp[[#This Row],[Heavy_S]]))</f>
        <v>1.32</v>
      </c>
      <c r="AR151">
        <f>IF($B$1="Carbon",Gew_Prim_Supp[[#This Row],[HL_Carbon]],IF($B$1="Stainless",Gew_Prim_Supp[[#This Row],[HL_Stainless]]))</f>
        <v>1.32</v>
      </c>
      <c r="AS151">
        <f>IF($D$1="FP",Gew_Prim_Supp[[#This Row],[SC_Fixed]],Gew_Prim_Supp[[#This Row],[SC_Slide]])</f>
        <v>7.7</v>
      </c>
    </row>
    <row r="152" spans="2:45">
      <c r="B152">
        <v>65</v>
      </c>
      <c r="C152" t="s">
        <v>88</v>
      </c>
      <c r="D152">
        <v>77</v>
      </c>
      <c r="E152">
        <v>4</v>
      </c>
      <c r="F152">
        <v>60</v>
      </c>
      <c r="G152">
        <v>6</v>
      </c>
      <c r="H152">
        <v>108.5</v>
      </c>
      <c r="I152" t="s">
        <v>96</v>
      </c>
      <c r="J152" t="s">
        <v>34</v>
      </c>
      <c r="K152" t="s">
        <v>114</v>
      </c>
      <c r="L152" t="s">
        <v>115</v>
      </c>
      <c r="M152" t="s">
        <v>240</v>
      </c>
      <c r="N152">
        <v>0</v>
      </c>
      <c r="O152">
        <v>0</v>
      </c>
      <c r="Q152">
        <v>65</v>
      </c>
      <c r="R152" t="str">
        <f>Prim_Supp_leicht_edel[[#This Row],[IN]]</f>
        <v>2½”</v>
      </c>
      <c r="S152">
        <f>Prim_Supp_leicht_edel[[#This Row],[OD]]</f>
        <v>77</v>
      </c>
      <c r="T152">
        <f>Prim_Supp_leicht_edel[[#This Row],[sC]]</f>
        <v>4</v>
      </c>
      <c r="U152">
        <f>Prim_Supp_leicht_edel[[#This Row],[W]]</f>
        <v>60</v>
      </c>
      <c r="V152">
        <f>Prim_Supp_leicht_edel[[#This Row],[s_Blech]]</f>
        <v>6</v>
      </c>
      <c r="W152">
        <f>Prim_Supp_leicht_edel[[#This Row],[CL]]</f>
        <v>108.5</v>
      </c>
      <c r="X152" t="str">
        <f>Prim_Supp_leicht_edel[[#This Row],[GB_GS]]</f>
        <v>B</v>
      </c>
      <c r="Y152" t="str">
        <f>Prim_Supp_leicht_edel[[#This Row],[SB_SS]]</f>
        <v>C</v>
      </c>
      <c r="Z152" t="str">
        <f>Prim_Supp_leicht_edel[[#This Row],[FP]]</f>
        <v>D</v>
      </c>
      <c r="AA152" t="str">
        <f>Prim_Supp_leicht_edel[[#This Row],[PFP]]</f>
        <v>T</v>
      </c>
      <c r="AB152" t="str">
        <f>Prim_Supp_leicht_edel[[#This Row],[Ausf]]</f>
        <v>iT</v>
      </c>
      <c r="AC152">
        <f>Prim_Supp_leicht_edel[[#This Row],[U_height]]</f>
        <v>0</v>
      </c>
      <c r="AD152">
        <v>0</v>
      </c>
      <c r="AG152">
        <v>73.425080185408831</v>
      </c>
      <c r="AI152" s="87">
        <v>65</v>
      </c>
      <c r="AJ152" s="1">
        <f t="shared" si="24"/>
        <v>1.0900000000000001</v>
      </c>
      <c r="AK152">
        <v>1.0900000000000001</v>
      </c>
      <c r="AL152" s="1">
        <f t="shared" si="25"/>
        <v>1.39</v>
      </c>
      <c r="AM152">
        <v>1.39</v>
      </c>
      <c r="AN152" s="1">
        <f>Gew_Prim_Supp[[#This Row],[SC_Fixed]]</f>
        <v>7.8</v>
      </c>
      <c r="AO152">
        <v>7.8</v>
      </c>
      <c r="AP152">
        <f>IF($F$1="leicht",Gew_Prim_Supp[[#This Row],[Light_C]],IF($F$1="schwer",Gew_Prim_Supp[[#This Row],[Heavy_C]]))</f>
        <v>1.39</v>
      </c>
      <c r="AQ152">
        <f>IF($F$1="leicht",Gew_Prim_Supp[[#This Row],[Light_S]],IF($F$1="schwer",Gew_Prim_Supp[[#This Row],[Heavy_S]]))</f>
        <v>1.39</v>
      </c>
      <c r="AR152">
        <f>IF($B$1="Carbon",Gew_Prim_Supp[[#This Row],[HL_Carbon]],IF($B$1="Stainless",Gew_Prim_Supp[[#This Row],[HL_Stainless]]))</f>
        <v>1.39</v>
      </c>
      <c r="AS152">
        <f>IF($D$1="FP",Gew_Prim_Supp[[#This Row],[SC_Fixed]],Gew_Prim_Supp[[#This Row],[SC_Slide]])</f>
        <v>7.8</v>
      </c>
    </row>
    <row r="153" spans="2:45">
      <c r="B153">
        <v>80</v>
      </c>
      <c r="C153" t="s">
        <v>65</v>
      </c>
      <c r="D153">
        <v>89</v>
      </c>
      <c r="E153">
        <v>4</v>
      </c>
      <c r="F153">
        <v>60</v>
      </c>
      <c r="G153">
        <v>6</v>
      </c>
      <c r="H153">
        <v>114.5</v>
      </c>
      <c r="I153" t="s">
        <v>96</v>
      </c>
      <c r="J153" t="s">
        <v>34</v>
      </c>
      <c r="K153" t="s">
        <v>114</v>
      </c>
      <c r="L153" t="s">
        <v>115</v>
      </c>
      <c r="M153" t="s">
        <v>240</v>
      </c>
      <c r="N153">
        <v>0</v>
      </c>
      <c r="O153">
        <v>0</v>
      </c>
      <c r="Q153">
        <v>80</v>
      </c>
      <c r="R153" t="str">
        <f>Prim_Supp_leicht_edel[[#This Row],[IN]]</f>
        <v>3”</v>
      </c>
      <c r="S153">
        <f>Prim_Supp_leicht_edel[[#This Row],[OD]]</f>
        <v>89</v>
      </c>
      <c r="T153">
        <f>Prim_Supp_leicht_edel[[#This Row],[sC]]</f>
        <v>4</v>
      </c>
      <c r="U153">
        <f>Prim_Supp_leicht_edel[[#This Row],[W]]</f>
        <v>60</v>
      </c>
      <c r="V153">
        <f>Prim_Supp_leicht_edel[[#This Row],[s_Blech]]</f>
        <v>6</v>
      </c>
      <c r="W153">
        <f>Prim_Supp_leicht_edel[[#This Row],[CL]]</f>
        <v>114.5</v>
      </c>
      <c r="X153" t="str">
        <f>Prim_Supp_leicht_edel[[#This Row],[GB_GS]]</f>
        <v>B</v>
      </c>
      <c r="Y153" t="str">
        <f>Prim_Supp_leicht_edel[[#This Row],[SB_SS]]</f>
        <v>C</v>
      </c>
      <c r="Z153" t="str">
        <f>Prim_Supp_leicht_edel[[#This Row],[FP]]</f>
        <v>D</v>
      </c>
      <c r="AA153" t="str">
        <f>Prim_Supp_leicht_edel[[#This Row],[PFP]]</f>
        <v>T</v>
      </c>
      <c r="AB153" t="str">
        <f>Prim_Supp_leicht_edel[[#This Row],[Ausf]]</f>
        <v>iT</v>
      </c>
      <c r="AC153">
        <f>Prim_Supp_leicht_edel[[#This Row],[U_height]]</f>
        <v>0</v>
      </c>
      <c r="AD153">
        <v>0</v>
      </c>
      <c r="AG153">
        <v>72.354418974226974</v>
      </c>
      <c r="AI153" s="88">
        <v>80</v>
      </c>
      <c r="AJ153" s="1">
        <f t="shared" si="24"/>
        <v>1.1299999999999999</v>
      </c>
      <c r="AK153">
        <v>1.1299999999999999</v>
      </c>
      <c r="AL153" s="1">
        <f t="shared" si="25"/>
        <v>1.3</v>
      </c>
      <c r="AM153">
        <v>1.3</v>
      </c>
      <c r="AN153" s="1">
        <f>Gew_Prim_Supp[[#This Row],[SC_Fixed]]</f>
        <v>7.8</v>
      </c>
      <c r="AO153">
        <v>7.8</v>
      </c>
      <c r="AP153">
        <f>IF($F$1="leicht",Gew_Prim_Supp[[#This Row],[Light_C]],IF($F$1="schwer",Gew_Prim_Supp[[#This Row],[Heavy_C]]))</f>
        <v>1.3</v>
      </c>
      <c r="AQ153">
        <f>IF($F$1="leicht",Gew_Prim_Supp[[#This Row],[Light_S]],IF($F$1="schwer",Gew_Prim_Supp[[#This Row],[Heavy_S]]))</f>
        <v>1.3</v>
      </c>
      <c r="AR153">
        <f>IF($B$1="Carbon",Gew_Prim_Supp[[#This Row],[HL_Carbon]],IF($B$1="Stainless",Gew_Prim_Supp[[#This Row],[HL_Stainless]]))</f>
        <v>1.3</v>
      </c>
      <c r="AS153">
        <f>IF($D$1="FP",Gew_Prim_Supp[[#This Row],[SC_Fixed]],Gew_Prim_Supp[[#This Row],[SC_Slide]])</f>
        <v>7.8</v>
      </c>
    </row>
    <row r="154" spans="2:45">
      <c r="B154">
        <v>100</v>
      </c>
      <c r="C154" t="s">
        <v>66</v>
      </c>
      <c r="D154">
        <v>115</v>
      </c>
      <c r="E154">
        <v>5</v>
      </c>
      <c r="F154">
        <v>60</v>
      </c>
      <c r="G154">
        <v>6</v>
      </c>
      <c r="H154">
        <v>128.5</v>
      </c>
      <c r="I154" t="s">
        <v>96</v>
      </c>
      <c r="J154" t="s">
        <v>34</v>
      </c>
      <c r="K154" t="s">
        <v>114</v>
      </c>
      <c r="L154" t="s">
        <v>115</v>
      </c>
      <c r="M154" t="s">
        <v>240</v>
      </c>
      <c r="N154">
        <v>0</v>
      </c>
      <c r="O154">
        <v>0</v>
      </c>
      <c r="Q154">
        <v>100</v>
      </c>
      <c r="R154" t="str">
        <f>Prim_Supp_leicht_edel[[#This Row],[IN]]</f>
        <v>4”</v>
      </c>
      <c r="S154">
        <f>Prim_Supp_leicht_edel[[#This Row],[OD]]</f>
        <v>115</v>
      </c>
      <c r="T154">
        <f>Prim_Supp_leicht_edel[[#This Row],[sC]]</f>
        <v>5</v>
      </c>
      <c r="U154">
        <f>Prim_Supp_leicht_edel[[#This Row],[W]]</f>
        <v>60</v>
      </c>
      <c r="V154">
        <f>Prim_Supp_leicht_edel[[#This Row],[s_Blech]]</f>
        <v>6</v>
      </c>
      <c r="W154">
        <f>Prim_Supp_leicht_edel[[#This Row],[CL]]</f>
        <v>128.5</v>
      </c>
      <c r="X154" t="str">
        <f>Prim_Supp_leicht_edel[[#This Row],[GB_GS]]</f>
        <v>B</v>
      </c>
      <c r="Y154" t="str">
        <f>Prim_Supp_leicht_edel[[#This Row],[SB_SS]]</f>
        <v>C</v>
      </c>
      <c r="Z154" t="str">
        <f>Prim_Supp_leicht_edel[[#This Row],[FP]]</f>
        <v>D</v>
      </c>
      <c r="AA154" t="str">
        <f>Prim_Supp_leicht_edel[[#This Row],[PFP]]</f>
        <v>T</v>
      </c>
      <c r="AB154" t="str">
        <f>Prim_Supp_leicht_edel[[#This Row],[Ausf]]</f>
        <v>iT</v>
      </c>
      <c r="AC154">
        <f>Prim_Supp_leicht_edel[[#This Row],[U_height]]</f>
        <v>0</v>
      </c>
      <c r="AD154">
        <v>0</v>
      </c>
      <c r="AG154">
        <v>70.791681708786555</v>
      </c>
      <c r="AI154" s="87">
        <v>100</v>
      </c>
      <c r="AJ154" s="1">
        <f t="shared" si="24"/>
        <v>1.6</v>
      </c>
      <c r="AK154">
        <v>1.6</v>
      </c>
      <c r="AL154">
        <f>(((F324*(U182+AD182+AD182)*V182)+((F324*(AC182-V182)*V182)*2))*$K$1/1000)+Q70*2</f>
        <v>6.1635200000000001</v>
      </c>
      <c r="AM154">
        <v>4.53</v>
      </c>
      <c r="AN154" s="1">
        <f>Gew_Prim_Supp[[#This Row],[SC_Fixed]]</f>
        <v>8.8000000000000007</v>
      </c>
      <c r="AO154">
        <v>8.8000000000000007</v>
      </c>
      <c r="AP154">
        <f>IF($F$1="leicht",Gew_Prim_Supp[[#This Row],[Light_C]],IF($F$1="schwer",Gew_Prim_Supp[[#This Row],[Heavy_C]]))</f>
        <v>6.1635200000000001</v>
      </c>
      <c r="AQ154">
        <f>IF($F$1="leicht",Gew_Prim_Supp[[#This Row],[Light_S]],IF($F$1="schwer",Gew_Prim_Supp[[#This Row],[Heavy_S]]))</f>
        <v>4.53</v>
      </c>
      <c r="AR154">
        <f>IF($B$1="Carbon",Gew_Prim_Supp[[#This Row],[HL_Carbon]],IF($B$1="Stainless",Gew_Prim_Supp[[#This Row],[HL_Stainless]]))</f>
        <v>6.1635200000000001</v>
      </c>
      <c r="AS154">
        <f>IF($D$1="FP",Gew_Prim_Supp[[#This Row],[SC_Fixed]],Gew_Prim_Supp[[#This Row],[SC_Slide]])</f>
        <v>8.8000000000000007</v>
      </c>
    </row>
    <row r="155" spans="2:45">
      <c r="B155">
        <v>125</v>
      </c>
      <c r="C155" t="s">
        <v>68</v>
      </c>
      <c r="D155">
        <v>140</v>
      </c>
      <c r="E155">
        <v>5</v>
      </c>
      <c r="F155">
        <v>60</v>
      </c>
      <c r="G155">
        <v>6</v>
      </c>
      <c r="H155">
        <v>141</v>
      </c>
      <c r="I155" t="s">
        <v>96</v>
      </c>
      <c r="J155" t="s">
        <v>34</v>
      </c>
      <c r="K155" t="s">
        <v>114</v>
      </c>
      <c r="L155" t="s">
        <v>115</v>
      </c>
      <c r="M155" t="s">
        <v>240</v>
      </c>
      <c r="N155">
        <v>0</v>
      </c>
      <c r="O155">
        <v>0</v>
      </c>
      <c r="Q155">
        <v>125</v>
      </c>
      <c r="R155" t="str">
        <f>Prim_Supp_leicht_edel[[#This Row],[IN]]</f>
        <v>5”</v>
      </c>
      <c r="S155">
        <f>Prim_Supp_leicht_edel[[#This Row],[OD]]</f>
        <v>140</v>
      </c>
      <c r="T155">
        <f>Prim_Supp_leicht_edel[[#This Row],[sC]]</f>
        <v>5</v>
      </c>
      <c r="U155">
        <f>Prim_Supp_leicht_edel[[#This Row],[W]]</f>
        <v>60</v>
      </c>
      <c r="V155">
        <f>Prim_Supp_leicht_edel[[#This Row],[s_Blech]]</f>
        <v>6</v>
      </c>
      <c r="W155">
        <f>Prim_Supp_leicht_edel[[#This Row],[CL]]</f>
        <v>141</v>
      </c>
      <c r="X155" t="str">
        <f>Prim_Supp_leicht_edel[[#This Row],[GB_GS]]</f>
        <v>B</v>
      </c>
      <c r="Y155" t="str">
        <f>Prim_Supp_leicht_edel[[#This Row],[SB_SS]]</f>
        <v>C</v>
      </c>
      <c r="Z155" t="str">
        <f>Prim_Supp_leicht_edel[[#This Row],[FP]]</f>
        <v>D</v>
      </c>
      <c r="AA155" t="str">
        <f>Prim_Supp_leicht_edel[[#This Row],[PFP]]</f>
        <v>T</v>
      </c>
      <c r="AB155" t="str">
        <f>Prim_Supp_leicht_edel[[#This Row],[Ausf]]</f>
        <v>iT</v>
      </c>
      <c r="AC155">
        <f>Prim_Supp_leicht_edel[[#This Row],[U_height]]</f>
        <v>0</v>
      </c>
      <c r="AD155">
        <v>0</v>
      </c>
      <c r="AG155">
        <v>69.943684306037937</v>
      </c>
      <c r="AI155" s="88">
        <v>125</v>
      </c>
      <c r="AJ155" s="1">
        <f t="shared" si="24"/>
        <v>2.15</v>
      </c>
      <c r="AK155">
        <v>2.15</v>
      </c>
      <c r="AL155">
        <f t="shared" ref="AL155:AL169" si="26">(((F325*(U183+AD183+AD183)*V183)+((F325*(AC183-V183)*V183)*2))*$K$1/1000)+Q71*2</f>
        <v>6.3873599999999993</v>
      </c>
      <c r="AM155">
        <v>5.64</v>
      </c>
      <c r="AN155">
        <v>24</v>
      </c>
      <c r="AO155">
        <v>37</v>
      </c>
      <c r="AP155">
        <f>IF($F$1="leicht",Gew_Prim_Supp[[#This Row],[Light_C]],IF($F$1="schwer",Gew_Prim_Supp[[#This Row],[Heavy_C]]))</f>
        <v>6.3873599999999993</v>
      </c>
      <c r="AQ155">
        <f>IF($F$1="leicht",Gew_Prim_Supp[[#This Row],[Light_S]],IF($F$1="schwer",Gew_Prim_Supp[[#This Row],[Heavy_S]]))</f>
        <v>5.64</v>
      </c>
      <c r="AR155">
        <f>IF($B$1="Carbon",Gew_Prim_Supp[[#This Row],[HL_Carbon]],IF($B$1="Stainless",Gew_Prim_Supp[[#This Row],[HL_Stainless]]))</f>
        <v>6.3873599999999993</v>
      </c>
      <c r="AS155">
        <f>IF($D$1="FP",Gew_Prim_Supp[[#This Row],[SC_Fixed]],Gew_Prim_Supp[[#This Row],[SC_Slide]])</f>
        <v>24</v>
      </c>
    </row>
    <row r="156" spans="2:45">
      <c r="B156">
        <v>150</v>
      </c>
      <c r="C156" t="s">
        <v>69</v>
      </c>
      <c r="D156">
        <v>169</v>
      </c>
      <c r="E156">
        <v>5</v>
      </c>
      <c r="F156">
        <v>60</v>
      </c>
      <c r="G156">
        <v>6</v>
      </c>
      <c r="H156">
        <v>155.5</v>
      </c>
      <c r="I156" t="s">
        <v>96</v>
      </c>
      <c r="J156" t="s">
        <v>34</v>
      </c>
      <c r="K156" t="s">
        <v>114</v>
      </c>
      <c r="L156" t="s">
        <v>115</v>
      </c>
      <c r="M156" t="s">
        <v>240</v>
      </c>
      <c r="N156">
        <v>0</v>
      </c>
      <c r="O156">
        <v>0</v>
      </c>
      <c r="Q156">
        <v>150</v>
      </c>
      <c r="R156" t="str">
        <f>Prim_Supp_leicht_edel[[#This Row],[IN]]</f>
        <v>6”</v>
      </c>
      <c r="S156">
        <f>Prim_Supp_leicht_edel[[#This Row],[OD]]</f>
        <v>169</v>
      </c>
      <c r="T156">
        <f>Prim_Supp_leicht_edel[[#This Row],[sC]]</f>
        <v>5</v>
      </c>
      <c r="U156">
        <f>Prim_Supp_leicht_edel[[#This Row],[W]]</f>
        <v>60</v>
      </c>
      <c r="V156">
        <f>Prim_Supp_leicht_edel[[#This Row],[s_Blech]]</f>
        <v>6</v>
      </c>
      <c r="W156">
        <f>Prim_Supp_leicht_edel[[#This Row],[CL]]</f>
        <v>155.5</v>
      </c>
      <c r="X156" t="str">
        <f>Prim_Supp_leicht_edel[[#This Row],[GB_GS]]</f>
        <v>B</v>
      </c>
      <c r="Y156" t="str">
        <f>Prim_Supp_leicht_edel[[#This Row],[SB_SS]]</f>
        <v>C</v>
      </c>
      <c r="Z156" t="str">
        <f>Prim_Supp_leicht_edel[[#This Row],[FP]]</f>
        <v>D</v>
      </c>
      <c r="AA156" t="str">
        <f>Prim_Supp_leicht_edel[[#This Row],[PFP]]</f>
        <v>T</v>
      </c>
      <c r="AB156" t="str">
        <f>Prim_Supp_leicht_edel[[#This Row],[Ausf]]</f>
        <v>iT</v>
      </c>
      <c r="AC156">
        <f>Prim_Supp_leicht_edel[[#This Row],[U_height]]</f>
        <v>0</v>
      </c>
      <c r="AD156">
        <v>0</v>
      </c>
      <c r="AG156">
        <v>69.277903064237648</v>
      </c>
      <c r="AI156" s="87">
        <v>150</v>
      </c>
      <c r="AJ156" s="1">
        <f t="shared" si="24"/>
        <v>2.2999999999999998</v>
      </c>
      <c r="AK156">
        <v>2.2999999999999998</v>
      </c>
      <c r="AL156">
        <f t="shared" si="26"/>
        <v>7.2111999999999998</v>
      </c>
      <c r="AM156">
        <v>6.92</v>
      </c>
      <c r="AN156">
        <v>25</v>
      </c>
      <c r="AO156">
        <v>39</v>
      </c>
      <c r="AP156">
        <f>IF($F$1="leicht",Gew_Prim_Supp[[#This Row],[Light_C]],IF($F$1="schwer",Gew_Prim_Supp[[#This Row],[Heavy_C]]))</f>
        <v>7.2111999999999998</v>
      </c>
      <c r="AQ156">
        <f>IF($F$1="leicht",Gew_Prim_Supp[[#This Row],[Light_S]],IF($F$1="schwer",Gew_Prim_Supp[[#This Row],[Heavy_S]]))</f>
        <v>6.92</v>
      </c>
      <c r="AR156">
        <f>IF($B$1="Carbon",Gew_Prim_Supp[[#This Row],[HL_Carbon]],IF($B$1="Stainless",Gew_Prim_Supp[[#This Row],[HL_Stainless]]))</f>
        <v>7.2111999999999998</v>
      </c>
      <c r="AS156">
        <f>IF($D$1="FP",Gew_Prim_Supp[[#This Row],[SC_Fixed]],Gew_Prim_Supp[[#This Row],[SC_Slide]])</f>
        <v>25</v>
      </c>
    </row>
    <row r="157" spans="2:45">
      <c r="B157">
        <v>200</v>
      </c>
      <c r="C157" t="s">
        <v>70</v>
      </c>
      <c r="D157">
        <v>220</v>
      </c>
      <c r="E157">
        <v>5</v>
      </c>
      <c r="F157">
        <v>90</v>
      </c>
      <c r="G157">
        <v>6</v>
      </c>
      <c r="H157">
        <v>180</v>
      </c>
      <c r="I157" t="s">
        <v>110</v>
      </c>
      <c r="J157" t="s">
        <v>490</v>
      </c>
      <c r="K157" t="s">
        <v>491</v>
      </c>
      <c r="L157" t="s">
        <v>37</v>
      </c>
      <c r="M157" t="s">
        <v>245</v>
      </c>
      <c r="N157">
        <v>72</v>
      </c>
      <c r="O157">
        <v>0</v>
      </c>
      <c r="Q157">
        <v>200</v>
      </c>
      <c r="R157" t="s">
        <v>70</v>
      </c>
      <c r="S157">
        <v>220</v>
      </c>
      <c r="T157">
        <v>5</v>
      </c>
      <c r="U157">
        <v>90</v>
      </c>
      <c r="V157">
        <v>6</v>
      </c>
      <c r="W157">
        <v>180</v>
      </c>
      <c r="X157" t="s">
        <v>110</v>
      </c>
      <c r="Y157" t="s">
        <v>490</v>
      </c>
      <c r="Z157" t="s">
        <v>491</v>
      </c>
      <c r="AA157" t="s">
        <v>37</v>
      </c>
      <c r="AB157" t="s">
        <v>251</v>
      </c>
      <c r="AC157">
        <f>Prim_Supp_leicht_edel[[#This Row],[U_height]]</f>
        <v>72</v>
      </c>
      <c r="AD157">
        <v>30</v>
      </c>
      <c r="AG157">
        <v>71.81497330961183</v>
      </c>
      <c r="AI157" s="88">
        <v>200</v>
      </c>
      <c r="AJ157">
        <f>((F327*(Prim_Supp_leicht_Csteel[[#This Row],[W]]+Prim_Supp_leicht_Csteel[[#This Row],[Ext]]+Prim_Supp_leicht_Csteel[[#This Row],[Ext]])*Prim_Supp_leicht_Csteel[[#This Row],[s_Blech]]+(F327*(Prim_Supp_leicht_Csteel[[#This Row],[U_height]]-Prim_Supp_leicht_Csteel[[#This Row],[s_Blech]])*Prim_Supp_leicht_Csteel[[#This Row],[s_Blech]])*2)*$K$1/1000)+Q73*2</f>
        <v>7.9992799999999997</v>
      </c>
      <c r="AK157">
        <v>6.1</v>
      </c>
      <c r="AL157">
        <f t="shared" si="26"/>
        <v>7.9150399999999994</v>
      </c>
      <c r="AM157">
        <v>7.64</v>
      </c>
      <c r="AN157">
        <v>27</v>
      </c>
      <c r="AO157">
        <v>42</v>
      </c>
      <c r="AP157">
        <f>IF($F$1="leicht",Gew_Prim_Supp[[#This Row],[Light_C]],IF($F$1="schwer",Gew_Prim_Supp[[#This Row],[Heavy_C]]))</f>
        <v>7.9150399999999994</v>
      </c>
      <c r="AQ157">
        <f>IF($F$1="leicht",Gew_Prim_Supp[[#This Row],[Light_S]],IF($F$1="schwer",Gew_Prim_Supp[[#This Row],[Heavy_S]]))</f>
        <v>7.64</v>
      </c>
      <c r="AR157">
        <f>IF($B$1="Carbon",Gew_Prim_Supp[[#This Row],[HL_Carbon]],IF($B$1="Stainless",Gew_Prim_Supp[[#This Row],[HL_Stainless]]))</f>
        <v>7.9150399999999994</v>
      </c>
      <c r="AS157">
        <f>IF($D$1="FP",Gew_Prim_Supp[[#This Row],[SC_Fixed]],Gew_Prim_Supp[[#This Row],[SC_Slide]])</f>
        <v>27</v>
      </c>
    </row>
    <row r="158" spans="2:45">
      <c r="B158">
        <v>250</v>
      </c>
      <c r="C158" t="s">
        <v>71</v>
      </c>
      <c r="D158">
        <v>273</v>
      </c>
      <c r="E158">
        <v>6</v>
      </c>
      <c r="F158">
        <v>120</v>
      </c>
      <c r="G158">
        <v>6</v>
      </c>
      <c r="H158">
        <v>206.5</v>
      </c>
      <c r="I158" t="s">
        <v>110</v>
      </c>
      <c r="J158" t="s">
        <v>490</v>
      </c>
      <c r="K158" t="s">
        <v>491</v>
      </c>
      <c r="L158" t="s">
        <v>37</v>
      </c>
      <c r="M158" t="s">
        <v>245</v>
      </c>
      <c r="N158">
        <v>75</v>
      </c>
      <c r="O158">
        <v>0</v>
      </c>
      <c r="Q158">
        <v>250</v>
      </c>
      <c r="R158" t="s">
        <v>71</v>
      </c>
      <c r="S158">
        <v>273</v>
      </c>
      <c r="T158">
        <v>6</v>
      </c>
      <c r="U158">
        <v>120</v>
      </c>
      <c r="V158">
        <v>6</v>
      </c>
      <c r="W158">
        <v>206.5</v>
      </c>
      <c r="X158" t="s">
        <v>110</v>
      </c>
      <c r="Y158" t="s">
        <v>490</v>
      </c>
      <c r="Z158" t="s">
        <v>491</v>
      </c>
      <c r="AA158" t="s">
        <v>37</v>
      </c>
      <c r="AB158" t="s">
        <v>251</v>
      </c>
      <c r="AC158">
        <f>Prim_Supp_leicht_edel[[#This Row],[U_height]]</f>
        <v>75</v>
      </c>
      <c r="AD158">
        <v>30</v>
      </c>
      <c r="AG158">
        <v>74.627902875551428</v>
      </c>
      <c r="AI158" s="87">
        <v>250</v>
      </c>
      <c r="AJ158">
        <f>((F328*(Prim_Supp_leicht_Csteel[[#This Row],[W]]+Prim_Supp_leicht_Csteel[[#This Row],[Ext]]+Prim_Supp_leicht_Csteel[[#This Row],[Ext]])*Prim_Supp_leicht_Csteel[[#This Row],[s_Blech]]+(F328*(Prim_Supp_leicht_Csteel[[#This Row],[U_height]]-Prim_Supp_leicht_Csteel[[#This Row],[s_Blech]])*Prim_Supp_leicht_Csteel[[#This Row],[s_Blech]])*2)*$K$1/1000)+Q74</f>
        <v>7.4547199999999991</v>
      </c>
      <c r="AK158">
        <v>9.27</v>
      </c>
      <c r="AL158">
        <f t="shared" si="26"/>
        <v>10.38856</v>
      </c>
      <c r="AM158">
        <v>10.72</v>
      </c>
      <c r="AN158">
        <v>29</v>
      </c>
      <c r="AO158">
        <v>44</v>
      </c>
      <c r="AP158">
        <f>IF($F$1="leicht",Gew_Prim_Supp[[#This Row],[Light_C]],IF($F$1="schwer",Gew_Prim_Supp[[#This Row],[Heavy_C]]))</f>
        <v>10.38856</v>
      </c>
      <c r="AQ158">
        <f>IF($F$1="leicht",Gew_Prim_Supp[[#This Row],[Light_S]],IF($F$1="schwer",Gew_Prim_Supp[[#This Row],[Heavy_S]]))</f>
        <v>10.72</v>
      </c>
      <c r="AR158">
        <f>IF($B$1="Carbon",Gew_Prim_Supp[[#This Row],[HL_Carbon]],IF($B$1="Stainless",Gew_Prim_Supp[[#This Row],[HL_Stainless]]))</f>
        <v>10.38856</v>
      </c>
      <c r="AS158">
        <f>IF($D$1="FP",Gew_Prim_Supp[[#This Row],[SC_Fixed]],Gew_Prim_Supp[[#This Row],[SC_Slide]])</f>
        <v>29</v>
      </c>
    </row>
    <row r="159" spans="2:45">
      <c r="B159">
        <v>300</v>
      </c>
      <c r="C159" t="s">
        <v>73</v>
      </c>
      <c r="D159">
        <v>324</v>
      </c>
      <c r="E159">
        <v>6</v>
      </c>
      <c r="F159">
        <v>150</v>
      </c>
      <c r="G159">
        <v>6</v>
      </c>
      <c r="H159">
        <v>232</v>
      </c>
      <c r="I159" t="s">
        <v>110</v>
      </c>
      <c r="J159" t="s">
        <v>490</v>
      </c>
      <c r="K159" t="s">
        <v>491</v>
      </c>
      <c r="L159" t="s">
        <v>37</v>
      </c>
      <c r="M159" t="s">
        <v>245</v>
      </c>
      <c r="N159">
        <v>79</v>
      </c>
      <c r="O159">
        <v>0</v>
      </c>
      <c r="Q159">
        <v>300</v>
      </c>
      <c r="R159" t="s">
        <v>73</v>
      </c>
      <c r="S159">
        <v>324</v>
      </c>
      <c r="T159">
        <v>6</v>
      </c>
      <c r="U159">
        <v>150</v>
      </c>
      <c r="V159">
        <v>6</v>
      </c>
      <c r="W159">
        <v>232</v>
      </c>
      <c r="X159" t="s">
        <v>110</v>
      </c>
      <c r="Y159" t="s">
        <v>490</v>
      </c>
      <c r="Z159" t="s">
        <v>491</v>
      </c>
      <c r="AA159" t="s">
        <v>37</v>
      </c>
      <c r="AB159" t="s">
        <v>251</v>
      </c>
      <c r="AC159">
        <f>Prim_Supp_leicht_edel[[#This Row],[U_height]]</f>
        <v>79</v>
      </c>
      <c r="AD159">
        <v>30</v>
      </c>
      <c r="AG159">
        <v>78.823631065363088</v>
      </c>
      <c r="AI159" s="88">
        <v>300</v>
      </c>
      <c r="AJ159">
        <f>((F329*(Prim_Supp_leicht_Csteel[[#This Row],[W]]+Prim_Supp_leicht_Csteel[[#This Row],[Ext]]+Prim_Supp_leicht_Csteel[[#This Row],[Ext]])*Prim_Supp_leicht_Csteel[[#This Row],[s_Blech]]+(F329*(Prim_Supp_leicht_Csteel[[#This Row],[U_height]]-Prim_Supp_leicht_Csteel[[#This Row],[s_Blech]])*Prim_Supp_leicht_Csteel[[#This Row],[s_Blech]])*2)*$K$1/1000)+Q75</f>
        <v>8.4082399999999993</v>
      </c>
      <c r="AK159">
        <v>10.56</v>
      </c>
      <c r="AL159">
        <f t="shared" si="26"/>
        <v>11.762080000000001</v>
      </c>
      <c r="AM159">
        <v>12.11</v>
      </c>
      <c r="AN159">
        <v>36</v>
      </c>
      <c r="AO159">
        <v>72</v>
      </c>
      <c r="AP159">
        <f>IF($F$1="leicht",Gew_Prim_Supp[[#This Row],[Light_C]],IF($F$1="schwer",Gew_Prim_Supp[[#This Row],[Heavy_C]]))</f>
        <v>11.762080000000001</v>
      </c>
      <c r="AQ159">
        <f>IF($F$1="leicht",Gew_Prim_Supp[[#This Row],[Light_S]],IF($F$1="schwer",Gew_Prim_Supp[[#This Row],[Heavy_S]]))</f>
        <v>12.11</v>
      </c>
      <c r="AR159">
        <f>IF($B$1="Carbon",Gew_Prim_Supp[[#This Row],[HL_Carbon]],IF($B$1="Stainless",Gew_Prim_Supp[[#This Row],[HL_Stainless]]))</f>
        <v>11.762080000000001</v>
      </c>
      <c r="AS159">
        <f>IF($D$1="FP",Gew_Prim_Supp[[#This Row],[SC_Fixed]],Gew_Prim_Supp[[#This Row],[SC_Slide]])</f>
        <v>36</v>
      </c>
    </row>
    <row r="160" spans="2:45">
      <c r="B160">
        <v>350</v>
      </c>
      <c r="C160" t="s">
        <v>74</v>
      </c>
      <c r="D160">
        <v>356</v>
      </c>
      <c r="E160">
        <v>6</v>
      </c>
      <c r="F160">
        <v>150</v>
      </c>
      <c r="G160">
        <v>6</v>
      </c>
      <c r="H160">
        <v>248</v>
      </c>
      <c r="I160" t="s">
        <v>110</v>
      </c>
      <c r="J160" t="s">
        <v>490</v>
      </c>
      <c r="K160" t="s">
        <v>491</v>
      </c>
      <c r="L160" t="s">
        <v>37</v>
      </c>
      <c r="M160" t="s">
        <v>245</v>
      </c>
      <c r="N160">
        <v>78</v>
      </c>
      <c r="O160">
        <v>0</v>
      </c>
      <c r="Q160">
        <v>350</v>
      </c>
      <c r="R160" t="s">
        <v>74</v>
      </c>
      <c r="S160">
        <v>356</v>
      </c>
      <c r="T160">
        <v>6</v>
      </c>
      <c r="U160">
        <v>150</v>
      </c>
      <c r="V160">
        <v>6</v>
      </c>
      <c r="W160">
        <v>248</v>
      </c>
      <c r="X160" t="s">
        <v>110</v>
      </c>
      <c r="Y160" t="s">
        <v>490</v>
      </c>
      <c r="Z160" t="s">
        <v>491</v>
      </c>
      <c r="AA160" t="s">
        <v>37</v>
      </c>
      <c r="AB160" t="s">
        <v>251</v>
      </c>
      <c r="AC160">
        <f>Prim_Supp_leicht_edel[[#This Row],[U_height]]</f>
        <v>78</v>
      </c>
      <c r="AD160">
        <v>30</v>
      </c>
      <c r="AG160">
        <v>77.427434796799758</v>
      </c>
      <c r="AI160" s="87">
        <v>350</v>
      </c>
      <c r="AJ160">
        <f>((F330*(Prim_Supp_leicht_Csteel[[#This Row],[W]]+Prim_Supp_leicht_Csteel[[#This Row],[Ext]]+Prim_Supp_leicht_Csteel[[#This Row],[Ext]])*Prim_Supp_leicht_Csteel[[#This Row],[s_Blech]]+(F330*(Prim_Supp_leicht_Csteel[[#This Row],[U_height]]-Prim_Supp_leicht_Csteel[[#This Row],[s_Blech]])*Prim_Supp_leicht_Csteel[[#This Row],[s_Blech]])*2)*$K$1/1000)+Q76</f>
        <v>8.7801600000000004</v>
      </c>
      <c r="AK160">
        <v>11.02</v>
      </c>
      <c r="AL160">
        <f t="shared" si="26"/>
        <v>12.533999999999999</v>
      </c>
      <c r="AM160">
        <v>12.86</v>
      </c>
      <c r="AN160">
        <v>38</v>
      </c>
      <c r="AO160">
        <v>74</v>
      </c>
      <c r="AP160">
        <f>IF($F$1="leicht",Gew_Prim_Supp[[#This Row],[Light_C]],IF($F$1="schwer",Gew_Prim_Supp[[#This Row],[Heavy_C]]))</f>
        <v>12.533999999999999</v>
      </c>
      <c r="AQ160">
        <f>IF($F$1="leicht",Gew_Prim_Supp[[#This Row],[Light_S]],IF($F$1="schwer",Gew_Prim_Supp[[#This Row],[Heavy_S]]))</f>
        <v>12.86</v>
      </c>
      <c r="AR160">
        <f>IF($B$1="Carbon",Gew_Prim_Supp[[#This Row],[HL_Carbon]],IF($B$1="Stainless",Gew_Prim_Supp[[#This Row],[HL_Stainless]]))</f>
        <v>12.533999999999999</v>
      </c>
      <c r="AS160">
        <f>IF($D$1="FP",Gew_Prim_Supp[[#This Row],[SC_Fixed]],Gew_Prim_Supp[[#This Row],[SC_Slide]])</f>
        <v>38</v>
      </c>
    </row>
    <row r="161" spans="2:45">
      <c r="B161">
        <v>400</v>
      </c>
      <c r="C161" t="s">
        <v>75</v>
      </c>
      <c r="D161">
        <v>407</v>
      </c>
      <c r="E161">
        <v>6</v>
      </c>
      <c r="F161">
        <v>200</v>
      </c>
      <c r="G161">
        <v>8</v>
      </c>
      <c r="H161">
        <v>273.5</v>
      </c>
      <c r="I161" t="s">
        <v>110</v>
      </c>
      <c r="J161" t="s">
        <v>490</v>
      </c>
      <c r="K161" t="s">
        <v>491</v>
      </c>
      <c r="L161" t="s">
        <v>37</v>
      </c>
      <c r="M161" t="s">
        <v>245</v>
      </c>
      <c r="N161">
        <v>85</v>
      </c>
      <c r="O161">
        <v>0</v>
      </c>
      <c r="Q161">
        <v>400</v>
      </c>
      <c r="R161" t="s">
        <v>75</v>
      </c>
      <c r="S161">
        <v>407</v>
      </c>
      <c r="T161">
        <v>6</v>
      </c>
      <c r="U161">
        <v>200</v>
      </c>
      <c r="V161">
        <v>8</v>
      </c>
      <c r="W161">
        <v>273.5</v>
      </c>
      <c r="X161" t="s">
        <v>110</v>
      </c>
      <c r="Y161" t="s">
        <v>490</v>
      </c>
      <c r="Z161" t="s">
        <v>491</v>
      </c>
      <c r="AA161" t="s">
        <v>37</v>
      </c>
      <c r="AB161" t="s">
        <v>251</v>
      </c>
      <c r="AC161">
        <f>Prim_Supp_leicht_edel[[#This Row],[U_height]]</f>
        <v>85</v>
      </c>
      <c r="AD161">
        <v>30</v>
      </c>
      <c r="AG161">
        <v>85.281377116928212</v>
      </c>
      <c r="AI161" s="88">
        <v>400</v>
      </c>
      <c r="AJ161">
        <f>((F331*(Prim_Supp_leicht_Csteel[[#This Row],[W]]+Prim_Supp_leicht_Csteel[[#This Row],[Ext]]+Prim_Supp_leicht_Csteel[[#This Row],[Ext]])*Prim_Supp_leicht_Csteel[[#This Row],[s_Blech]]+(F331*(Prim_Supp_leicht_Csteel[[#This Row],[U_height]]-Prim_Supp_leicht_Csteel[[#This Row],[s_Blech]])*Prim_Supp_leicht_Csteel[[#This Row],[s_Blech]])*2)*$K$1/1000)+Q77</f>
        <v>17.193439999999999</v>
      </c>
      <c r="AK161">
        <v>16.78</v>
      </c>
      <c r="AL161">
        <f t="shared" si="26"/>
        <v>27.997119999999999</v>
      </c>
      <c r="AM161">
        <v>30.47</v>
      </c>
      <c r="AN161">
        <v>47</v>
      </c>
      <c r="AO161">
        <v>85</v>
      </c>
      <c r="AP161">
        <f>IF($F$1="leicht",Gew_Prim_Supp[[#This Row],[Light_C]],IF($F$1="schwer",Gew_Prim_Supp[[#This Row],[Heavy_C]]))</f>
        <v>27.997119999999999</v>
      </c>
      <c r="AQ161">
        <f>IF($F$1="leicht",Gew_Prim_Supp[[#This Row],[Light_S]],IF($F$1="schwer",Gew_Prim_Supp[[#This Row],[Heavy_S]]))</f>
        <v>30.47</v>
      </c>
      <c r="AR161">
        <f>IF($B$1="Carbon",Gew_Prim_Supp[[#This Row],[HL_Carbon]],IF($B$1="Stainless",Gew_Prim_Supp[[#This Row],[HL_Stainless]]))</f>
        <v>27.997119999999999</v>
      </c>
      <c r="AS161">
        <f>IF($D$1="FP",Gew_Prim_Supp[[#This Row],[SC_Fixed]],Gew_Prim_Supp[[#This Row],[SC_Slide]])</f>
        <v>47</v>
      </c>
    </row>
    <row r="162" spans="2:45">
      <c r="B162">
        <v>450</v>
      </c>
      <c r="C162" t="s">
        <v>76</v>
      </c>
      <c r="D162">
        <v>458</v>
      </c>
      <c r="E162">
        <v>6</v>
      </c>
      <c r="F162">
        <v>200</v>
      </c>
      <c r="G162">
        <v>8</v>
      </c>
      <c r="H162">
        <v>299</v>
      </c>
      <c r="I162" t="s">
        <v>110</v>
      </c>
      <c r="J162" t="s">
        <v>490</v>
      </c>
      <c r="K162" t="s">
        <v>491</v>
      </c>
      <c r="L162" t="s">
        <v>37</v>
      </c>
      <c r="M162" t="s">
        <v>245</v>
      </c>
      <c r="N162">
        <v>83</v>
      </c>
      <c r="O162">
        <v>0</v>
      </c>
      <c r="Q162">
        <v>450</v>
      </c>
      <c r="R162" t="s">
        <v>76</v>
      </c>
      <c r="S162">
        <v>458</v>
      </c>
      <c r="T162">
        <v>6</v>
      </c>
      <c r="U162">
        <v>200</v>
      </c>
      <c r="V162">
        <v>8</v>
      </c>
      <c r="W162">
        <v>299</v>
      </c>
      <c r="X162" t="s">
        <v>110</v>
      </c>
      <c r="Y162" t="s">
        <v>490</v>
      </c>
      <c r="Z162" t="s">
        <v>491</v>
      </c>
      <c r="AA162" t="s">
        <v>37</v>
      </c>
      <c r="AB162" t="s">
        <v>251</v>
      </c>
      <c r="AC162">
        <f>Prim_Supp_leicht_edel[[#This Row],[U_height]]</f>
        <v>83</v>
      </c>
      <c r="AD162">
        <v>30</v>
      </c>
      <c r="AG162">
        <v>82.757081040788762</v>
      </c>
      <c r="AI162" s="87">
        <v>450</v>
      </c>
      <c r="AJ162">
        <f>((F332*(Prim_Supp_leicht_Csteel[[#This Row],[W]]+Prim_Supp_leicht_Csteel[[#This Row],[Ext]]+Prim_Supp_leicht_Csteel[[#This Row],[Ext]])*Prim_Supp_leicht_Csteel[[#This Row],[s_Blech]]+(F332*(Prim_Supp_leicht_Csteel[[#This Row],[U_height]]-Prim_Supp_leicht_Csteel[[#This Row],[s_Blech]])*Prim_Supp_leicht_Csteel[[#This Row],[s_Blech]])*2)*$K$1/1000)+Q78</f>
        <v>18.913600000000002</v>
      </c>
      <c r="AK162">
        <v>17.420000000000002</v>
      </c>
      <c r="AL162">
        <f t="shared" si="26"/>
        <v>33.584000000000003</v>
      </c>
      <c r="AM162">
        <v>34.22</v>
      </c>
      <c r="AN162">
        <v>0</v>
      </c>
      <c r="AO162">
        <v>0</v>
      </c>
      <c r="AP162">
        <f>IF($F$1="leicht",Gew_Prim_Supp[[#This Row],[Light_C]],IF($F$1="schwer",Gew_Prim_Supp[[#This Row],[Heavy_C]]))</f>
        <v>33.584000000000003</v>
      </c>
      <c r="AQ162">
        <f>IF($F$1="leicht",Gew_Prim_Supp[[#This Row],[Light_S]],IF($F$1="schwer",Gew_Prim_Supp[[#This Row],[Heavy_S]]))</f>
        <v>34.22</v>
      </c>
      <c r="AR162">
        <f>IF($B$1="Carbon",Gew_Prim_Supp[[#This Row],[HL_Carbon]],IF($B$1="Stainless",Gew_Prim_Supp[[#This Row],[HL_Stainless]]))</f>
        <v>33.584000000000003</v>
      </c>
      <c r="AS162">
        <f>IF($D$1="FP",Gew_Prim_Supp[[#This Row],[SC_Fixed]],Gew_Prim_Supp[[#This Row],[SC_Slide]])</f>
        <v>0</v>
      </c>
    </row>
    <row r="163" spans="2:45">
      <c r="B163">
        <v>500</v>
      </c>
      <c r="C163" t="s">
        <v>77</v>
      </c>
      <c r="D163">
        <v>508</v>
      </c>
      <c r="E163">
        <v>6</v>
      </c>
      <c r="F163">
        <v>250</v>
      </c>
      <c r="G163">
        <v>8</v>
      </c>
      <c r="H163">
        <v>324</v>
      </c>
      <c r="I163" t="s">
        <v>110</v>
      </c>
      <c r="J163" t="s">
        <v>490</v>
      </c>
      <c r="K163" t="s">
        <v>491</v>
      </c>
      <c r="L163" t="s">
        <v>37</v>
      </c>
      <c r="M163" t="s">
        <v>245</v>
      </c>
      <c r="N163">
        <v>92</v>
      </c>
      <c r="O163">
        <v>0</v>
      </c>
      <c r="Q163">
        <v>500</v>
      </c>
      <c r="R163" t="s">
        <v>77</v>
      </c>
      <c r="S163">
        <v>508</v>
      </c>
      <c r="T163">
        <v>6</v>
      </c>
      <c r="U163">
        <v>250</v>
      </c>
      <c r="V163">
        <v>8</v>
      </c>
      <c r="W163">
        <v>324</v>
      </c>
      <c r="X163" t="s">
        <v>110</v>
      </c>
      <c r="Y163" t="s">
        <v>490</v>
      </c>
      <c r="Z163" t="s">
        <v>491</v>
      </c>
      <c r="AA163" t="s">
        <v>37</v>
      </c>
      <c r="AB163" t="s">
        <v>251</v>
      </c>
      <c r="AC163">
        <f>Prim_Supp_leicht_edel[[#This Row],[U_height]]</f>
        <v>92</v>
      </c>
      <c r="AD163">
        <v>30</v>
      </c>
      <c r="AG163">
        <v>91.81257570660722</v>
      </c>
      <c r="AI163" s="88">
        <v>500</v>
      </c>
      <c r="AJ163">
        <f>((F333*(Prim_Supp_leicht_Csteel[[#This Row],[W]]+Prim_Supp_leicht_Csteel[[#This Row],[Ext]]+Prim_Supp_leicht_Csteel[[#This Row],[Ext]])*Prim_Supp_leicht_Csteel[[#This Row],[s_Blech]]+(F333*(Prim_Supp_leicht_Csteel[[#This Row],[U_height]]-Prim_Supp_leicht_Csteel[[#This Row],[s_Blech]])*Prim_Supp_leicht_Csteel[[#This Row],[s_Blech]])*2)*$K$1/1000)+Q79</f>
        <v>20.130879999999998</v>
      </c>
      <c r="AK163">
        <v>19.899999999999999</v>
      </c>
      <c r="AL163">
        <f t="shared" si="26"/>
        <v>33.397759999999998</v>
      </c>
      <c r="AM163">
        <v>36</v>
      </c>
      <c r="AN163">
        <v>51</v>
      </c>
      <c r="AO163">
        <v>93</v>
      </c>
      <c r="AP163">
        <f>IF($F$1="leicht",Gew_Prim_Supp[[#This Row],[Light_C]],IF($F$1="schwer",Gew_Prim_Supp[[#This Row],[Heavy_C]]))</f>
        <v>33.397759999999998</v>
      </c>
      <c r="AQ163">
        <f>IF($F$1="leicht",Gew_Prim_Supp[[#This Row],[Light_S]],IF($F$1="schwer",Gew_Prim_Supp[[#This Row],[Heavy_S]]))</f>
        <v>36</v>
      </c>
      <c r="AR163">
        <f>IF($B$1="Carbon",Gew_Prim_Supp[[#This Row],[HL_Carbon]],IF($B$1="Stainless",Gew_Prim_Supp[[#This Row],[HL_Stainless]]))</f>
        <v>33.397759999999998</v>
      </c>
      <c r="AS163">
        <f>IF($D$1="FP",Gew_Prim_Supp[[#This Row],[SC_Fixed]],Gew_Prim_Supp[[#This Row],[SC_Slide]])</f>
        <v>51</v>
      </c>
    </row>
    <row r="164" spans="2:45">
      <c r="B164">
        <v>600</v>
      </c>
      <c r="C164" t="s">
        <v>78</v>
      </c>
      <c r="D164">
        <v>610</v>
      </c>
      <c r="E164">
        <v>8</v>
      </c>
      <c r="F164">
        <v>300</v>
      </c>
      <c r="G164">
        <v>10</v>
      </c>
      <c r="H164">
        <v>375</v>
      </c>
      <c r="I164" t="s">
        <v>110</v>
      </c>
      <c r="J164" t="s">
        <v>490</v>
      </c>
      <c r="K164" t="s">
        <v>491</v>
      </c>
      <c r="L164" t="s">
        <v>37</v>
      </c>
      <c r="M164" t="s">
        <v>245</v>
      </c>
      <c r="N164">
        <v>95</v>
      </c>
      <c r="O164">
        <v>0</v>
      </c>
      <c r="Q164">
        <v>600</v>
      </c>
      <c r="R164" t="s">
        <v>78</v>
      </c>
      <c r="S164">
        <v>610</v>
      </c>
      <c r="T164">
        <v>8</v>
      </c>
      <c r="U164">
        <v>300</v>
      </c>
      <c r="V164">
        <v>10</v>
      </c>
      <c r="W164">
        <v>375</v>
      </c>
      <c r="X164" t="s">
        <v>110</v>
      </c>
      <c r="Y164" t="s">
        <v>490</v>
      </c>
      <c r="Z164" t="s">
        <v>491</v>
      </c>
      <c r="AA164" t="s">
        <v>37</v>
      </c>
      <c r="AB164" t="s">
        <v>251</v>
      </c>
      <c r="AC164">
        <f>Prim_Supp_leicht_edel[[#This Row],[U_height]]</f>
        <v>95</v>
      </c>
      <c r="AD164">
        <v>30</v>
      </c>
      <c r="AG164">
        <v>95.055362616105811</v>
      </c>
      <c r="AI164" s="87">
        <v>600</v>
      </c>
      <c r="AJ164">
        <f>((F334*(Prim_Supp_leicht_Csteel[[#This Row],[W]]+Prim_Supp_leicht_Csteel[[#This Row],[Ext]]+Prim_Supp_leicht_Csteel[[#This Row],[Ext]])*Prim_Supp_leicht_Csteel[[#This Row],[s_Blech]]+(F334*(Prim_Supp_leicht_Csteel[[#This Row],[U_height]]-Prim_Supp_leicht_Csteel[[#This Row],[s_Blech]])*Prim_Supp_leicht_Csteel[[#This Row],[s_Blech]])*2)*$K$1/1000)+Q80</f>
        <v>28.536000000000001</v>
      </c>
      <c r="AK164">
        <v>34.49</v>
      </c>
      <c r="AL164">
        <f t="shared" si="26"/>
        <v>48.335999999999999</v>
      </c>
      <c r="AM164">
        <v>49.4</v>
      </c>
      <c r="AN164">
        <v>88</v>
      </c>
      <c r="AO164">
        <v>140</v>
      </c>
      <c r="AP164">
        <f>IF($F$1="leicht",Gew_Prim_Supp[[#This Row],[Light_C]],IF($F$1="schwer",Gew_Prim_Supp[[#This Row],[Heavy_C]]))</f>
        <v>48.335999999999999</v>
      </c>
      <c r="AQ164">
        <f>IF($F$1="leicht",Gew_Prim_Supp[[#This Row],[Light_S]],IF($F$1="schwer",Gew_Prim_Supp[[#This Row],[Heavy_S]]))</f>
        <v>49.4</v>
      </c>
      <c r="AR164">
        <f>IF($B$1="Carbon",Gew_Prim_Supp[[#This Row],[HL_Carbon]],IF($B$1="Stainless",Gew_Prim_Supp[[#This Row],[HL_Stainless]]))</f>
        <v>48.335999999999999</v>
      </c>
      <c r="AS164">
        <f>IF($D$1="FP",Gew_Prim_Supp[[#This Row],[SC_Fixed]],Gew_Prim_Supp[[#This Row],[SC_Slide]])</f>
        <v>88</v>
      </c>
    </row>
    <row r="165" spans="2:45">
      <c r="B165">
        <v>700</v>
      </c>
      <c r="C165" t="s">
        <v>80</v>
      </c>
      <c r="D165">
        <v>712</v>
      </c>
      <c r="E165">
        <v>8</v>
      </c>
      <c r="F165">
        <v>300</v>
      </c>
      <c r="G165">
        <v>10</v>
      </c>
      <c r="H165">
        <v>426</v>
      </c>
      <c r="I165" t="s">
        <v>110</v>
      </c>
      <c r="J165" t="s">
        <v>490</v>
      </c>
      <c r="K165" t="s">
        <v>491</v>
      </c>
      <c r="L165" t="s">
        <v>37</v>
      </c>
      <c r="M165" t="s">
        <v>245</v>
      </c>
      <c r="N165">
        <v>90</v>
      </c>
      <c r="O165">
        <v>0</v>
      </c>
      <c r="Q165">
        <v>700</v>
      </c>
      <c r="R165" t="s">
        <v>80</v>
      </c>
      <c r="S165">
        <v>712</v>
      </c>
      <c r="T165">
        <v>8</v>
      </c>
      <c r="U165">
        <v>300</v>
      </c>
      <c r="V165">
        <v>10</v>
      </c>
      <c r="W165">
        <v>426</v>
      </c>
      <c r="X165" t="s">
        <v>110</v>
      </c>
      <c r="Y165" t="s">
        <v>490</v>
      </c>
      <c r="Z165" t="s">
        <v>491</v>
      </c>
      <c r="AA165" t="s">
        <v>37</v>
      </c>
      <c r="AB165" t="s">
        <v>251</v>
      </c>
      <c r="AC165">
        <f>Prim_Supp_leicht_edel[[#This Row],[U_height]]</f>
        <v>90</v>
      </c>
      <c r="AD165">
        <v>30</v>
      </c>
      <c r="AG165">
        <v>90</v>
      </c>
      <c r="AI165" s="88">
        <v>700</v>
      </c>
      <c r="AJ165">
        <f>((F335*(Prim_Supp_leicht_Csteel[[#This Row],[W]]+Prim_Supp_leicht_Csteel[[#This Row],[Ext]]+Prim_Supp_leicht_Csteel[[#This Row],[Ext]])*Prim_Supp_leicht_Csteel[[#This Row],[s_Blech]]+(F335*(Prim_Supp_leicht_Csteel[[#This Row],[U_height]]-Prim_Supp_leicht_Csteel[[#This Row],[s_Blech]])*Prim_Supp_leicht_Csteel[[#This Row],[s_Blech]])*2)*$K$1/1000)+Q81</f>
        <v>31.224</v>
      </c>
      <c r="AK165">
        <v>36.17</v>
      </c>
      <c r="AL165">
        <f t="shared" si="26"/>
        <v>57.674399999999999</v>
      </c>
      <c r="AM165">
        <v>59.23</v>
      </c>
      <c r="AN165">
        <v>94</v>
      </c>
      <c r="AO165">
        <v>150</v>
      </c>
      <c r="AP165">
        <f>IF($F$1="leicht",Gew_Prim_Supp[[#This Row],[Light_C]],IF($F$1="schwer",Gew_Prim_Supp[[#This Row],[Heavy_C]]))</f>
        <v>57.674399999999999</v>
      </c>
      <c r="AQ165">
        <f>IF($F$1="leicht",Gew_Prim_Supp[[#This Row],[Light_S]],IF($F$1="schwer",Gew_Prim_Supp[[#This Row],[Heavy_S]]))</f>
        <v>59.23</v>
      </c>
      <c r="AR165">
        <f>IF($B$1="Carbon",Gew_Prim_Supp[[#This Row],[HL_Carbon]],IF($B$1="Stainless",Gew_Prim_Supp[[#This Row],[HL_Stainless]]))</f>
        <v>57.674399999999999</v>
      </c>
      <c r="AS165">
        <f>IF($D$1="FP",Gew_Prim_Supp[[#This Row],[SC_Fixed]],Gew_Prim_Supp[[#This Row],[SC_Slide]])</f>
        <v>94</v>
      </c>
    </row>
    <row r="166" spans="2:45">
      <c r="B166">
        <v>800</v>
      </c>
      <c r="C166" t="s">
        <v>81</v>
      </c>
      <c r="D166">
        <v>813</v>
      </c>
      <c r="E166">
        <v>10</v>
      </c>
      <c r="F166">
        <v>400</v>
      </c>
      <c r="G166">
        <v>15</v>
      </c>
      <c r="H166">
        <v>476.5</v>
      </c>
      <c r="I166" t="s">
        <v>110</v>
      </c>
      <c r="J166" t="s">
        <v>490</v>
      </c>
      <c r="K166" t="s">
        <v>491</v>
      </c>
      <c r="L166" t="s">
        <v>37</v>
      </c>
      <c r="M166" t="s">
        <v>245</v>
      </c>
      <c r="N166">
        <v>104</v>
      </c>
      <c r="O166">
        <v>0</v>
      </c>
      <c r="Q166">
        <v>800</v>
      </c>
      <c r="R166" t="s">
        <v>81</v>
      </c>
      <c r="S166">
        <v>813</v>
      </c>
      <c r="T166">
        <v>10</v>
      </c>
      <c r="U166">
        <v>400</v>
      </c>
      <c r="V166">
        <v>15</v>
      </c>
      <c r="W166">
        <v>476.5</v>
      </c>
      <c r="X166" t="s">
        <v>110</v>
      </c>
      <c r="Y166" t="s">
        <v>490</v>
      </c>
      <c r="Z166" t="s">
        <v>491</v>
      </c>
      <c r="AA166" t="s">
        <v>37</v>
      </c>
      <c r="AB166" t="s">
        <v>251</v>
      </c>
      <c r="AC166">
        <f>Prim_Supp_leicht_edel[[#This Row],[U_height]]</f>
        <v>104</v>
      </c>
      <c r="AD166">
        <v>30</v>
      </c>
      <c r="AG166">
        <v>103.34152160241621</v>
      </c>
      <c r="AI166" s="87">
        <v>800</v>
      </c>
      <c r="AJ166">
        <f>((F336*(Prim_Supp_leicht_Csteel[[#This Row],[W]]+Prim_Supp_leicht_Csteel[[#This Row],[Ext]]+Prim_Supp_leicht_Csteel[[#This Row],[Ext]])*Prim_Supp_leicht_Csteel[[#This Row],[s_Blech]]+(F336*(Prim_Supp_leicht_Csteel[[#This Row],[U_height]]-Prim_Supp_leicht_Csteel[[#This Row],[s_Blech]])*Prim_Supp_leicht_Csteel[[#This Row],[s_Blech]])*2)*$K$1/1000)+Q82</f>
        <v>49.858399999999996</v>
      </c>
      <c r="AK166">
        <v>59.62</v>
      </c>
      <c r="AL166">
        <f t="shared" si="26"/>
        <v>85.676799999999986</v>
      </c>
      <c r="AM166">
        <v>87.72</v>
      </c>
      <c r="AN166">
        <v>110</v>
      </c>
      <c r="AO166">
        <v>160</v>
      </c>
      <c r="AP166">
        <f>IF($F$1="leicht",Gew_Prim_Supp[[#This Row],[Light_C]],IF($F$1="schwer",Gew_Prim_Supp[[#This Row],[Heavy_C]]))</f>
        <v>85.676799999999986</v>
      </c>
      <c r="AQ166">
        <f>IF($F$1="leicht",Gew_Prim_Supp[[#This Row],[Light_S]],IF($F$1="schwer",Gew_Prim_Supp[[#This Row],[Heavy_S]]))</f>
        <v>87.72</v>
      </c>
      <c r="AR166">
        <f>IF($B$1="Carbon",Gew_Prim_Supp[[#This Row],[HL_Carbon]],IF($B$1="Stainless",Gew_Prim_Supp[[#This Row],[HL_Stainless]]))</f>
        <v>85.676799999999986</v>
      </c>
      <c r="AS166">
        <f>IF($D$1="FP",Gew_Prim_Supp[[#This Row],[SC_Fixed]],Gew_Prim_Supp[[#This Row],[SC_Slide]])</f>
        <v>110</v>
      </c>
    </row>
    <row r="167" spans="2:45">
      <c r="B167">
        <v>900</v>
      </c>
      <c r="C167" t="s">
        <v>83</v>
      </c>
      <c r="D167">
        <v>915</v>
      </c>
      <c r="E167">
        <v>10</v>
      </c>
      <c r="F167">
        <v>400</v>
      </c>
      <c r="G167">
        <v>15</v>
      </c>
      <c r="H167">
        <v>527.5</v>
      </c>
      <c r="I167" t="s">
        <v>110</v>
      </c>
      <c r="J167" t="s">
        <v>490</v>
      </c>
      <c r="K167" t="s">
        <v>491</v>
      </c>
      <c r="L167" t="s">
        <v>37</v>
      </c>
      <c r="M167" t="s">
        <v>245</v>
      </c>
      <c r="N167">
        <v>98</v>
      </c>
      <c r="O167">
        <v>0</v>
      </c>
      <c r="Q167">
        <v>900</v>
      </c>
      <c r="R167" t="s">
        <v>83</v>
      </c>
      <c r="S167">
        <v>915</v>
      </c>
      <c r="T167">
        <v>10</v>
      </c>
      <c r="U167">
        <v>400</v>
      </c>
      <c r="V167">
        <v>15</v>
      </c>
      <c r="W167">
        <v>527.5</v>
      </c>
      <c r="X167" t="s">
        <v>110</v>
      </c>
      <c r="Y167" t="s">
        <v>490</v>
      </c>
      <c r="Z167" t="s">
        <v>491</v>
      </c>
      <c r="AA167" t="s">
        <v>37</v>
      </c>
      <c r="AB167" t="s">
        <v>251</v>
      </c>
      <c r="AC167">
        <f>Prim_Supp_leicht_edel[[#This Row],[U_height]]</f>
        <v>98</v>
      </c>
      <c r="AD167">
        <v>30</v>
      </c>
      <c r="AG167">
        <v>98.161846559148671</v>
      </c>
      <c r="AI167" s="88">
        <v>900</v>
      </c>
      <c r="AJ167">
        <f>((F337*(Prim_Supp_leicht_Csteel[[#This Row],[W]]+Prim_Supp_leicht_Csteel[[#This Row],[Ext]]+Prim_Supp_leicht_Csteel[[#This Row],[Ext]])*Prim_Supp_leicht_Csteel[[#This Row],[s_Blech]]+(F337*(Prim_Supp_leicht_Csteel[[#This Row],[U_height]]-Prim_Supp_leicht_Csteel[[#This Row],[s_Blech]])*Prim_Supp_leicht_Csteel[[#This Row],[s_Blech]])*2)*$K$1/1000)+Q83</f>
        <v>54.296799999999998</v>
      </c>
      <c r="AK167">
        <v>64.569999999999993</v>
      </c>
      <c r="AL167">
        <f t="shared" si="26"/>
        <v>100.6844</v>
      </c>
      <c r="AM167">
        <v>103.15</v>
      </c>
      <c r="AN167">
        <v>110</v>
      </c>
      <c r="AO167">
        <v>170</v>
      </c>
      <c r="AP167">
        <f>IF($F$1="leicht",Gew_Prim_Supp[[#This Row],[Light_C]],IF($F$1="schwer",Gew_Prim_Supp[[#This Row],[Heavy_C]]))</f>
        <v>100.6844</v>
      </c>
      <c r="AQ167">
        <f>IF($F$1="leicht",Gew_Prim_Supp[[#This Row],[Light_S]],IF($F$1="schwer",Gew_Prim_Supp[[#This Row],[Heavy_S]]))</f>
        <v>103.15</v>
      </c>
      <c r="AR167">
        <f>IF($B$1="Carbon",Gew_Prim_Supp[[#This Row],[HL_Carbon]],IF($B$1="Stainless",Gew_Prim_Supp[[#This Row],[HL_Stainless]]))</f>
        <v>100.6844</v>
      </c>
      <c r="AS167">
        <f>IF($D$1="FP",Gew_Prim_Supp[[#This Row],[SC_Fixed]],Gew_Prim_Supp[[#This Row],[SC_Slide]])</f>
        <v>110</v>
      </c>
    </row>
    <row r="168" spans="2:45">
      <c r="B168">
        <v>1000</v>
      </c>
      <c r="C168" t="s">
        <v>84</v>
      </c>
      <c r="D168">
        <v>1016</v>
      </c>
      <c r="E168">
        <v>10</v>
      </c>
      <c r="F168">
        <v>400</v>
      </c>
      <c r="G168">
        <v>15</v>
      </c>
      <c r="H168">
        <v>578</v>
      </c>
      <c r="I168" t="s">
        <v>110</v>
      </c>
      <c r="J168" t="s">
        <v>490</v>
      </c>
      <c r="K168" t="s">
        <v>491</v>
      </c>
      <c r="L168" t="s">
        <v>37</v>
      </c>
      <c r="M168" t="s">
        <v>245</v>
      </c>
      <c r="N168">
        <v>94</v>
      </c>
      <c r="O168">
        <v>0</v>
      </c>
      <c r="Q168">
        <v>1000</v>
      </c>
      <c r="R168" t="s">
        <v>84</v>
      </c>
      <c r="S168">
        <v>1016</v>
      </c>
      <c r="T168">
        <v>10</v>
      </c>
      <c r="U168">
        <v>400</v>
      </c>
      <c r="V168">
        <v>15</v>
      </c>
      <c r="W168">
        <v>578</v>
      </c>
      <c r="X168" t="s">
        <v>110</v>
      </c>
      <c r="Y168" t="s">
        <v>490</v>
      </c>
      <c r="Z168" t="s">
        <v>491</v>
      </c>
      <c r="AA168" t="s">
        <v>37</v>
      </c>
      <c r="AB168" t="s">
        <v>251</v>
      </c>
      <c r="AC168">
        <f>Prim_Supp_leicht_edel[[#This Row],[U_height]]</f>
        <v>94</v>
      </c>
      <c r="AD168">
        <v>30</v>
      </c>
      <c r="AG168">
        <v>94.162217266985238</v>
      </c>
      <c r="AI168" s="87">
        <v>1000</v>
      </c>
      <c r="AJ168">
        <f>((F338*(Prim_Supp_leicht_Csteel[[#This Row],[W]]+Prim_Supp_leicht_Csteel[[#This Row],[Ext]]+Prim_Supp_leicht_Csteel[[#This Row],[Ext]])*Prim_Supp_leicht_Csteel[[#This Row],[s_Blech]]+(F338*(Prim_Supp_leicht_Csteel[[#This Row],[U_height]]-Prim_Supp_leicht_Csteel[[#This Row],[s_Blech]])*Prim_Supp_leicht_Csteel[[#This Row],[s_Blech]])*2)*$K$1/1000)+Q84</f>
        <v>58.422399999999996</v>
      </c>
      <c r="AK168">
        <v>67.459999999999994</v>
      </c>
      <c r="AL168">
        <f t="shared" si="26"/>
        <v>114.78559999999999</v>
      </c>
      <c r="AM168">
        <v>117.96</v>
      </c>
      <c r="AN168">
        <v>120</v>
      </c>
      <c r="AO168">
        <v>180</v>
      </c>
      <c r="AP168">
        <f>IF($F$1="leicht",Gew_Prim_Supp[[#This Row],[Light_C]],IF($F$1="schwer",Gew_Prim_Supp[[#This Row],[Heavy_C]]))</f>
        <v>114.78559999999999</v>
      </c>
      <c r="AQ168">
        <f>IF($F$1="leicht",Gew_Prim_Supp[[#This Row],[Light_S]],IF($F$1="schwer",Gew_Prim_Supp[[#This Row],[Heavy_S]]))</f>
        <v>117.96</v>
      </c>
      <c r="AR168">
        <f>IF($B$1="Carbon",Gew_Prim_Supp[[#This Row],[HL_Carbon]],IF($B$1="Stainless",Gew_Prim_Supp[[#This Row],[HL_Stainless]]))</f>
        <v>114.78559999999999</v>
      </c>
      <c r="AS168">
        <f>IF($D$1="FP",Gew_Prim_Supp[[#This Row],[SC_Fixed]],Gew_Prim_Supp[[#This Row],[SC_Slide]])</f>
        <v>120</v>
      </c>
    </row>
    <row r="169" spans="2:45">
      <c r="B169">
        <v>1200</v>
      </c>
      <c r="C169" t="s">
        <v>85</v>
      </c>
      <c r="D169">
        <v>1225</v>
      </c>
      <c r="E169">
        <v>10</v>
      </c>
      <c r="F169">
        <v>450</v>
      </c>
      <c r="G169">
        <v>15</v>
      </c>
      <c r="H169">
        <v>682.5</v>
      </c>
      <c r="I169" t="s">
        <v>110</v>
      </c>
      <c r="J169" t="s">
        <v>490</v>
      </c>
      <c r="K169" t="s">
        <v>491</v>
      </c>
      <c r="L169" t="s">
        <v>37</v>
      </c>
      <c r="M169" t="s">
        <v>245</v>
      </c>
      <c r="N169">
        <v>97</v>
      </c>
      <c r="O169">
        <v>0</v>
      </c>
      <c r="Q169">
        <v>1200</v>
      </c>
      <c r="R169" t="s">
        <v>85</v>
      </c>
      <c r="S169">
        <v>1225</v>
      </c>
      <c r="T169">
        <v>10</v>
      </c>
      <c r="U169">
        <v>450</v>
      </c>
      <c r="V169">
        <v>15</v>
      </c>
      <c r="W169">
        <v>682.5</v>
      </c>
      <c r="X169" t="s">
        <v>110</v>
      </c>
      <c r="Y169" t="s">
        <v>490</v>
      </c>
      <c r="Z169" t="s">
        <v>491</v>
      </c>
      <c r="AA169" t="s">
        <v>37</v>
      </c>
      <c r="AB169" t="s">
        <v>251</v>
      </c>
      <c r="AC169">
        <f>Prim_Supp_leicht_edel[[#This Row],[U_height]]</f>
        <v>97</v>
      </c>
      <c r="AD169">
        <v>30</v>
      </c>
      <c r="AG169">
        <v>96.491254331473328</v>
      </c>
      <c r="AI169" s="89">
        <v>1200</v>
      </c>
      <c r="AJ169">
        <f>((F339*(Prim_Supp_leicht_Csteel[[#This Row],[W]]+Prim_Supp_leicht_Csteel[[#This Row],[Ext]]+Prim_Supp_leicht_Csteel[[#This Row],[Ext]])*Prim_Supp_leicht_Csteel[[#This Row],[s_Blech]]+(F339*(Prim_Supp_leicht_Csteel[[#This Row],[U_height]]-Prim_Supp_leicht_Csteel[[#This Row],[s_Blech]])*Prim_Supp_leicht_Csteel[[#This Row],[s_Blech]])*2)*$K$1/1000)+Q85</f>
        <v>83.429000000000002</v>
      </c>
      <c r="AK169">
        <v>83.44</v>
      </c>
      <c r="AL169">
        <f t="shared" si="26"/>
        <v>169.9</v>
      </c>
      <c r="AM169">
        <v>187.98</v>
      </c>
      <c r="AN169">
        <v>130</v>
      </c>
      <c r="AO169">
        <v>200</v>
      </c>
      <c r="AP169">
        <f>IF($F$1="leicht",Gew_Prim_Supp[[#This Row],[Light_C]],IF($F$1="schwer",Gew_Prim_Supp[[#This Row],[Heavy_C]]))</f>
        <v>169.9</v>
      </c>
      <c r="AQ169">
        <f>IF($F$1="leicht",Gew_Prim_Supp[[#This Row],[Light_S]],IF($F$1="schwer",Gew_Prim_Supp[[#This Row],[Heavy_S]]))</f>
        <v>187.98</v>
      </c>
      <c r="AR169">
        <f>IF($B$1="Carbon",Gew_Prim_Supp[[#This Row],[HL_Carbon]],IF($B$1="Stainless",Gew_Prim_Supp[[#This Row],[HL_Stainless]]))</f>
        <v>169.9</v>
      </c>
      <c r="AS169">
        <f>IF($D$1="FP",Gew_Prim_Supp[[#This Row],[SC_Fixed]],Gew_Prim_Supp[[#This Row],[SC_Slide]])</f>
        <v>130</v>
      </c>
    </row>
    <row r="172" spans="2:45">
      <c r="B172" t="s">
        <v>373</v>
      </c>
      <c r="Q172" t="s">
        <v>124</v>
      </c>
    </row>
    <row r="173" spans="2:45">
      <c r="B173" t="s">
        <v>89</v>
      </c>
      <c r="C173" t="s">
        <v>90</v>
      </c>
      <c r="D173" t="s">
        <v>91</v>
      </c>
      <c r="E173" t="s">
        <v>112</v>
      </c>
      <c r="F173" t="s">
        <v>109</v>
      </c>
      <c r="G173" t="s">
        <v>228</v>
      </c>
      <c r="H173" t="s">
        <v>113</v>
      </c>
      <c r="I173" t="s">
        <v>116</v>
      </c>
      <c r="J173" t="s">
        <v>117</v>
      </c>
      <c r="K173" t="s">
        <v>21</v>
      </c>
      <c r="L173" t="s">
        <v>24</v>
      </c>
      <c r="M173" t="s">
        <v>122</v>
      </c>
      <c r="N173" t="s">
        <v>242</v>
      </c>
      <c r="O173" t="s">
        <v>243</v>
      </c>
      <c r="Q173" t="s">
        <v>89</v>
      </c>
      <c r="R173" t="s">
        <v>90</v>
      </c>
      <c r="S173" t="s">
        <v>91</v>
      </c>
      <c r="T173" t="s">
        <v>112</v>
      </c>
      <c r="U173" t="s">
        <v>109</v>
      </c>
      <c r="V173" t="s">
        <v>228</v>
      </c>
      <c r="W173" t="s">
        <v>113</v>
      </c>
      <c r="X173" t="s">
        <v>116</v>
      </c>
      <c r="Y173" t="s">
        <v>117</v>
      </c>
      <c r="Z173" t="s">
        <v>21</v>
      </c>
      <c r="AA173" t="s">
        <v>24</v>
      </c>
      <c r="AB173" t="s">
        <v>122</v>
      </c>
      <c r="AC173" t="s">
        <v>242</v>
      </c>
      <c r="AD173" t="s">
        <v>243</v>
      </c>
    </row>
    <row r="174" spans="2:45">
      <c r="B174">
        <v>15</v>
      </c>
      <c r="C174" s="11" t="s">
        <v>58</v>
      </c>
      <c r="D174">
        <v>22</v>
      </c>
      <c r="E174">
        <v>5</v>
      </c>
      <c r="F174">
        <v>60</v>
      </c>
      <c r="G174">
        <v>6</v>
      </c>
      <c r="H174">
        <v>82</v>
      </c>
      <c r="I174" t="s">
        <v>96</v>
      </c>
      <c r="J174" t="s">
        <v>34</v>
      </c>
      <c r="K174" t="s">
        <v>114</v>
      </c>
      <c r="L174" t="s">
        <v>115</v>
      </c>
      <c r="M174" t="s">
        <v>240</v>
      </c>
      <c r="N174">
        <v>0</v>
      </c>
      <c r="O174">
        <v>0</v>
      </c>
      <c r="Q174">
        <v>15</v>
      </c>
      <c r="R174" s="20" t="str">
        <f>Prim_Supp_schwer_edel[[#This Row],[IN]]</f>
        <v>1/2”</v>
      </c>
      <c r="S174" s="20">
        <f>Prim_Supp_schwer_edel[[#This Row],[OD]]</f>
        <v>22</v>
      </c>
      <c r="T174" s="20">
        <f>Prim_Supp_schwer_edel[[#This Row],[sC]]</f>
        <v>5</v>
      </c>
      <c r="U174" s="20">
        <f>Prim_Supp_schwer_edel[[#This Row],[W]]</f>
        <v>60</v>
      </c>
      <c r="V174" s="20">
        <f>Prim_Supp_schwer_edel[[#This Row],[s_Blech]]</f>
        <v>6</v>
      </c>
      <c r="W174" s="20">
        <f>Prim_Supp_schwer_edel[[#This Row],[CL]]</f>
        <v>82</v>
      </c>
      <c r="X174" s="20" t="str">
        <f>Prim_Supp_schwer_edel[[#This Row],[GB_GS]]</f>
        <v>B</v>
      </c>
      <c r="Y174" s="20" t="str">
        <f>Prim_Supp_schwer_edel[[#This Row],[SB_SS]]</f>
        <v>C</v>
      </c>
      <c r="Z174" s="20" t="str">
        <f>Prim_Supp_schwer_edel[[#This Row],[FP]]</f>
        <v>D</v>
      </c>
      <c r="AA174" s="20" t="str">
        <f>Prim_Supp_schwer_edel[[#This Row],[PFP]]</f>
        <v>T</v>
      </c>
      <c r="AB174" s="20" t="str">
        <f>Prim_Supp_schwer_edel[[#This Row],[Ausf]]</f>
        <v>iT</v>
      </c>
      <c r="AC174">
        <f>Prim_Supp_schwer_edel[[#This Row],[U_height]]</f>
        <v>0</v>
      </c>
      <c r="AD174">
        <v>0</v>
      </c>
      <c r="AG174" t="e" cm="1">
        <f t="array" ref="AG174:AG197">Prim_Supp_schwer_edel[CL]-SQRT(POWER((Prim_Supp_schwer_edel[OD]/2)+Prim_Supp_schwer_edel[sC],2)-POWER((Prim_Supp_schwer_edel[W]/2)-Prim_Supp_schwer_edel[s_Blech],2))</f>
        <v>#NUM!</v>
      </c>
    </row>
    <row r="175" spans="2:45">
      <c r="B175">
        <v>20</v>
      </c>
      <c r="C175" s="13" t="s">
        <v>61</v>
      </c>
      <c r="D175">
        <v>27</v>
      </c>
      <c r="E175">
        <v>5</v>
      </c>
      <c r="F175">
        <v>60</v>
      </c>
      <c r="G175">
        <v>6</v>
      </c>
      <c r="H175">
        <v>84.5</v>
      </c>
      <c r="I175" t="s">
        <v>96</v>
      </c>
      <c r="J175" t="s">
        <v>34</v>
      </c>
      <c r="K175" t="s">
        <v>114</v>
      </c>
      <c r="L175" t="s">
        <v>115</v>
      </c>
      <c r="M175" t="s">
        <v>240</v>
      </c>
      <c r="N175">
        <v>0</v>
      </c>
      <c r="O175">
        <v>0</v>
      </c>
      <c r="Q175">
        <v>20</v>
      </c>
      <c r="R175" s="20" t="str">
        <f>Prim_Supp_schwer_edel[[#This Row],[IN]]</f>
        <v>3/4”</v>
      </c>
      <c r="S175" s="20">
        <f>Prim_Supp_schwer_edel[[#This Row],[OD]]</f>
        <v>27</v>
      </c>
      <c r="T175" s="20">
        <f>Prim_Supp_schwer_edel[[#This Row],[sC]]</f>
        <v>5</v>
      </c>
      <c r="U175" s="20">
        <f>Prim_Supp_schwer_edel[[#This Row],[W]]</f>
        <v>60</v>
      </c>
      <c r="V175" s="20">
        <f>Prim_Supp_schwer_edel[[#This Row],[s_Blech]]</f>
        <v>6</v>
      </c>
      <c r="W175" s="20">
        <f>Prim_Supp_schwer_edel[[#This Row],[CL]]</f>
        <v>84.5</v>
      </c>
      <c r="X175" s="20" t="str">
        <f>Prim_Supp_schwer_edel[[#This Row],[GB_GS]]</f>
        <v>B</v>
      </c>
      <c r="Y175" s="20" t="str">
        <f>Prim_Supp_schwer_edel[[#This Row],[SB_SS]]</f>
        <v>C</v>
      </c>
      <c r="Z175" s="20" t="str">
        <f>Prim_Supp_schwer_edel[[#This Row],[FP]]</f>
        <v>D</v>
      </c>
      <c r="AA175" s="20" t="str">
        <f>Prim_Supp_schwer_edel[[#This Row],[PFP]]</f>
        <v>T</v>
      </c>
      <c r="AB175" s="20" t="str">
        <f>Prim_Supp_schwer_edel[[#This Row],[Ausf]]</f>
        <v>iT</v>
      </c>
      <c r="AC175">
        <f>Prim_Supp_schwer_edel[[#This Row],[U_height]]</f>
        <v>0</v>
      </c>
      <c r="AD175">
        <v>0</v>
      </c>
      <c r="AG175" t="e">
        <v>#NUM!</v>
      </c>
    </row>
    <row r="176" spans="2:45">
      <c r="B176">
        <v>25</v>
      </c>
      <c r="C176" s="11" t="s">
        <v>62</v>
      </c>
      <c r="D176">
        <v>34</v>
      </c>
      <c r="E176">
        <v>5</v>
      </c>
      <c r="F176">
        <v>60</v>
      </c>
      <c r="G176">
        <v>6</v>
      </c>
      <c r="H176">
        <v>88</v>
      </c>
      <c r="I176" t="s">
        <v>96</v>
      </c>
      <c r="J176" t="s">
        <v>34</v>
      </c>
      <c r="K176" t="s">
        <v>114</v>
      </c>
      <c r="L176" t="s">
        <v>115</v>
      </c>
      <c r="M176" t="s">
        <v>240</v>
      </c>
      <c r="N176">
        <v>0</v>
      </c>
      <c r="O176">
        <v>0</v>
      </c>
      <c r="Q176">
        <v>25</v>
      </c>
      <c r="R176" s="20" t="str">
        <f>Prim_Supp_schwer_edel[[#This Row],[IN]]</f>
        <v>1”</v>
      </c>
      <c r="S176" s="20">
        <f>Prim_Supp_schwer_edel[[#This Row],[OD]]</f>
        <v>34</v>
      </c>
      <c r="T176" s="20">
        <f>Prim_Supp_schwer_edel[[#This Row],[sC]]</f>
        <v>5</v>
      </c>
      <c r="U176" s="20">
        <f>Prim_Supp_schwer_edel[[#This Row],[W]]</f>
        <v>60</v>
      </c>
      <c r="V176" s="20">
        <f>Prim_Supp_schwer_edel[[#This Row],[s_Blech]]</f>
        <v>6</v>
      </c>
      <c r="W176" s="20">
        <f>Prim_Supp_schwer_edel[[#This Row],[CL]]</f>
        <v>88</v>
      </c>
      <c r="X176" s="20" t="str">
        <f>Prim_Supp_schwer_edel[[#This Row],[GB_GS]]</f>
        <v>B</v>
      </c>
      <c r="Y176" s="20" t="str">
        <f>Prim_Supp_schwer_edel[[#This Row],[SB_SS]]</f>
        <v>C</v>
      </c>
      <c r="Z176" s="20" t="str">
        <f>Prim_Supp_schwer_edel[[#This Row],[FP]]</f>
        <v>D</v>
      </c>
      <c r="AA176" s="20" t="str">
        <f>Prim_Supp_schwer_edel[[#This Row],[PFP]]</f>
        <v>T</v>
      </c>
      <c r="AB176" s="20" t="str">
        <f>Prim_Supp_schwer_edel[[#This Row],[Ausf]]</f>
        <v>iT</v>
      </c>
      <c r="AC176">
        <f>Prim_Supp_schwer_edel[[#This Row],[U_height]]</f>
        <v>0</v>
      </c>
      <c r="AD176">
        <v>0</v>
      </c>
      <c r="AG176" t="e">
        <v>#NUM!</v>
      </c>
    </row>
    <row r="177" spans="2:33">
      <c r="B177">
        <v>32</v>
      </c>
      <c r="C177" s="13" t="s">
        <v>86</v>
      </c>
      <c r="D177">
        <v>43</v>
      </c>
      <c r="E177">
        <v>5</v>
      </c>
      <c r="F177">
        <v>60</v>
      </c>
      <c r="G177">
        <v>6</v>
      </c>
      <c r="H177">
        <v>92.5</v>
      </c>
      <c r="I177" t="s">
        <v>96</v>
      </c>
      <c r="J177" t="s">
        <v>34</v>
      </c>
      <c r="K177" t="s">
        <v>114</v>
      </c>
      <c r="L177" t="s">
        <v>115</v>
      </c>
      <c r="M177" t="s">
        <v>240</v>
      </c>
      <c r="N177">
        <v>0</v>
      </c>
      <c r="O177">
        <v>0</v>
      </c>
      <c r="Q177">
        <v>32</v>
      </c>
      <c r="R177" s="20" t="str">
        <f>Prim_Supp_schwer_edel[[#This Row],[IN]]</f>
        <v>1¼”</v>
      </c>
      <c r="S177" s="20">
        <f>Prim_Supp_schwer_edel[[#This Row],[OD]]</f>
        <v>43</v>
      </c>
      <c r="T177" s="20">
        <f>Prim_Supp_schwer_edel[[#This Row],[sC]]</f>
        <v>5</v>
      </c>
      <c r="U177" s="20">
        <f>Prim_Supp_schwer_edel[[#This Row],[W]]</f>
        <v>60</v>
      </c>
      <c r="V177" s="20">
        <f>Prim_Supp_schwer_edel[[#This Row],[s_Blech]]</f>
        <v>6</v>
      </c>
      <c r="W177" s="20">
        <f>Prim_Supp_schwer_edel[[#This Row],[CL]]</f>
        <v>92.5</v>
      </c>
      <c r="X177" s="20" t="str">
        <f>Prim_Supp_schwer_edel[[#This Row],[GB_GS]]</f>
        <v>B</v>
      </c>
      <c r="Y177" s="20" t="str">
        <f>Prim_Supp_schwer_edel[[#This Row],[SB_SS]]</f>
        <v>C</v>
      </c>
      <c r="Z177" s="20" t="str">
        <f>Prim_Supp_schwer_edel[[#This Row],[FP]]</f>
        <v>D</v>
      </c>
      <c r="AA177" s="20" t="str">
        <f>Prim_Supp_schwer_edel[[#This Row],[PFP]]</f>
        <v>T</v>
      </c>
      <c r="AB177" s="20" t="str">
        <f>Prim_Supp_schwer_edel[[#This Row],[Ausf]]</f>
        <v>iT</v>
      </c>
      <c r="AC177">
        <f>Prim_Supp_schwer_edel[[#This Row],[U_height]]</f>
        <v>0</v>
      </c>
      <c r="AD177">
        <v>0</v>
      </c>
      <c r="AG177">
        <v>81.263897472877886</v>
      </c>
    </row>
    <row r="178" spans="2:33">
      <c r="B178">
        <v>40</v>
      </c>
      <c r="C178" s="11" t="s">
        <v>87</v>
      </c>
      <c r="D178">
        <v>49</v>
      </c>
      <c r="E178">
        <v>5</v>
      </c>
      <c r="F178">
        <v>60</v>
      </c>
      <c r="G178">
        <v>6</v>
      </c>
      <c r="H178">
        <v>95.5</v>
      </c>
      <c r="I178" t="s">
        <v>96</v>
      </c>
      <c r="J178" t="s">
        <v>34</v>
      </c>
      <c r="K178" t="s">
        <v>114</v>
      </c>
      <c r="L178" t="s">
        <v>115</v>
      </c>
      <c r="M178" t="s">
        <v>240</v>
      </c>
      <c r="N178">
        <v>0</v>
      </c>
      <c r="O178">
        <v>0</v>
      </c>
      <c r="Q178">
        <v>40</v>
      </c>
      <c r="R178" s="20" t="str">
        <f>Prim_Supp_schwer_edel[[#This Row],[IN]]</f>
        <v>1½”</v>
      </c>
      <c r="S178" s="20">
        <f>Prim_Supp_schwer_edel[[#This Row],[OD]]</f>
        <v>49</v>
      </c>
      <c r="T178" s="20">
        <f>Prim_Supp_schwer_edel[[#This Row],[sC]]</f>
        <v>5</v>
      </c>
      <c r="U178" s="20">
        <f>Prim_Supp_schwer_edel[[#This Row],[W]]</f>
        <v>60</v>
      </c>
      <c r="V178" s="20">
        <f>Prim_Supp_schwer_edel[[#This Row],[s_Blech]]</f>
        <v>6</v>
      </c>
      <c r="W178" s="20">
        <f>Prim_Supp_schwer_edel[[#This Row],[CL]]</f>
        <v>95.5</v>
      </c>
      <c r="X178" s="20" t="str">
        <f>Prim_Supp_schwer_edel[[#This Row],[GB_GS]]</f>
        <v>B</v>
      </c>
      <c r="Y178" s="20" t="str">
        <f>Prim_Supp_schwer_edel[[#This Row],[SB_SS]]</f>
        <v>C</v>
      </c>
      <c r="Z178" s="20" t="str">
        <f>Prim_Supp_schwer_edel[[#This Row],[FP]]</f>
        <v>D</v>
      </c>
      <c r="AA178" s="20" t="str">
        <f>Prim_Supp_schwer_edel[[#This Row],[PFP]]</f>
        <v>T</v>
      </c>
      <c r="AB178" s="20" t="str">
        <f>Prim_Supp_schwer_edel[[#This Row],[Ausf]]</f>
        <v>iT</v>
      </c>
      <c r="AC178">
        <f>Prim_Supp_schwer_edel[[#This Row],[U_height]]</f>
        <v>0</v>
      </c>
      <c r="AD178">
        <v>0</v>
      </c>
      <c r="AG178">
        <v>78.346283201591561</v>
      </c>
    </row>
    <row r="179" spans="2:33">
      <c r="B179">
        <v>50</v>
      </c>
      <c r="C179" s="13" t="s">
        <v>63</v>
      </c>
      <c r="D179">
        <v>61</v>
      </c>
      <c r="E179">
        <v>6</v>
      </c>
      <c r="F179">
        <v>60</v>
      </c>
      <c r="G179">
        <v>6</v>
      </c>
      <c r="H179">
        <v>102.5</v>
      </c>
      <c r="I179" t="s">
        <v>96</v>
      </c>
      <c r="J179" t="s">
        <v>34</v>
      </c>
      <c r="K179" t="s">
        <v>114</v>
      </c>
      <c r="L179" t="s">
        <v>115</v>
      </c>
      <c r="M179" t="s">
        <v>240</v>
      </c>
      <c r="N179">
        <v>0</v>
      </c>
      <c r="O179">
        <v>0</v>
      </c>
      <c r="Q179">
        <v>50</v>
      </c>
      <c r="R179" s="20" t="str">
        <f>Prim_Supp_schwer_edel[[#This Row],[IN]]</f>
        <v>2”</v>
      </c>
      <c r="S179" s="20">
        <f>Prim_Supp_schwer_edel[[#This Row],[OD]]</f>
        <v>61</v>
      </c>
      <c r="T179" s="20">
        <f>Prim_Supp_schwer_edel[[#This Row],[sC]]</f>
        <v>6</v>
      </c>
      <c r="U179" s="20">
        <f>Prim_Supp_schwer_edel[[#This Row],[W]]</f>
        <v>60</v>
      </c>
      <c r="V179" s="20">
        <f>Prim_Supp_schwer_edel[[#This Row],[s_Blech]]</f>
        <v>6</v>
      </c>
      <c r="W179" s="20">
        <f>Prim_Supp_schwer_edel[[#This Row],[CL]]</f>
        <v>102.5</v>
      </c>
      <c r="X179" s="20" t="str">
        <f>Prim_Supp_schwer_edel[[#This Row],[GB_GS]]</f>
        <v>B</v>
      </c>
      <c r="Y179" s="20" t="str">
        <f>Prim_Supp_schwer_edel[[#This Row],[SB_SS]]</f>
        <v>C</v>
      </c>
      <c r="Z179" s="20" t="str">
        <f>Prim_Supp_schwer_edel[[#This Row],[FP]]</f>
        <v>D</v>
      </c>
      <c r="AA179" s="20" t="str">
        <f>Prim_Supp_schwer_edel[[#This Row],[PFP]]</f>
        <v>T</v>
      </c>
      <c r="AB179" s="20" t="str">
        <f>Prim_Supp_schwer_edel[[#This Row],[Ausf]]</f>
        <v>iT</v>
      </c>
      <c r="AC179">
        <f>Prim_Supp_schwer_edel[[#This Row],[U_height]]</f>
        <v>0</v>
      </c>
      <c r="AD179">
        <v>0</v>
      </c>
      <c r="AG179">
        <v>75</v>
      </c>
    </row>
    <row r="180" spans="2:33">
      <c r="B180">
        <v>65</v>
      </c>
      <c r="C180" s="11" t="s">
        <v>88</v>
      </c>
      <c r="D180">
        <v>77</v>
      </c>
      <c r="E180">
        <v>6</v>
      </c>
      <c r="F180">
        <v>60</v>
      </c>
      <c r="G180">
        <v>6</v>
      </c>
      <c r="H180">
        <v>110.5</v>
      </c>
      <c r="I180" t="s">
        <v>96</v>
      </c>
      <c r="J180" t="s">
        <v>34</v>
      </c>
      <c r="K180" t="s">
        <v>114</v>
      </c>
      <c r="L180" t="s">
        <v>115</v>
      </c>
      <c r="M180" t="s">
        <v>240</v>
      </c>
      <c r="N180">
        <v>0</v>
      </c>
      <c r="O180">
        <v>0</v>
      </c>
      <c r="Q180">
        <v>65</v>
      </c>
      <c r="R180" s="20" t="str">
        <f>Prim_Supp_schwer_edel[[#This Row],[IN]]</f>
        <v>2½”</v>
      </c>
      <c r="S180" s="20">
        <f>Prim_Supp_schwer_edel[[#This Row],[OD]]</f>
        <v>77</v>
      </c>
      <c r="T180" s="20">
        <f>Prim_Supp_schwer_edel[[#This Row],[sC]]</f>
        <v>6</v>
      </c>
      <c r="U180" s="20">
        <f>Prim_Supp_schwer_edel[[#This Row],[W]]</f>
        <v>60</v>
      </c>
      <c r="V180" s="20">
        <f>Prim_Supp_schwer_edel[[#This Row],[s_Blech]]</f>
        <v>6</v>
      </c>
      <c r="W180" s="20">
        <f>Prim_Supp_schwer_edel[[#This Row],[CL]]</f>
        <v>110.5</v>
      </c>
      <c r="X180" s="20" t="str">
        <f>Prim_Supp_schwer_edel[[#This Row],[GB_GS]]</f>
        <v>B</v>
      </c>
      <c r="Y180" s="20" t="str">
        <f>Prim_Supp_schwer_edel[[#This Row],[SB_SS]]</f>
        <v>C</v>
      </c>
      <c r="Z180" s="20" t="str">
        <f>Prim_Supp_schwer_edel[[#This Row],[FP]]</f>
        <v>D</v>
      </c>
      <c r="AA180" s="20" t="str">
        <f>Prim_Supp_schwer_edel[[#This Row],[PFP]]</f>
        <v>T</v>
      </c>
      <c r="AB180" s="20" t="str">
        <f>Prim_Supp_schwer_edel[[#This Row],[Ausf]]</f>
        <v>iT</v>
      </c>
      <c r="AC180">
        <f>Prim_Supp_schwer_edel[[#This Row],[U_height]]</f>
        <v>0</v>
      </c>
      <c r="AD180">
        <v>0</v>
      </c>
      <c r="AG180">
        <v>73.026676154896535</v>
      </c>
    </row>
    <row r="181" spans="2:33">
      <c r="B181">
        <v>80</v>
      </c>
      <c r="C181" s="13" t="s">
        <v>65</v>
      </c>
      <c r="D181">
        <v>89</v>
      </c>
      <c r="E181">
        <v>6</v>
      </c>
      <c r="F181">
        <v>60</v>
      </c>
      <c r="G181">
        <v>6</v>
      </c>
      <c r="H181">
        <v>116.5</v>
      </c>
      <c r="I181" t="s">
        <v>96</v>
      </c>
      <c r="J181" t="s">
        <v>34</v>
      </c>
      <c r="K181" t="s">
        <v>114</v>
      </c>
      <c r="L181" t="s">
        <v>115</v>
      </c>
      <c r="M181" t="s">
        <v>240</v>
      </c>
      <c r="N181">
        <v>0</v>
      </c>
      <c r="O181">
        <v>0</v>
      </c>
      <c r="Q181">
        <v>80</v>
      </c>
      <c r="R181" s="20" t="str">
        <f>Prim_Supp_schwer_edel[[#This Row],[IN]]</f>
        <v>3”</v>
      </c>
      <c r="S181" s="20">
        <f>Prim_Supp_schwer_edel[[#This Row],[OD]]</f>
        <v>89</v>
      </c>
      <c r="T181" s="20">
        <f>Prim_Supp_schwer_edel[[#This Row],[sC]]</f>
        <v>6</v>
      </c>
      <c r="U181" s="20">
        <f>Prim_Supp_schwer_edel[[#This Row],[W]]</f>
        <v>60</v>
      </c>
      <c r="V181" s="20">
        <f>Prim_Supp_schwer_edel[[#This Row],[s_Blech]]</f>
        <v>6</v>
      </c>
      <c r="W181" s="20">
        <f>Prim_Supp_schwer_edel[[#This Row],[CL]]</f>
        <v>116.5</v>
      </c>
      <c r="X181" s="20" t="str">
        <f>Prim_Supp_schwer_edel[[#This Row],[GB_GS]]</f>
        <v>B</v>
      </c>
      <c r="Y181" s="20" t="str">
        <f>Prim_Supp_schwer_edel[[#This Row],[SB_SS]]</f>
        <v>C</v>
      </c>
      <c r="Z181" s="20" t="str">
        <f>Prim_Supp_schwer_edel[[#This Row],[FP]]</f>
        <v>D</v>
      </c>
      <c r="AA181" s="20" t="str">
        <f>Prim_Supp_schwer_edel[[#This Row],[PFP]]</f>
        <v>T</v>
      </c>
      <c r="AB181" s="20" t="str">
        <f>Prim_Supp_schwer_edel[[#This Row],[Ausf]]</f>
        <v>iT</v>
      </c>
      <c r="AC181">
        <f>Prim_Supp_schwer_edel[[#This Row],[U_height]]</f>
        <v>0</v>
      </c>
      <c r="AD181">
        <v>0</v>
      </c>
      <c r="AG181">
        <v>72.067466873922214</v>
      </c>
    </row>
    <row r="182" spans="2:33">
      <c r="B182">
        <v>100</v>
      </c>
      <c r="C182" s="11" t="s">
        <v>66</v>
      </c>
      <c r="D182">
        <v>115</v>
      </c>
      <c r="E182">
        <v>8</v>
      </c>
      <c r="F182">
        <v>90</v>
      </c>
      <c r="G182">
        <v>6</v>
      </c>
      <c r="H182">
        <v>127.5</v>
      </c>
      <c r="I182" t="s">
        <v>110</v>
      </c>
      <c r="J182" t="s">
        <v>490</v>
      </c>
      <c r="K182" t="s">
        <v>491</v>
      </c>
      <c r="L182" t="s">
        <v>37</v>
      </c>
      <c r="M182" t="s">
        <v>245</v>
      </c>
      <c r="N182" s="90">
        <v>75</v>
      </c>
      <c r="O182">
        <v>0</v>
      </c>
      <c r="Q182">
        <v>100</v>
      </c>
      <c r="R182" s="11" t="s">
        <v>66</v>
      </c>
      <c r="S182">
        <v>115</v>
      </c>
      <c r="T182">
        <v>8</v>
      </c>
      <c r="U182">
        <v>90</v>
      </c>
      <c r="V182">
        <v>6</v>
      </c>
      <c r="W182">
        <v>127.5</v>
      </c>
      <c r="X182" t="s">
        <v>110</v>
      </c>
      <c r="Y182" t="s">
        <v>490</v>
      </c>
      <c r="Z182" t="s">
        <v>491</v>
      </c>
      <c r="AA182" t="s">
        <v>37</v>
      </c>
      <c r="AB182" t="s">
        <v>251</v>
      </c>
      <c r="AC182" s="32">
        <f>Prim_Supp_schwer_edel[[#This Row],[U_height]]</f>
        <v>75</v>
      </c>
      <c r="AD182" s="32">
        <v>30</v>
      </c>
      <c r="AG182">
        <v>74.876336121474779</v>
      </c>
    </row>
    <row r="183" spans="2:33">
      <c r="B183">
        <v>125</v>
      </c>
      <c r="C183" s="13" t="s">
        <v>68</v>
      </c>
      <c r="D183">
        <v>140</v>
      </c>
      <c r="E183">
        <v>8</v>
      </c>
      <c r="F183">
        <v>90</v>
      </c>
      <c r="G183">
        <v>6</v>
      </c>
      <c r="H183">
        <v>140</v>
      </c>
      <c r="I183" t="s">
        <v>110</v>
      </c>
      <c r="J183" t="s">
        <v>490</v>
      </c>
      <c r="K183" t="s">
        <v>491</v>
      </c>
      <c r="L183" t="s">
        <v>37</v>
      </c>
      <c r="M183" t="s">
        <v>245</v>
      </c>
      <c r="N183" s="90">
        <v>73</v>
      </c>
      <c r="O183">
        <v>0</v>
      </c>
      <c r="Q183">
        <v>125</v>
      </c>
      <c r="R183" s="13" t="s">
        <v>68</v>
      </c>
      <c r="S183">
        <v>140</v>
      </c>
      <c r="T183">
        <v>8</v>
      </c>
      <c r="U183">
        <v>90</v>
      </c>
      <c r="V183">
        <v>6</v>
      </c>
      <c r="W183">
        <v>140</v>
      </c>
      <c r="X183" t="s">
        <v>110</v>
      </c>
      <c r="Y183" t="s">
        <v>490</v>
      </c>
      <c r="Z183" t="s">
        <v>491</v>
      </c>
      <c r="AA183" t="s">
        <v>37</v>
      </c>
      <c r="AB183" t="s">
        <v>251</v>
      </c>
      <c r="AC183" s="32">
        <f>Prim_Supp_schwer_edel[[#This Row],[U_height]]</f>
        <v>73</v>
      </c>
      <c r="AD183" s="32">
        <v>30</v>
      </c>
      <c r="AG183">
        <v>72.450018504813784</v>
      </c>
    </row>
    <row r="184" spans="2:33">
      <c r="B184">
        <v>150</v>
      </c>
      <c r="C184" s="11" t="s">
        <v>69</v>
      </c>
      <c r="D184">
        <v>169</v>
      </c>
      <c r="E184">
        <v>8</v>
      </c>
      <c r="F184">
        <v>90</v>
      </c>
      <c r="G184">
        <v>6</v>
      </c>
      <c r="H184">
        <v>154.5</v>
      </c>
      <c r="I184" t="s">
        <v>110</v>
      </c>
      <c r="J184" t="s">
        <v>490</v>
      </c>
      <c r="K184" t="s">
        <v>491</v>
      </c>
      <c r="L184" t="s">
        <v>37</v>
      </c>
      <c r="M184" t="s">
        <v>245</v>
      </c>
      <c r="N184" s="90">
        <v>71</v>
      </c>
      <c r="O184">
        <v>0</v>
      </c>
      <c r="Q184">
        <v>150</v>
      </c>
      <c r="R184" s="11" t="s">
        <v>69</v>
      </c>
      <c r="S184">
        <v>169</v>
      </c>
      <c r="T184">
        <v>8</v>
      </c>
      <c r="U184">
        <v>90</v>
      </c>
      <c r="V184">
        <v>6</v>
      </c>
      <c r="W184">
        <v>154.5</v>
      </c>
      <c r="X184" t="s">
        <v>110</v>
      </c>
      <c r="Y184" t="s">
        <v>490</v>
      </c>
      <c r="Z184" t="s">
        <v>491</v>
      </c>
      <c r="AA184" t="s">
        <v>37</v>
      </c>
      <c r="AB184" t="s">
        <v>251</v>
      </c>
      <c r="AC184" s="32">
        <f>Prim_Supp_schwer_edel[[#This Row],[U_height]]</f>
        <v>71</v>
      </c>
      <c r="AD184" s="32">
        <v>30</v>
      </c>
      <c r="AG184">
        <v>70.623602843231282</v>
      </c>
    </row>
    <row r="185" spans="2:33">
      <c r="B185">
        <v>200</v>
      </c>
      <c r="C185" s="11" t="s">
        <v>70</v>
      </c>
      <c r="D185">
        <v>220</v>
      </c>
      <c r="E185">
        <v>8</v>
      </c>
      <c r="F185">
        <v>90</v>
      </c>
      <c r="G185">
        <v>6</v>
      </c>
      <c r="H185">
        <v>180</v>
      </c>
      <c r="I185" t="s">
        <v>110</v>
      </c>
      <c r="J185" t="s">
        <v>490</v>
      </c>
      <c r="K185" t="s">
        <v>491</v>
      </c>
      <c r="L185" t="s">
        <v>37</v>
      </c>
      <c r="M185" t="s">
        <v>245</v>
      </c>
      <c r="N185" s="90">
        <v>69</v>
      </c>
      <c r="O185">
        <v>0</v>
      </c>
      <c r="Q185">
        <v>200</v>
      </c>
      <c r="R185" s="11" t="s">
        <v>70</v>
      </c>
      <c r="S185">
        <v>220</v>
      </c>
      <c r="T185">
        <v>8</v>
      </c>
      <c r="U185">
        <v>90</v>
      </c>
      <c r="V185">
        <v>6</v>
      </c>
      <c r="W185">
        <v>180</v>
      </c>
      <c r="X185" t="s">
        <v>110</v>
      </c>
      <c r="Y185" t="s">
        <v>490</v>
      </c>
      <c r="Z185" t="s">
        <v>491</v>
      </c>
      <c r="AA185" t="s">
        <v>37</v>
      </c>
      <c r="AB185" t="s">
        <v>251</v>
      </c>
      <c r="AC185" s="32">
        <f>Prim_Supp_schwer_edel[[#This Row],[U_height]]</f>
        <v>69</v>
      </c>
      <c r="AD185" s="32">
        <v>30</v>
      </c>
      <c r="AG185">
        <v>68.63124316039081</v>
      </c>
    </row>
    <row r="186" spans="2:33">
      <c r="B186">
        <v>250</v>
      </c>
      <c r="C186" s="11" t="s">
        <v>71</v>
      </c>
      <c r="D186">
        <v>273</v>
      </c>
      <c r="E186">
        <v>8</v>
      </c>
      <c r="F186">
        <v>120</v>
      </c>
      <c r="G186">
        <v>6</v>
      </c>
      <c r="H186">
        <v>206.5</v>
      </c>
      <c r="I186" t="s">
        <v>110</v>
      </c>
      <c r="J186" t="s">
        <v>490</v>
      </c>
      <c r="K186" t="s">
        <v>491</v>
      </c>
      <c r="L186" t="s">
        <v>37</v>
      </c>
      <c r="M186" t="s">
        <v>245</v>
      </c>
      <c r="N186" s="90">
        <v>73</v>
      </c>
      <c r="O186">
        <v>0</v>
      </c>
      <c r="Q186">
        <v>250</v>
      </c>
      <c r="R186" s="11" t="s">
        <v>71</v>
      </c>
      <c r="S186">
        <v>273</v>
      </c>
      <c r="T186">
        <v>8</v>
      </c>
      <c r="U186">
        <v>120</v>
      </c>
      <c r="V186">
        <v>6</v>
      </c>
      <c r="W186">
        <v>206.5</v>
      </c>
      <c r="X186" t="s">
        <v>110</v>
      </c>
      <c r="Y186" t="s">
        <v>490</v>
      </c>
      <c r="Z186" t="s">
        <v>491</v>
      </c>
      <c r="AA186" t="s">
        <v>37</v>
      </c>
      <c r="AB186" t="s">
        <v>251</v>
      </c>
      <c r="AC186" s="32">
        <f>Prim_Supp_schwer_edel[[#This Row],[U_height]]</f>
        <v>73</v>
      </c>
      <c r="AD186" s="32">
        <v>30</v>
      </c>
      <c r="AG186">
        <v>72.469219953027221</v>
      </c>
    </row>
    <row r="187" spans="2:33">
      <c r="B187">
        <v>300</v>
      </c>
      <c r="C187" s="11" t="s">
        <v>73</v>
      </c>
      <c r="D187">
        <v>324</v>
      </c>
      <c r="E187">
        <v>8</v>
      </c>
      <c r="F187">
        <v>150</v>
      </c>
      <c r="G187">
        <v>6</v>
      </c>
      <c r="H187">
        <v>232</v>
      </c>
      <c r="I187" t="s">
        <v>110</v>
      </c>
      <c r="J187" t="s">
        <v>490</v>
      </c>
      <c r="K187" t="s">
        <v>491</v>
      </c>
      <c r="L187" t="s">
        <v>37</v>
      </c>
      <c r="M187" t="s">
        <v>245</v>
      </c>
      <c r="N187" s="90">
        <v>77</v>
      </c>
      <c r="O187">
        <v>0</v>
      </c>
      <c r="Q187">
        <v>300</v>
      </c>
      <c r="R187" s="11" t="s">
        <v>73</v>
      </c>
      <c r="S187">
        <v>324</v>
      </c>
      <c r="T187">
        <v>8</v>
      </c>
      <c r="U187">
        <v>150</v>
      </c>
      <c r="V187">
        <v>6</v>
      </c>
      <c r="W187">
        <v>232</v>
      </c>
      <c r="X187" t="s">
        <v>110</v>
      </c>
      <c r="Y187" t="s">
        <v>490</v>
      </c>
      <c r="Z187" t="s">
        <v>491</v>
      </c>
      <c r="AA187" t="s">
        <v>37</v>
      </c>
      <c r="AB187" t="s">
        <v>251</v>
      </c>
      <c r="AC187" s="32">
        <f>Prim_Supp_schwer_edel[[#This Row],[U_height]]</f>
        <v>77</v>
      </c>
      <c r="AD187" s="32">
        <v>30</v>
      </c>
      <c r="AG187">
        <v>76.63269327171821</v>
      </c>
    </row>
    <row r="188" spans="2:33">
      <c r="B188">
        <v>350</v>
      </c>
      <c r="C188" s="11" t="s">
        <v>74</v>
      </c>
      <c r="D188">
        <v>356</v>
      </c>
      <c r="E188">
        <v>8</v>
      </c>
      <c r="F188">
        <v>150</v>
      </c>
      <c r="G188">
        <v>6</v>
      </c>
      <c r="H188">
        <v>248</v>
      </c>
      <c r="I188" t="s">
        <v>110</v>
      </c>
      <c r="J188" t="s">
        <v>490</v>
      </c>
      <c r="K188" t="s">
        <v>491</v>
      </c>
      <c r="L188" t="s">
        <v>37</v>
      </c>
      <c r="M188" t="s">
        <v>245</v>
      </c>
      <c r="N188" s="90">
        <v>76</v>
      </c>
      <c r="O188">
        <v>0</v>
      </c>
      <c r="Q188">
        <v>350</v>
      </c>
      <c r="R188" s="11" t="s">
        <v>74</v>
      </c>
      <c r="S188">
        <v>356</v>
      </c>
      <c r="T188">
        <v>8</v>
      </c>
      <c r="U188">
        <v>150</v>
      </c>
      <c r="V188">
        <v>6</v>
      </c>
      <c r="W188">
        <v>248</v>
      </c>
      <c r="X188" t="s">
        <v>110</v>
      </c>
      <c r="Y188" t="s">
        <v>490</v>
      </c>
      <c r="Z188" t="s">
        <v>491</v>
      </c>
      <c r="AA188" t="s">
        <v>37</v>
      </c>
      <c r="AB188" t="s">
        <v>251</v>
      </c>
      <c r="AC188" s="32">
        <f>Prim_Supp_schwer_edel[[#This Row],[U_height]]</f>
        <v>76</v>
      </c>
      <c r="AD188" s="32">
        <v>30</v>
      </c>
      <c r="AG188">
        <v>75.271889954182626</v>
      </c>
    </row>
    <row r="189" spans="2:33">
      <c r="B189">
        <v>400</v>
      </c>
      <c r="C189" s="11" t="s">
        <v>75</v>
      </c>
      <c r="D189">
        <v>407</v>
      </c>
      <c r="E189">
        <v>10</v>
      </c>
      <c r="F189">
        <v>300</v>
      </c>
      <c r="G189">
        <v>8</v>
      </c>
      <c r="H189">
        <v>273.5</v>
      </c>
      <c r="I189" t="s">
        <v>110</v>
      </c>
      <c r="J189" t="s">
        <v>490</v>
      </c>
      <c r="K189" t="s">
        <v>491</v>
      </c>
      <c r="L189" t="s">
        <v>37</v>
      </c>
      <c r="M189" t="s">
        <v>250</v>
      </c>
      <c r="N189" s="90">
        <v>114</v>
      </c>
      <c r="O189">
        <v>0</v>
      </c>
      <c r="Q189">
        <v>400</v>
      </c>
      <c r="R189" s="11" t="s">
        <v>75</v>
      </c>
      <c r="S189">
        <v>407</v>
      </c>
      <c r="T189">
        <v>10</v>
      </c>
      <c r="U189">
        <v>300</v>
      </c>
      <c r="V189">
        <v>8</v>
      </c>
      <c r="W189">
        <v>273.5</v>
      </c>
      <c r="X189" t="s">
        <v>110</v>
      </c>
      <c r="Y189" t="s">
        <v>490</v>
      </c>
      <c r="Z189" t="s">
        <v>491</v>
      </c>
      <c r="AA189" t="s">
        <v>37</v>
      </c>
      <c r="AB189" t="s">
        <v>252</v>
      </c>
      <c r="AC189" s="32">
        <f>Prim_Supp_schwer_edel[[#This Row],[U_height]]</f>
        <v>114</v>
      </c>
      <c r="AD189" s="32">
        <v>30</v>
      </c>
      <c r="AG189">
        <v>114.06898043354298</v>
      </c>
    </row>
    <row r="190" spans="2:33">
      <c r="B190">
        <v>450</v>
      </c>
      <c r="C190" s="11" t="s">
        <v>76</v>
      </c>
      <c r="D190">
        <v>458</v>
      </c>
      <c r="E190">
        <v>10</v>
      </c>
      <c r="F190">
        <v>350</v>
      </c>
      <c r="G190">
        <v>8</v>
      </c>
      <c r="H190">
        <v>299</v>
      </c>
      <c r="I190" t="s">
        <v>110</v>
      </c>
      <c r="J190" t="s">
        <v>490</v>
      </c>
      <c r="K190" t="s">
        <v>491</v>
      </c>
      <c r="L190" t="s">
        <v>37</v>
      </c>
      <c r="M190" t="s">
        <v>250</v>
      </c>
      <c r="N190" s="90">
        <v>128</v>
      </c>
      <c r="O190">
        <v>0</v>
      </c>
      <c r="Q190">
        <v>450</v>
      </c>
      <c r="R190" s="11" t="s">
        <v>76</v>
      </c>
      <c r="S190">
        <v>458</v>
      </c>
      <c r="T190">
        <v>10</v>
      </c>
      <c r="U190">
        <v>350</v>
      </c>
      <c r="V190">
        <v>8</v>
      </c>
      <c r="W190">
        <v>299</v>
      </c>
      <c r="X190" t="s">
        <v>110</v>
      </c>
      <c r="Y190" t="s">
        <v>490</v>
      </c>
      <c r="Z190" t="s">
        <v>491</v>
      </c>
      <c r="AA190" t="s">
        <v>37</v>
      </c>
      <c r="AB190" t="s">
        <v>252</v>
      </c>
      <c r="AC190" s="32">
        <f>Prim_Supp_schwer_edel[[#This Row],[U_height]]</f>
        <v>128</v>
      </c>
      <c r="AD190" s="32">
        <v>30</v>
      </c>
      <c r="AG190">
        <v>128.02631781469992</v>
      </c>
    </row>
    <row r="191" spans="2:33">
      <c r="B191">
        <v>500</v>
      </c>
      <c r="C191" s="11" t="s">
        <v>77</v>
      </c>
      <c r="D191">
        <v>508</v>
      </c>
      <c r="E191">
        <v>10</v>
      </c>
      <c r="F191">
        <v>375</v>
      </c>
      <c r="G191">
        <v>8</v>
      </c>
      <c r="H191">
        <v>324</v>
      </c>
      <c r="I191" t="s">
        <v>110</v>
      </c>
      <c r="J191" t="s">
        <v>490</v>
      </c>
      <c r="K191" t="s">
        <v>491</v>
      </c>
      <c r="L191" t="s">
        <v>37</v>
      </c>
      <c r="M191" t="s">
        <v>250</v>
      </c>
      <c r="N191" s="90">
        <v>131</v>
      </c>
      <c r="O191">
        <v>0</v>
      </c>
      <c r="Q191">
        <v>500</v>
      </c>
      <c r="R191" s="11" t="s">
        <v>77</v>
      </c>
      <c r="S191">
        <v>508</v>
      </c>
      <c r="T191">
        <v>10</v>
      </c>
      <c r="U191">
        <v>375</v>
      </c>
      <c r="V191">
        <v>8</v>
      </c>
      <c r="W191">
        <v>324</v>
      </c>
      <c r="X191" t="s">
        <v>110</v>
      </c>
      <c r="Y191" t="s">
        <v>490</v>
      </c>
      <c r="Z191" t="s">
        <v>491</v>
      </c>
      <c r="AA191" t="s">
        <v>37</v>
      </c>
      <c r="AB191" t="s">
        <v>252</v>
      </c>
      <c r="AC191" s="32">
        <f>Prim_Supp_schwer_edel[[#This Row],[U_height]]</f>
        <v>131</v>
      </c>
      <c r="AD191" s="32">
        <v>30</v>
      </c>
      <c r="AG191">
        <v>130.4134560461394</v>
      </c>
    </row>
    <row r="192" spans="2:33">
      <c r="B192">
        <v>600</v>
      </c>
      <c r="C192" s="11" t="s">
        <v>78</v>
      </c>
      <c r="D192">
        <v>610</v>
      </c>
      <c r="E192">
        <v>10</v>
      </c>
      <c r="F192">
        <v>450</v>
      </c>
      <c r="G192">
        <v>10</v>
      </c>
      <c r="H192">
        <v>375</v>
      </c>
      <c r="I192" t="s">
        <v>110</v>
      </c>
      <c r="J192" t="s">
        <v>490</v>
      </c>
      <c r="K192" t="s">
        <v>491</v>
      </c>
      <c r="L192" t="s">
        <v>37</v>
      </c>
      <c r="M192" t="s">
        <v>250</v>
      </c>
      <c r="N192" s="90">
        <v>145</v>
      </c>
      <c r="O192">
        <v>0</v>
      </c>
      <c r="Q192">
        <v>600</v>
      </c>
      <c r="R192" s="11" t="s">
        <v>78</v>
      </c>
      <c r="S192">
        <v>610</v>
      </c>
      <c r="T192">
        <v>10</v>
      </c>
      <c r="U192">
        <v>450</v>
      </c>
      <c r="V192">
        <v>10</v>
      </c>
      <c r="W192">
        <v>375</v>
      </c>
      <c r="X192" t="s">
        <v>110</v>
      </c>
      <c r="Y192" t="s">
        <v>490</v>
      </c>
      <c r="Z192" t="s">
        <v>491</v>
      </c>
      <c r="AA192" t="s">
        <v>37</v>
      </c>
      <c r="AB192" t="s">
        <v>252</v>
      </c>
      <c r="AC192" s="32">
        <f>Prim_Supp_schwer_edel[[#This Row],[U_height]]</f>
        <v>145</v>
      </c>
      <c r="AD192" s="32">
        <v>30</v>
      </c>
      <c r="AG192">
        <v>144.78271133557323</v>
      </c>
    </row>
    <row r="193" spans="2:33">
      <c r="B193">
        <v>700</v>
      </c>
      <c r="C193" s="11" t="s">
        <v>80</v>
      </c>
      <c r="D193">
        <v>712</v>
      </c>
      <c r="E193">
        <v>10</v>
      </c>
      <c r="F193">
        <v>525</v>
      </c>
      <c r="G193">
        <v>10</v>
      </c>
      <c r="H193">
        <v>426</v>
      </c>
      <c r="I193" t="s">
        <v>110</v>
      </c>
      <c r="J193" t="s">
        <v>490</v>
      </c>
      <c r="K193" t="s">
        <v>491</v>
      </c>
      <c r="L193" t="s">
        <v>37</v>
      </c>
      <c r="M193" t="s">
        <v>250</v>
      </c>
      <c r="N193" s="90">
        <v>161</v>
      </c>
      <c r="O193">
        <v>0</v>
      </c>
      <c r="Q193">
        <v>700</v>
      </c>
      <c r="R193" s="11" t="s">
        <v>80</v>
      </c>
      <c r="S193">
        <v>712</v>
      </c>
      <c r="T193">
        <v>10</v>
      </c>
      <c r="U193">
        <v>525</v>
      </c>
      <c r="V193">
        <v>10</v>
      </c>
      <c r="W193">
        <v>426</v>
      </c>
      <c r="X193" t="s">
        <v>110</v>
      </c>
      <c r="Y193" t="s">
        <v>490</v>
      </c>
      <c r="Z193" t="s">
        <v>491</v>
      </c>
      <c r="AA193" t="s">
        <v>37</v>
      </c>
      <c r="AB193" t="s">
        <v>252</v>
      </c>
      <c r="AC193" s="32">
        <f>Prim_Supp_schwer_edel[[#This Row],[U_height]]</f>
        <v>161</v>
      </c>
      <c r="AD193" s="32">
        <v>30</v>
      </c>
      <c r="AG193">
        <v>161.0476457926822</v>
      </c>
    </row>
    <row r="194" spans="2:33">
      <c r="B194">
        <v>800</v>
      </c>
      <c r="C194" s="11" t="s">
        <v>81</v>
      </c>
      <c r="D194">
        <v>813</v>
      </c>
      <c r="E194">
        <v>10</v>
      </c>
      <c r="F194">
        <v>600</v>
      </c>
      <c r="G194">
        <v>15</v>
      </c>
      <c r="H194">
        <v>476.5</v>
      </c>
      <c r="I194" t="s">
        <v>110</v>
      </c>
      <c r="J194" t="s">
        <v>490</v>
      </c>
      <c r="K194" t="s">
        <v>491</v>
      </c>
      <c r="L194" t="s">
        <v>37</v>
      </c>
      <c r="M194" t="s">
        <v>250</v>
      </c>
      <c r="N194" s="90">
        <v>173</v>
      </c>
      <c r="O194">
        <v>0</v>
      </c>
      <c r="Q194">
        <v>800</v>
      </c>
      <c r="R194" s="11" t="s">
        <v>81</v>
      </c>
      <c r="S194">
        <v>813</v>
      </c>
      <c r="T194">
        <v>10</v>
      </c>
      <c r="U194">
        <v>600</v>
      </c>
      <c r="V194">
        <v>15</v>
      </c>
      <c r="W194">
        <v>476.5</v>
      </c>
      <c r="X194" t="s">
        <v>110</v>
      </c>
      <c r="Y194" t="s">
        <v>490</v>
      </c>
      <c r="Z194" t="s">
        <v>491</v>
      </c>
      <c r="AA194" t="s">
        <v>37</v>
      </c>
      <c r="AB194" t="s">
        <v>252</v>
      </c>
      <c r="AC194" s="32">
        <f>Prim_Supp_schwer_edel[[#This Row],[U_height]]</f>
        <v>173</v>
      </c>
      <c r="AD194" s="32">
        <v>30</v>
      </c>
      <c r="AG194">
        <v>172.77767615797484</v>
      </c>
    </row>
    <row r="195" spans="2:33">
      <c r="B195">
        <v>900</v>
      </c>
      <c r="C195" s="11" t="s">
        <v>83</v>
      </c>
      <c r="D195">
        <v>915</v>
      </c>
      <c r="E195">
        <v>10</v>
      </c>
      <c r="F195">
        <v>675</v>
      </c>
      <c r="G195">
        <v>15</v>
      </c>
      <c r="H195">
        <v>527.5</v>
      </c>
      <c r="I195" t="s">
        <v>110</v>
      </c>
      <c r="J195" t="s">
        <v>490</v>
      </c>
      <c r="K195" t="s">
        <v>491</v>
      </c>
      <c r="L195" t="s">
        <v>37</v>
      </c>
      <c r="M195" t="s">
        <v>250</v>
      </c>
      <c r="N195" s="90">
        <v>189</v>
      </c>
      <c r="O195">
        <v>0</v>
      </c>
      <c r="Q195">
        <v>900</v>
      </c>
      <c r="R195" s="11" t="s">
        <v>83</v>
      </c>
      <c r="S195">
        <v>915</v>
      </c>
      <c r="T195">
        <v>10</v>
      </c>
      <c r="U195">
        <v>675</v>
      </c>
      <c r="V195">
        <v>15</v>
      </c>
      <c r="W195">
        <v>527.5</v>
      </c>
      <c r="X195" t="s">
        <v>110</v>
      </c>
      <c r="Y195" t="s">
        <v>490</v>
      </c>
      <c r="Z195" t="s">
        <v>491</v>
      </c>
      <c r="AA195" t="s">
        <v>37</v>
      </c>
      <c r="AB195" t="s">
        <v>252</v>
      </c>
      <c r="AC195" s="32">
        <f>Prim_Supp_schwer_edel[[#This Row],[U_height]]</f>
        <v>189</v>
      </c>
      <c r="AD195" s="32">
        <v>30</v>
      </c>
      <c r="AG195">
        <v>189.04763998459106</v>
      </c>
    </row>
    <row r="196" spans="2:33">
      <c r="B196">
        <v>1000</v>
      </c>
      <c r="C196" s="11" t="s">
        <v>84</v>
      </c>
      <c r="D196">
        <v>1016</v>
      </c>
      <c r="E196">
        <v>10</v>
      </c>
      <c r="F196">
        <v>750</v>
      </c>
      <c r="G196">
        <v>15</v>
      </c>
      <c r="H196">
        <v>578</v>
      </c>
      <c r="I196" t="s">
        <v>110</v>
      </c>
      <c r="J196" t="s">
        <v>490</v>
      </c>
      <c r="K196" t="s">
        <v>491</v>
      </c>
      <c r="L196" t="s">
        <v>37</v>
      </c>
      <c r="M196" t="s">
        <v>250</v>
      </c>
      <c r="N196" s="90">
        <v>206</v>
      </c>
      <c r="O196">
        <v>0</v>
      </c>
      <c r="Q196">
        <v>1000</v>
      </c>
      <c r="R196" s="11" t="s">
        <v>84</v>
      </c>
      <c r="S196">
        <v>1016</v>
      </c>
      <c r="T196">
        <v>10</v>
      </c>
      <c r="U196">
        <v>750</v>
      </c>
      <c r="V196">
        <v>15</v>
      </c>
      <c r="W196">
        <v>578</v>
      </c>
      <c r="X196" t="s">
        <v>110</v>
      </c>
      <c r="Y196" t="s">
        <v>490</v>
      </c>
      <c r="Z196" t="s">
        <v>491</v>
      </c>
      <c r="AA196" t="s">
        <v>37</v>
      </c>
      <c r="AB196" t="s">
        <v>252</v>
      </c>
      <c r="AC196" s="32">
        <f>Prim_Supp_schwer_edel[[#This Row],[U_height]]</f>
        <v>206</v>
      </c>
      <c r="AD196" s="32">
        <v>30</v>
      </c>
      <c r="AG196">
        <v>205.5432911062012</v>
      </c>
    </row>
    <row r="197" spans="2:33">
      <c r="B197">
        <v>1200</v>
      </c>
      <c r="C197" s="19" t="s">
        <v>85</v>
      </c>
      <c r="D197">
        <v>1225</v>
      </c>
      <c r="E197">
        <v>12</v>
      </c>
      <c r="F197">
        <v>900</v>
      </c>
      <c r="G197">
        <v>15</v>
      </c>
      <c r="H197">
        <v>682.5</v>
      </c>
      <c r="I197" t="s">
        <v>110</v>
      </c>
      <c r="J197" t="s">
        <v>490</v>
      </c>
      <c r="K197" t="s">
        <v>491</v>
      </c>
      <c r="L197" t="s">
        <v>37</v>
      </c>
      <c r="M197" t="s">
        <v>250</v>
      </c>
      <c r="N197" s="90">
        <v>235</v>
      </c>
      <c r="O197">
        <v>0</v>
      </c>
      <c r="Q197">
        <v>1200</v>
      </c>
      <c r="R197" s="19" t="s">
        <v>85</v>
      </c>
      <c r="S197">
        <v>1225</v>
      </c>
      <c r="T197">
        <v>12</v>
      </c>
      <c r="U197">
        <v>900</v>
      </c>
      <c r="V197">
        <v>15</v>
      </c>
      <c r="W197">
        <v>682.5</v>
      </c>
      <c r="X197" t="s">
        <v>110</v>
      </c>
      <c r="Y197" t="s">
        <v>490</v>
      </c>
      <c r="Z197" t="s">
        <v>491</v>
      </c>
      <c r="AA197" t="s">
        <v>37</v>
      </c>
      <c r="AB197" t="s">
        <v>252</v>
      </c>
      <c r="AC197" s="32">
        <f>Prim_Supp_schwer_edel[[#This Row],[U_height]]</f>
        <v>235</v>
      </c>
      <c r="AD197" s="32">
        <v>30</v>
      </c>
      <c r="AG197">
        <v>234.42048696687772</v>
      </c>
    </row>
    <row r="200" spans="2:33">
      <c r="B200" t="s">
        <v>374</v>
      </c>
      <c r="I200" t="s">
        <v>363</v>
      </c>
      <c r="J200" t="s">
        <v>364</v>
      </c>
      <c r="K200" t="s">
        <v>390</v>
      </c>
      <c r="L200" t="s">
        <v>391</v>
      </c>
    </row>
    <row r="201" spans="2:33">
      <c r="B201" t="s">
        <v>89</v>
      </c>
      <c r="C201" t="s">
        <v>90</v>
      </c>
      <c r="D201" t="s">
        <v>91</v>
      </c>
      <c r="E201" t="s">
        <v>112</v>
      </c>
      <c r="F201" t="s">
        <v>109</v>
      </c>
      <c r="G201" t="s">
        <v>228</v>
      </c>
      <c r="H201" t="s">
        <v>113</v>
      </c>
      <c r="I201" t="s">
        <v>116</v>
      </c>
      <c r="J201" t="s">
        <v>117</v>
      </c>
      <c r="K201" t="s">
        <v>21</v>
      </c>
      <c r="L201" t="s">
        <v>24</v>
      </c>
      <c r="M201" t="s">
        <v>122</v>
      </c>
      <c r="N201" t="s">
        <v>242</v>
      </c>
      <c r="O201" t="s">
        <v>243</v>
      </c>
      <c r="P201" t="s">
        <v>392</v>
      </c>
      <c r="Q201" t="s">
        <v>393</v>
      </c>
      <c r="R201" t="s">
        <v>398</v>
      </c>
      <c r="S201" t="s">
        <v>403</v>
      </c>
      <c r="T201" t="s">
        <v>404</v>
      </c>
      <c r="U201" t="s">
        <v>405</v>
      </c>
    </row>
    <row r="202" spans="2:33">
      <c r="B202">
        <f t="shared" ref="B202:B225" si="27">IF($B$1="Stainless",IF($F$1="leicht",B146,IF($F$1="schwer",B174,"badType")),IF($B$1="Carbon",IF($F$1="leicht",Q146,IF($F$1="schwer",Q174,"badType")),"Badmat"))</f>
        <v>15</v>
      </c>
      <c r="C202" t="str">
        <f t="shared" ref="C202" si="28">IF($B$1="Stainless",IF($F$1="leicht",C146,IF($F$1="schwer",C174,"badType")),IF($B$1="Carbon",IF($F$1="leicht",R146,IF($F$1="schwer",R174,"badType")),"Badmat"))</f>
        <v>1/2”</v>
      </c>
      <c r="D202">
        <f t="shared" ref="D202" si="29">IF($B$1="Stainless",IF($F$1="leicht",D146,IF($F$1="schwer",D174,"badType")),IF($B$1="Carbon",IF($F$1="leicht",S146,IF($F$1="schwer",S174,"badType")),"Badmat"))</f>
        <v>22</v>
      </c>
      <c r="E202">
        <f t="shared" ref="E202" si="30">IF($B$1="Stainless",IF($F$1="leicht",E146,IF($F$1="schwer",E174,"badType")),IF($B$1="Carbon",IF($F$1="leicht",T146,IF($F$1="schwer",T174,"badType")),"Badmat"))</f>
        <v>5</v>
      </c>
      <c r="F202">
        <f t="shared" ref="F202" si="31">IF($B$1="Stainless",IF($F$1="leicht",F146,IF($F$1="schwer",F174,"badType")),IF($B$1="Carbon",IF($F$1="leicht",U146,IF($F$1="schwer",U174,"badType")),"Badmat"))</f>
        <v>60</v>
      </c>
      <c r="G202">
        <f t="shared" ref="G202" si="32">IF($B$1="Stainless",IF($F$1="leicht",G146,IF($F$1="schwer",G174,"badType")),IF($B$1="Carbon",IF($F$1="leicht",V146,IF($F$1="schwer",V174,"badType")),"Badmat"))</f>
        <v>6</v>
      </c>
      <c r="H202">
        <f t="shared" ref="H202" si="33">IF($B$1="Stainless",IF($F$1="leicht",H146,IF($F$1="schwer",H174,"badType")),IF($B$1="Carbon",IF($F$1="leicht",W146,IF($F$1="schwer",W174,"badType")),"Badmat"))</f>
        <v>82</v>
      </c>
      <c r="I202" t="str">
        <f t="shared" ref="I202" si="34">IF($B$1="Stainless",IF($F$1="leicht",I146,IF($F$1="schwer",I174,"badType")),IF($B$1="Carbon",IF($F$1="leicht",X146,IF($F$1="schwer",X174,"badType")),"Badmat"))</f>
        <v>B</v>
      </c>
      <c r="J202" t="str">
        <f t="shared" ref="J202" si="35">IF($B$1="Stainless",IF($F$1="leicht",J146,IF($F$1="schwer",J174,"badType")),IF($B$1="Carbon",IF($F$1="leicht",Y146,IF($F$1="schwer",Y174,"badType")),"Badmat"))</f>
        <v>C</v>
      </c>
      <c r="K202" t="str">
        <f t="shared" ref="K202" si="36">IF($B$1="Stainless",IF($F$1="leicht",K146,IF($F$1="schwer",K174,"badType")),IF($B$1="Carbon",IF($F$1="leicht",Z146,IF($F$1="schwer",Z174,"badType")),"Badmat"))</f>
        <v>D</v>
      </c>
      <c r="L202" t="str">
        <f t="shared" ref="L202" si="37">IF($B$1="Stainless",IF($F$1="leicht",L146,IF($F$1="schwer",L174,"badType")),IF($B$1="Carbon",IF($F$1="leicht",AA146,IF($F$1="schwer",AA174,"badType")),"Badmat"))</f>
        <v>T</v>
      </c>
      <c r="M202" t="str">
        <f t="shared" ref="M202" si="38">IF($B$1="Stainless",IF($F$1="leicht",M146,IF($F$1="schwer",M174,"badType")),IF($B$1="Carbon",IF($F$1="leicht",AB146,IF($F$1="schwer",AB174,"badType")),"Badmat"))</f>
        <v>iT</v>
      </c>
      <c r="N202">
        <f t="shared" ref="N202" si="39">IF($B$1="Stainless",IF($F$1="leicht",N146,IF($F$1="schwer",N174,"badType")),IF($B$1="Carbon",IF($F$1="leicht",AC146,IF($F$1="schwer",AC174,"badType")),"Badmat"))</f>
        <v>0</v>
      </c>
      <c r="O202">
        <f t="shared" ref="O202" si="40">IF($B$1="Stainless",IF($F$1="leicht",O146,IF($F$1="schwer",O174,"badType")),IF($B$1="Carbon",IF($F$1="leicht",AD146,IF($F$1="schwer",AD174,"badType")),"Badmat"))</f>
        <v>0</v>
      </c>
      <c r="P202" t="str">
        <f>IF($D$1="PFP",Prim_Supp[[#This Row],[PFP]],IF($D$1="FP",Prim_Supp[[#This Row],[FP]],IF($D$1="GB",Prim_Supp[[#This Row],[GB_GS]],IF($D$1="GS",Prim_Supp[[#This Row],[SB_SS]]))))</f>
        <v>C</v>
      </c>
      <c r="Q202" t="str">
        <f t="shared" ref="Q202:Q225" si="41">IF($F$1="leicht","b",IF($F$1="schwer","B"))</f>
        <v>B</v>
      </c>
      <c r="R202" t="b">
        <f>AND(IF($D$1="PFP",TRUE,IF($D$1="FP",FALSE,IF($D$1="GB",TRUE,IF($D$1="GS",FALSE)))),ISERROR(FIND("e",Prim_Supp[[#This Row],[Ausf]])),NOT(ISERROR(FIND("U",Prim_Supp[[#This Row],[Ausf]]))))</f>
        <v>0</v>
      </c>
      <c r="S202" t="b">
        <f t="shared" ref="S202:S225" si="42">IF($D$1="PFP",TRUE,IF($D$1="FP",FALSE,IF($D$1="GB",TRUE,IF($D$1="GS",FALSE))))</f>
        <v>0</v>
      </c>
      <c r="T202" t="b">
        <f t="shared" ref="T202:T225" si="43">IF($D$1="PFP",TRUE,IF($D$1="FP",FALSE,IF($D$1="GB",FALSE,IF($D$1="GS",FALSE))))</f>
        <v>0</v>
      </c>
      <c r="U202" t="b">
        <f t="shared" ref="U202:U225" si="44">IF($D$1="PFP",TRUE,IF($D$1="FP",TRUE,IF($D$1="GB",FALSE,IF($D$1="GS",FALSE))))</f>
        <v>0</v>
      </c>
    </row>
    <row r="203" spans="2:33">
      <c r="B203">
        <f t="shared" si="27"/>
        <v>20</v>
      </c>
      <c r="C203" t="str">
        <f t="shared" ref="C203:C225" si="45">IF($B$1="Stainless",IF($F$1="leicht",C147,IF($F$1="schwer",C175,"badType")),IF($B$1="Carbon",IF($F$1="leicht",R147,IF($F$1="schwer",R175,"badType")),"Badmat"))</f>
        <v>3/4”</v>
      </c>
      <c r="D203">
        <f t="shared" ref="D203:D225" si="46">IF($B$1="Stainless",IF($F$1="leicht",D147,IF($F$1="schwer",D175,"badType")),IF($B$1="Carbon",IF($F$1="leicht",S147,IF($F$1="schwer",S175,"badType")),"Badmat"))</f>
        <v>27</v>
      </c>
      <c r="E203">
        <f t="shared" ref="E203:E225" si="47">IF($B$1="Stainless",IF($F$1="leicht",E147,IF($F$1="schwer",E175,"badType")),IF($B$1="Carbon",IF($F$1="leicht",T147,IF($F$1="schwer",T175,"badType")),"Badmat"))</f>
        <v>5</v>
      </c>
      <c r="F203">
        <f t="shared" ref="F203:F225" si="48">IF($B$1="Stainless",IF($F$1="leicht",F147,IF($F$1="schwer",F175,"badType")),IF($B$1="Carbon",IF($F$1="leicht",U147,IF($F$1="schwer",U175,"badType")),"Badmat"))</f>
        <v>60</v>
      </c>
      <c r="G203">
        <f t="shared" ref="G203:G225" si="49">IF($B$1="Stainless",IF($F$1="leicht",G147,IF($F$1="schwer",G175,"badType")),IF($B$1="Carbon",IF($F$1="leicht",V147,IF($F$1="schwer",V175,"badType")),"Badmat"))</f>
        <v>6</v>
      </c>
      <c r="H203">
        <f t="shared" ref="H203:H225" si="50">IF($B$1="Stainless",IF($F$1="leicht",H147,IF($F$1="schwer",H175,"badType")),IF($B$1="Carbon",IF($F$1="leicht",W147,IF($F$1="schwer",W175,"badType")),"Badmat"))</f>
        <v>84.5</v>
      </c>
      <c r="I203" t="str">
        <f t="shared" ref="I203:I225" si="51">IF($B$1="Stainless",IF($F$1="leicht",I147,IF($F$1="schwer",I175,"badType")),IF($B$1="Carbon",IF($F$1="leicht",X147,IF($F$1="schwer",X175,"badType")),"Badmat"))</f>
        <v>B</v>
      </c>
      <c r="J203" t="str">
        <f t="shared" ref="J203:J225" si="52">IF($B$1="Stainless",IF($F$1="leicht",J147,IF($F$1="schwer",J175,"badType")),IF($B$1="Carbon",IF($F$1="leicht",Y147,IF($F$1="schwer",Y175,"badType")),"Badmat"))</f>
        <v>C</v>
      </c>
      <c r="K203" t="str">
        <f t="shared" ref="K203:K225" si="53">IF($B$1="Stainless",IF($F$1="leicht",K147,IF($F$1="schwer",K175,"badType")),IF($B$1="Carbon",IF($F$1="leicht",Z147,IF($F$1="schwer",Z175,"badType")),"Badmat"))</f>
        <v>D</v>
      </c>
      <c r="L203" t="str">
        <f t="shared" ref="L203:L225" si="54">IF($B$1="Stainless",IF($F$1="leicht",L147,IF($F$1="schwer",L175,"badType")),IF($B$1="Carbon",IF($F$1="leicht",AA147,IF($F$1="schwer",AA175,"badType")),"Badmat"))</f>
        <v>T</v>
      </c>
      <c r="M203" t="str">
        <f t="shared" ref="M203:M225" si="55">IF($B$1="Stainless",IF($F$1="leicht",M147,IF($F$1="schwer",M175,"badType")),IF($B$1="Carbon",IF($F$1="leicht",AB147,IF($F$1="schwer",AB175,"badType")),"Badmat"))</f>
        <v>iT</v>
      </c>
      <c r="N203">
        <f t="shared" ref="N203:N225" si="56">IF($B$1="Stainless",IF($F$1="leicht",N147,IF($F$1="schwer",N175,"badType")),IF($B$1="Carbon",IF($F$1="leicht",AC147,IF($F$1="schwer",AC175,"badType")),"Badmat"))</f>
        <v>0</v>
      </c>
      <c r="O203">
        <f t="shared" ref="O203:O225" si="57">IF($B$1="Stainless",IF($F$1="leicht",O147,IF($F$1="schwer",O175,"badType")),IF($B$1="Carbon",IF($F$1="leicht",AD147,IF($F$1="schwer",AD175,"badType")),"Badmat"))</f>
        <v>0</v>
      </c>
      <c r="P203" t="str">
        <f>IF($D$1="PFP",Prim_Supp[[#This Row],[PFP]],IF($D$1="FP",Prim_Supp[[#This Row],[FP]],IF($D$1="GB",Prim_Supp[[#This Row],[GB_GS]],IF($D$1="GS",Prim_Supp[[#This Row],[SB_SS]]))))</f>
        <v>C</v>
      </c>
      <c r="Q203" t="str">
        <f t="shared" si="41"/>
        <v>B</v>
      </c>
      <c r="R203" t="b">
        <f>AND(IF($D$1="PFP",TRUE,IF($D$1="FP",FALSE,IF($D$1="GB",TRUE,IF($D$1="GS",FALSE)))),ISERROR(FIND("e",Prim_Supp[[#This Row],[Ausf]])),NOT(ISERROR(FIND("U",Prim_Supp[[#This Row],[Ausf]]))))</f>
        <v>0</v>
      </c>
      <c r="S203" t="b">
        <f t="shared" si="42"/>
        <v>0</v>
      </c>
      <c r="T203" t="b">
        <f t="shared" si="43"/>
        <v>0</v>
      </c>
      <c r="U203" t="b">
        <f t="shared" si="44"/>
        <v>0</v>
      </c>
    </row>
    <row r="204" spans="2:33">
      <c r="B204">
        <f t="shared" si="27"/>
        <v>25</v>
      </c>
      <c r="C204" t="str">
        <f t="shared" si="45"/>
        <v>1”</v>
      </c>
      <c r="D204">
        <f t="shared" si="46"/>
        <v>34</v>
      </c>
      <c r="E204">
        <f t="shared" si="47"/>
        <v>5</v>
      </c>
      <c r="F204">
        <f t="shared" si="48"/>
        <v>60</v>
      </c>
      <c r="G204">
        <f t="shared" si="49"/>
        <v>6</v>
      </c>
      <c r="H204">
        <f t="shared" si="50"/>
        <v>88</v>
      </c>
      <c r="I204" t="str">
        <f t="shared" si="51"/>
        <v>B</v>
      </c>
      <c r="J204" t="str">
        <f t="shared" si="52"/>
        <v>C</v>
      </c>
      <c r="K204" t="str">
        <f t="shared" si="53"/>
        <v>D</v>
      </c>
      <c r="L204" t="str">
        <f t="shared" si="54"/>
        <v>T</v>
      </c>
      <c r="M204" t="str">
        <f t="shared" si="55"/>
        <v>iT</v>
      </c>
      <c r="N204">
        <f t="shared" si="56"/>
        <v>0</v>
      </c>
      <c r="O204">
        <f t="shared" si="57"/>
        <v>0</v>
      </c>
      <c r="P204" t="str">
        <f>IF($D$1="PFP",Prim_Supp[[#This Row],[PFP]],IF($D$1="FP",Prim_Supp[[#This Row],[FP]],IF($D$1="GB",Prim_Supp[[#This Row],[GB_GS]],IF($D$1="GS",Prim_Supp[[#This Row],[SB_SS]]))))</f>
        <v>C</v>
      </c>
      <c r="Q204" t="str">
        <f t="shared" si="41"/>
        <v>B</v>
      </c>
      <c r="R204" t="b">
        <f>AND(IF($D$1="PFP",TRUE,IF($D$1="FP",FALSE,IF($D$1="GB",TRUE,IF($D$1="GS",FALSE)))),ISERROR(FIND("e",Prim_Supp[[#This Row],[Ausf]])),NOT(ISERROR(FIND("U",Prim_Supp[[#This Row],[Ausf]]))))</f>
        <v>0</v>
      </c>
      <c r="S204" t="b">
        <f t="shared" si="42"/>
        <v>0</v>
      </c>
      <c r="T204" t="b">
        <f t="shared" si="43"/>
        <v>0</v>
      </c>
      <c r="U204" t="b">
        <f t="shared" si="44"/>
        <v>0</v>
      </c>
    </row>
    <row r="205" spans="2:33">
      <c r="B205">
        <f t="shared" si="27"/>
        <v>32</v>
      </c>
      <c r="C205" t="str">
        <f t="shared" si="45"/>
        <v>1¼”</v>
      </c>
      <c r="D205">
        <f t="shared" si="46"/>
        <v>43</v>
      </c>
      <c r="E205">
        <f t="shared" si="47"/>
        <v>5</v>
      </c>
      <c r="F205">
        <f t="shared" si="48"/>
        <v>60</v>
      </c>
      <c r="G205">
        <f t="shared" si="49"/>
        <v>6</v>
      </c>
      <c r="H205">
        <f t="shared" si="50"/>
        <v>92.5</v>
      </c>
      <c r="I205" t="str">
        <f t="shared" si="51"/>
        <v>B</v>
      </c>
      <c r="J205" t="str">
        <f t="shared" si="52"/>
        <v>C</v>
      </c>
      <c r="K205" t="str">
        <f t="shared" si="53"/>
        <v>D</v>
      </c>
      <c r="L205" t="str">
        <f t="shared" si="54"/>
        <v>T</v>
      </c>
      <c r="M205" t="str">
        <f t="shared" si="55"/>
        <v>iT</v>
      </c>
      <c r="N205">
        <f t="shared" si="56"/>
        <v>0</v>
      </c>
      <c r="O205">
        <f t="shared" si="57"/>
        <v>0</v>
      </c>
      <c r="P205" t="str">
        <f>IF($D$1="PFP",Prim_Supp[[#This Row],[PFP]],IF($D$1="FP",Prim_Supp[[#This Row],[FP]],IF($D$1="GB",Prim_Supp[[#This Row],[GB_GS]],IF($D$1="GS",Prim_Supp[[#This Row],[SB_SS]]))))</f>
        <v>C</v>
      </c>
      <c r="Q205" t="str">
        <f t="shared" si="41"/>
        <v>B</v>
      </c>
      <c r="R205" t="b">
        <f>AND(IF($D$1="PFP",TRUE,IF($D$1="FP",FALSE,IF($D$1="GB",TRUE,IF($D$1="GS",FALSE)))),ISERROR(FIND("e",Prim_Supp[[#This Row],[Ausf]])),NOT(ISERROR(FIND("U",Prim_Supp[[#This Row],[Ausf]]))))</f>
        <v>0</v>
      </c>
      <c r="S205" t="b">
        <f t="shared" si="42"/>
        <v>0</v>
      </c>
      <c r="T205" t="b">
        <f t="shared" si="43"/>
        <v>0</v>
      </c>
      <c r="U205" t="b">
        <f t="shared" si="44"/>
        <v>0</v>
      </c>
    </row>
    <row r="206" spans="2:33">
      <c r="B206">
        <f t="shared" si="27"/>
        <v>40</v>
      </c>
      <c r="C206" t="str">
        <f t="shared" si="45"/>
        <v>1½”</v>
      </c>
      <c r="D206">
        <f t="shared" si="46"/>
        <v>49</v>
      </c>
      <c r="E206">
        <f t="shared" si="47"/>
        <v>5</v>
      </c>
      <c r="F206">
        <f t="shared" si="48"/>
        <v>60</v>
      </c>
      <c r="G206">
        <f t="shared" si="49"/>
        <v>6</v>
      </c>
      <c r="H206">
        <f t="shared" si="50"/>
        <v>95.5</v>
      </c>
      <c r="I206" t="str">
        <f t="shared" si="51"/>
        <v>B</v>
      </c>
      <c r="J206" t="str">
        <f t="shared" si="52"/>
        <v>C</v>
      </c>
      <c r="K206" t="str">
        <f t="shared" si="53"/>
        <v>D</v>
      </c>
      <c r="L206" t="str">
        <f t="shared" si="54"/>
        <v>T</v>
      </c>
      <c r="M206" t="str">
        <f t="shared" si="55"/>
        <v>iT</v>
      </c>
      <c r="N206">
        <f t="shared" si="56"/>
        <v>0</v>
      </c>
      <c r="O206">
        <f t="shared" si="57"/>
        <v>0</v>
      </c>
      <c r="P206" t="str">
        <f>IF($D$1="PFP",Prim_Supp[[#This Row],[PFP]],IF($D$1="FP",Prim_Supp[[#This Row],[FP]],IF($D$1="GB",Prim_Supp[[#This Row],[GB_GS]],IF($D$1="GS",Prim_Supp[[#This Row],[SB_SS]]))))</f>
        <v>C</v>
      </c>
      <c r="Q206" t="str">
        <f t="shared" si="41"/>
        <v>B</v>
      </c>
      <c r="R206" t="b">
        <f>AND(IF($D$1="PFP",TRUE,IF($D$1="FP",FALSE,IF($D$1="GB",TRUE,IF($D$1="GS",FALSE)))),ISERROR(FIND("e",Prim_Supp[[#This Row],[Ausf]])),NOT(ISERROR(FIND("U",Prim_Supp[[#This Row],[Ausf]]))))</f>
        <v>0</v>
      </c>
      <c r="S206" t="b">
        <f t="shared" si="42"/>
        <v>0</v>
      </c>
      <c r="T206" t="b">
        <f t="shared" si="43"/>
        <v>0</v>
      </c>
      <c r="U206" t="b">
        <f t="shared" si="44"/>
        <v>0</v>
      </c>
    </row>
    <row r="207" spans="2:33">
      <c r="B207">
        <f t="shared" si="27"/>
        <v>50</v>
      </c>
      <c r="C207" t="str">
        <f t="shared" si="45"/>
        <v>2”</v>
      </c>
      <c r="D207">
        <f t="shared" si="46"/>
        <v>61</v>
      </c>
      <c r="E207">
        <f t="shared" si="47"/>
        <v>6</v>
      </c>
      <c r="F207">
        <f t="shared" si="48"/>
        <v>60</v>
      </c>
      <c r="G207">
        <f t="shared" si="49"/>
        <v>6</v>
      </c>
      <c r="H207">
        <f t="shared" si="50"/>
        <v>102.5</v>
      </c>
      <c r="I207" t="str">
        <f t="shared" si="51"/>
        <v>B</v>
      </c>
      <c r="J207" t="str">
        <f t="shared" si="52"/>
        <v>C</v>
      </c>
      <c r="K207" t="str">
        <f t="shared" si="53"/>
        <v>D</v>
      </c>
      <c r="L207" t="str">
        <f t="shared" si="54"/>
        <v>T</v>
      </c>
      <c r="M207" t="str">
        <f t="shared" si="55"/>
        <v>iT</v>
      </c>
      <c r="N207">
        <f t="shared" si="56"/>
        <v>0</v>
      </c>
      <c r="O207">
        <f t="shared" si="57"/>
        <v>0</v>
      </c>
      <c r="P207" t="str">
        <f>IF($D$1="PFP",Prim_Supp[[#This Row],[PFP]],IF($D$1="FP",Prim_Supp[[#This Row],[FP]],IF($D$1="GB",Prim_Supp[[#This Row],[GB_GS]],IF($D$1="GS",Prim_Supp[[#This Row],[SB_SS]]))))</f>
        <v>C</v>
      </c>
      <c r="Q207" t="str">
        <f t="shared" si="41"/>
        <v>B</v>
      </c>
      <c r="R207" t="b">
        <f>AND(IF($D$1="PFP",TRUE,IF($D$1="FP",FALSE,IF($D$1="GB",TRUE,IF($D$1="GS",FALSE)))),ISERROR(FIND("e",Prim_Supp[[#This Row],[Ausf]])),NOT(ISERROR(FIND("U",Prim_Supp[[#This Row],[Ausf]]))))</f>
        <v>0</v>
      </c>
      <c r="S207" t="b">
        <f t="shared" si="42"/>
        <v>0</v>
      </c>
      <c r="T207" t="b">
        <f t="shared" si="43"/>
        <v>0</v>
      </c>
      <c r="U207" t="b">
        <f t="shared" si="44"/>
        <v>0</v>
      </c>
    </row>
    <row r="208" spans="2:33">
      <c r="B208">
        <f t="shared" si="27"/>
        <v>65</v>
      </c>
      <c r="C208" t="str">
        <f t="shared" si="45"/>
        <v>2½”</v>
      </c>
      <c r="D208">
        <f t="shared" si="46"/>
        <v>77</v>
      </c>
      <c r="E208">
        <f t="shared" si="47"/>
        <v>6</v>
      </c>
      <c r="F208">
        <f t="shared" si="48"/>
        <v>60</v>
      </c>
      <c r="G208">
        <f t="shared" si="49"/>
        <v>6</v>
      </c>
      <c r="H208">
        <f t="shared" si="50"/>
        <v>110.5</v>
      </c>
      <c r="I208" t="str">
        <f t="shared" si="51"/>
        <v>B</v>
      </c>
      <c r="J208" t="str">
        <f t="shared" si="52"/>
        <v>C</v>
      </c>
      <c r="K208" t="str">
        <f t="shared" si="53"/>
        <v>D</v>
      </c>
      <c r="L208" t="str">
        <f t="shared" si="54"/>
        <v>T</v>
      </c>
      <c r="M208" t="str">
        <f t="shared" si="55"/>
        <v>iT</v>
      </c>
      <c r="N208">
        <f t="shared" si="56"/>
        <v>0</v>
      </c>
      <c r="O208">
        <f t="shared" si="57"/>
        <v>0</v>
      </c>
      <c r="P208" t="str">
        <f>IF($D$1="PFP",Prim_Supp[[#This Row],[PFP]],IF($D$1="FP",Prim_Supp[[#This Row],[FP]],IF($D$1="GB",Prim_Supp[[#This Row],[GB_GS]],IF($D$1="GS",Prim_Supp[[#This Row],[SB_SS]]))))</f>
        <v>C</v>
      </c>
      <c r="Q208" t="str">
        <f t="shared" si="41"/>
        <v>B</v>
      </c>
      <c r="R208" t="b">
        <f>AND(IF($D$1="PFP",TRUE,IF($D$1="FP",FALSE,IF($D$1="GB",TRUE,IF($D$1="GS",FALSE)))),ISERROR(FIND("e",Prim_Supp[[#This Row],[Ausf]])),NOT(ISERROR(FIND("U",Prim_Supp[[#This Row],[Ausf]]))))</f>
        <v>0</v>
      </c>
      <c r="S208" t="b">
        <f t="shared" si="42"/>
        <v>0</v>
      </c>
      <c r="T208" t="b">
        <f t="shared" si="43"/>
        <v>0</v>
      </c>
      <c r="U208" t="b">
        <f t="shared" si="44"/>
        <v>0</v>
      </c>
    </row>
    <row r="209" spans="2:21">
      <c r="B209">
        <f t="shared" si="27"/>
        <v>80</v>
      </c>
      <c r="C209" t="str">
        <f t="shared" si="45"/>
        <v>3”</v>
      </c>
      <c r="D209">
        <f t="shared" si="46"/>
        <v>89</v>
      </c>
      <c r="E209">
        <f t="shared" si="47"/>
        <v>6</v>
      </c>
      <c r="F209">
        <f t="shared" si="48"/>
        <v>60</v>
      </c>
      <c r="G209">
        <f t="shared" si="49"/>
        <v>6</v>
      </c>
      <c r="H209">
        <f t="shared" si="50"/>
        <v>116.5</v>
      </c>
      <c r="I209" t="str">
        <f t="shared" si="51"/>
        <v>B</v>
      </c>
      <c r="J209" t="str">
        <f t="shared" si="52"/>
        <v>C</v>
      </c>
      <c r="K209" t="str">
        <f t="shared" si="53"/>
        <v>D</v>
      </c>
      <c r="L209" t="str">
        <f t="shared" si="54"/>
        <v>T</v>
      </c>
      <c r="M209" t="str">
        <f t="shared" si="55"/>
        <v>iT</v>
      </c>
      <c r="N209">
        <f t="shared" si="56"/>
        <v>0</v>
      </c>
      <c r="O209">
        <f t="shared" si="57"/>
        <v>0</v>
      </c>
      <c r="P209" t="str">
        <f>IF($D$1="PFP",Prim_Supp[[#This Row],[PFP]],IF($D$1="FP",Prim_Supp[[#This Row],[FP]],IF($D$1="GB",Prim_Supp[[#This Row],[GB_GS]],IF($D$1="GS",Prim_Supp[[#This Row],[SB_SS]]))))</f>
        <v>C</v>
      </c>
      <c r="Q209" t="str">
        <f t="shared" si="41"/>
        <v>B</v>
      </c>
      <c r="R209" t="b">
        <f>AND(IF($D$1="PFP",TRUE,IF($D$1="FP",FALSE,IF($D$1="GB",TRUE,IF($D$1="GS",FALSE)))),ISERROR(FIND("e",Prim_Supp[[#This Row],[Ausf]])),NOT(ISERROR(FIND("U",Prim_Supp[[#This Row],[Ausf]]))))</f>
        <v>0</v>
      </c>
      <c r="S209" t="b">
        <f t="shared" si="42"/>
        <v>0</v>
      </c>
      <c r="T209" t="b">
        <f t="shared" si="43"/>
        <v>0</v>
      </c>
      <c r="U209" t="b">
        <f t="shared" si="44"/>
        <v>0</v>
      </c>
    </row>
    <row r="210" spans="2:21">
      <c r="B210">
        <f t="shared" si="27"/>
        <v>100</v>
      </c>
      <c r="C210" t="str">
        <f t="shared" si="45"/>
        <v>4”</v>
      </c>
      <c r="D210">
        <f t="shared" si="46"/>
        <v>115</v>
      </c>
      <c r="E210">
        <f t="shared" si="47"/>
        <v>8</v>
      </c>
      <c r="F210">
        <f t="shared" si="48"/>
        <v>90</v>
      </c>
      <c r="G210">
        <f t="shared" si="49"/>
        <v>6</v>
      </c>
      <c r="H210">
        <f t="shared" si="50"/>
        <v>127.5</v>
      </c>
      <c r="I210" t="str">
        <f t="shared" si="51"/>
        <v>H</v>
      </c>
      <c r="J210" t="str">
        <f t="shared" si="52"/>
        <v>J</v>
      </c>
      <c r="K210" t="str">
        <f t="shared" si="53"/>
        <v>K</v>
      </c>
      <c r="L210" t="str">
        <f t="shared" si="54"/>
        <v>V</v>
      </c>
      <c r="M210" t="str">
        <f t="shared" si="55"/>
        <v>2Ue</v>
      </c>
      <c r="N210">
        <f t="shared" si="56"/>
        <v>75</v>
      </c>
      <c r="O210">
        <f t="shared" si="57"/>
        <v>30</v>
      </c>
      <c r="P210" t="str">
        <f>IF($D$1="PFP",Prim_Supp[[#This Row],[PFP]],IF($D$1="FP",Prim_Supp[[#This Row],[FP]],IF($D$1="GB",Prim_Supp[[#This Row],[GB_GS]],IF($D$1="GS",Prim_Supp[[#This Row],[SB_SS]]))))</f>
        <v>J</v>
      </c>
      <c r="Q210" t="str">
        <f t="shared" si="41"/>
        <v>B</v>
      </c>
      <c r="R210" t="b">
        <f>AND(IF($D$1="PFP",TRUE,IF($D$1="FP",FALSE,IF($D$1="GB",TRUE,IF($D$1="GS",FALSE)))),ISERROR(FIND("e",Prim_Supp[[#This Row],[Ausf]])),NOT(ISERROR(FIND("U",Prim_Supp[[#This Row],[Ausf]]))))</f>
        <v>0</v>
      </c>
      <c r="S210" t="b">
        <f t="shared" si="42"/>
        <v>0</v>
      </c>
      <c r="T210" t="b">
        <f t="shared" si="43"/>
        <v>0</v>
      </c>
      <c r="U210" t="b">
        <f t="shared" si="44"/>
        <v>0</v>
      </c>
    </row>
    <row r="211" spans="2:21">
      <c r="B211">
        <f t="shared" si="27"/>
        <v>125</v>
      </c>
      <c r="C211" t="str">
        <f t="shared" si="45"/>
        <v>5”</v>
      </c>
      <c r="D211">
        <f t="shared" si="46"/>
        <v>140</v>
      </c>
      <c r="E211">
        <f t="shared" si="47"/>
        <v>8</v>
      </c>
      <c r="F211">
        <f t="shared" si="48"/>
        <v>90</v>
      </c>
      <c r="G211">
        <f t="shared" si="49"/>
        <v>6</v>
      </c>
      <c r="H211">
        <f t="shared" si="50"/>
        <v>140</v>
      </c>
      <c r="I211" t="str">
        <f t="shared" si="51"/>
        <v>H</v>
      </c>
      <c r="J211" t="str">
        <f t="shared" si="52"/>
        <v>J</v>
      </c>
      <c r="K211" t="str">
        <f t="shared" si="53"/>
        <v>K</v>
      </c>
      <c r="L211" t="str">
        <f t="shared" si="54"/>
        <v>V</v>
      </c>
      <c r="M211" t="str">
        <f t="shared" si="55"/>
        <v>2Ue</v>
      </c>
      <c r="N211">
        <f t="shared" si="56"/>
        <v>73</v>
      </c>
      <c r="O211">
        <f t="shared" si="57"/>
        <v>30</v>
      </c>
      <c r="P211" t="str">
        <f>IF($D$1="PFP",Prim_Supp[[#This Row],[PFP]],IF($D$1="FP",Prim_Supp[[#This Row],[FP]],IF($D$1="GB",Prim_Supp[[#This Row],[GB_GS]],IF($D$1="GS",Prim_Supp[[#This Row],[SB_SS]]))))</f>
        <v>J</v>
      </c>
      <c r="Q211" t="str">
        <f t="shared" si="41"/>
        <v>B</v>
      </c>
      <c r="R211" t="b">
        <f>AND(IF($D$1="PFP",TRUE,IF($D$1="FP",FALSE,IF($D$1="GB",TRUE,IF($D$1="GS",FALSE)))),ISERROR(FIND("e",Prim_Supp[[#This Row],[Ausf]])),NOT(ISERROR(FIND("U",Prim_Supp[[#This Row],[Ausf]]))))</f>
        <v>0</v>
      </c>
      <c r="S211" t="b">
        <f t="shared" si="42"/>
        <v>0</v>
      </c>
      <c r="T211" t="b">
        <f t="shared" si="43"/>
        <v>0</v>
      </c>
      <c r="U211" t="b">
        <f t="shared" si="44"/>
        <v>0</v>
      </c>
    </row>
    <row r="212" spans="2:21">
      <c r="B212">
        <f t="shared" si="27"/>
        <v>150</v>
      </c>
      <c r="C212" t="str">
        <f t="shared" si="45"/>
        <v>6”</v>
      </c>
      <c r="D212">
        <f t="shared" si="46"/>
        <v>169</v>
      </c>
      <c r="E212">
        <f t="shared" si="47"/>
        <v>8</v>
      </c>
      <c r="F212">
        <f t="shared" si="48"/>
        <v>90</v>
      </c>
      <c r="G212">
        <f t="shared" si="49"/>
        <v>6</v>
      </c>
      <c r="H212">
        <f t="shared" si="50"/>
        <v>154.5</v>
      </c>
      <c r="I212" t="str">
        <f t="shared" si="51"/>
        <v>H</v>
      </c>
      <c r="J212" t="str">
        <f t="shared" si="52"/>
        <v>J</v>
      </c>
      <c r="K212" t="str">
        <f t="shared" si="53"/>
        <v>K</v>
      </c>
      <c r="L212" t="str">
        <f t="shared" si="54"/>
        <v>V</v>
      </c>
      <c r="M212" t="str">
        <f t="shared" si="55"/>
        <v>2Ue</v>
      </c>
      <c r="N212">
        <f t="shared" si="56"/>
        <v>71</v>
      </c>
      <c r="O212">
        <f t="shared" si="57"/>
        <v>30</v>
      </c>
      <c r="P212" t="str">
        <f>IF($D$1="PFP",Prim_Supp[[#This Row],[PFP]],IF($D$1="FP",Prim_Supp[[#This Row],[FP]],IF($D$1="GB",Prim_Supp[[#This Row],[GB_GS]],IF($D$1="GS",Prim_Supp[[#This Row],[SB_SS]]))))</f>
        <v>J</v>
      </c>
      <c r="Q212" t="str">
        <f t="shared" si="41"/>
        <v>B</v>
      </c>
      <c r="R212" t="b">
        <f>AND(IF($D$1="PFP",TRUE,IF($D$1="FP",FALSE,IF($D$1="GB",TRUE,IF($D$1="GS",FALSE)))),ISERROR(FIND("e",Prim_Supp[[#This Row],[Ausf]])),NOT(ISERROR(FIND("U",Prim_Supp[[#This Row],[Ausf]]))))</f>
        <v>0</v>
      </c>
      <c r="S212" t="b">
        <f t="shared" si="42"/>
        <v>0</v>
      </c>
      <c r="T212" t="b">
        <f t="shared" si="43"/>
        <v>0</v>
      </c>
      <c r="U212" t="b">
        <f t="shared" si="44"/>
        <v>0</v>
      </c>
    </row>
    <row r="213" spans="2:21">
      <c r="B213">
        <f t="shared" si="27"/>
        <v>200</v>
      </c>
      <c r="C213" t="str">
        <f t="shared" si="45"/>
        <v>8”</v>
      </c>
      <c r="D213">
        <f t="shared" si="46"/>
        <v>220</v>
      </c>
      <c r="E213">
        <f t="shared" si="47"/>
        <v>8</v>
      </c>
      <c r="F213">
        <f t="shared" si="48"/>
        <v>90</v>
      </c>
      <c r="G213">
        <f t="shared" si="49"/>
        <v>6</v>
      </c>
      <c r="H213">
        <f t="shared" si="50"/>
        <v>180</v>
      </c>
      <c r="I213" t="str">
        <f t="shared" si="51"/>
        <v>H</v>
      </c>
      <c r="J213" t="str">
        <f t="shared" si="52"/>
        <v>J</v>
      </c>
      <c r="K213" t="str">
        <f t="shared" si="53"/>
        <v>K</v>
      </c>
      <c r="L213" t="str">
        <f t="shared" si="54"/>
        <v>V</v>
      </c>
      <c r="M213" t="str">
        <f t="shared" si="55"/>
        <v>2Ue</v>
      </c>
      <c r="N213">
        <f t="shared" si="56"/>
        <v>69</v>
      </c>
      <c r="O213">
        <f t="shared" si="57"/>
        <v>30</v>
      </c>
      <c r="P213" t="str">
        <f>IF($D$1="PFP",Prim_Supp[[#This Row],[PFP]],IF($D$1="FP",Prim_Supp[[#This Row],[FP]],IF($D$1="GB",Prim_Supp[[#This Row],[GB_GS]],IF($D$1="GS",Prim_Supp[[#This Row],[SB_SS]]))))</f>
        <v>J</v>
      </c>
      <c r="Q213" t="str">
        <f t="shared" si="41"/>
        <v>B</v>
      </c>
      <c r="R213" t="b">
        <f>AND(IF($D$1="PFP",TRUE,IF($D$1="FP",FALSE,IF($D$1="GB",TRUE,IF($D$1="GS",FALSE)))),ISERROR(FIND("e",Prim_Supp[[#This Row],[Ausf]])),NOT(ISERROR(FIND("U",Prim_Supp[[#This Row],[Ausf]]))))</f>
        <v>0</v>
      </c>
      <c r="S213" t="b">
        <f t="shared" si="42"/>
        <v>0</v>
      </c>
      <c r="T213" t="b">
        <f t="shared" si="43"/>
        <v>0</v>
      </c>
      <c r="U213" t="b">
        <f t="shared" si="44"/>
        <v>0</v>
      </c>
    </row>
    <row r="214" spans="2:21">
      <c r="B214">
        <f t="shared" si="27"/>
        <v>250</v>
      </c>
      <c r="C214" t="str">
        <f t="shared" si="45"/>
        <v>10”</v>
      </c>
      <c r="D214">
        <f t="shared" si="46"/>
        <v>273</v>
      </c>
      <c r="E214">
        <f t="shared" si="47"/>
        <v>8</v>
      </c>
      <c r="F214">
        <f t="shared" si="48"/>
        <v>120</v>
      </c>
      <c r="G214">
        <f t="shared" si="49"/>
        <v>6</v>
      </c>
      <c r="H214">
        <f t="shared" si="50"/>
        <v>206.5</v>
      </c>
      <c r="I214" t="str">
        <f t="shared" si="51"/>
        <v>H</v>
      </c>
      <c r="J214" t="str">
        <f t="shared" si="52"/>
        <v>J</v>
      </c>
      <c r="K214" t="str">
        <f t="shared" si="53"/>
        <v>K</v>
      </c>
      <c r="L214" t="str">
        <f t="shared" si="54"/>
        <v>V</v>
      </c>
      <c r="M214" t="str">
        <f t="shared" si="55"/>
        <v>2Ue</v>
      </c>
      <c r="N214">
        <f t="shared" si="56"/>
        <v>73</v>
      </c>
      <c r="O214">
        <f t="shared" si="57"/>
        <v>30</v>
      </c>
      <c r="P214" t="str">
        <f>IF($D$1="PFP",Prim_Supp[[#This Row],[PFP]],IF($D$1="FP",Prim_Supp[[#This Row],[FP]],IF($D$1="GB",Prim_Supp[[#This Row],[GB_GS]],IF($D$1="GS",Prim_Supp[[#This Row],[SB_SS]]))))</f>
        <v>J</v>
      </c>
      <c r="Q214" t="str">
        <f t="shared" si="41"/>
        <v>B</v>
      </c>
      <c r="R214" t="b">
        <f>AND(IF($D$1="PFP",TRUE,IF($D$1="FP",FALSE,IF($D$1="GB",TRUE,IF($D$1="GS",FALSE)))),ISERROR(FIND("e",Prim_Supp[[#This Row],[Ausf]])),NOT(ISERROR(FIND("U",Prim_Supp[[#This Row],[Ausf]]))))</f>
        <v>0</v>
      </c>
      <c r="S214" t="b">
        <f t="shared" si="42"/>
        <v>0</v>
      </c>
      <c r="T214" t="b">
        <f t="shared" si="43"/>
        <v>0</v>
      </c>
      <c r="U214" t="b">
        <f t="shared" si="44"/>
        <v>0</v>
      </c>
    </row>
    <row r="215" spans="2:21">
      <c r="B215">
        <f t="shared" si="27"/>
        <v>300</v>
      </c>
      <c r="C215" t="str">
        <f t="shared" si="45"/>
        <v>12”</v>
      </c>
      <c r="D215">
        <f t="shared" si="46"/>
        <v>324</v>
      </c>
      <c r="E215">
        <f t="shared" si="47"/>
        <v>8</v>
      </c>
      <c r="F215">
        <f t="shared" si="48"/>
        <v>150</v>
      </c>
      <c r="G215">
        <f t="shared" si="49"/>
        <v>6</v>
      </c>
      <c r="H215">
        <f t="shared" si="50"/>
        <v>232</v>
      </c>
      <c r="I215" t="str">
        <f t="shared" si="51"/>
        <v>H</v>
      </c>
      <c r="J215" t="str">
        <f t="shared" si="52"/>
        <v>J</v>
      </c>
      <c r="K215" t="str">
        <f t="shared" si="53"/>
        <v>K</v>
      </c>
      <c r="L215" t="str">
        <f t="shared" si="54"/>
        <v>V</v>
      </c>
      <c r="M215" t="str">
        <f t="shared" si="55"/>
        <v>2Ue</v>
      </c>
      <c r="N215">
        <f t="shared" si="56"/>
        <v>77</v>
      </c>
      <c r="O215">
        <f t="shared" si="57"/>
        <v>30</v>
      </c>
      <c r="P215" t="str">
        <f>IF($D$1="PFP",Prim_Supp[[#This Row],[PFP]],IF($D$1="FP",Prim_Supp[[#This Row],[FP]],IF($D$1="GB",Prim_Supp[[#This Row],[GB_GS]],IF($D$1="GS",Prim_Supp[[#This Row],[SB_SS]]))))</f>
        <v>J</v>
      </c>
      <c r="Q215" t="str">
        <f t="shared" si="41"/>
        <v>B</v>
      </c>
      <c r="R215" t="b">
        <f>AND(IF($D$1="PFP",TRUE,IF($D$1="FP",FALSE,IF($D$1="GB",TRUE,IF($D$1="GS",FALSE)))),ISERROR(FIND("e",Prim_Supp[[#This Row],[Ausf]])),NOT(ISERROR(FIND("U",Prim_Supp[[#This Row],[Ausf]]))))</f>
        <v>0</v>
      </c>
      <c r="S215" t="b">
        <f t="shared" si="42"/>
        <v>0</v>
      </c>
      <c r="T215" t="b">
        <f t="shared" si="43"/>
        <v>0</v>
      </c>
      <c r="U215" t="b">
        <f t="shared" si="44"/>
        <v>0</v>
      </c>
    </row>
    <row r="216" spans="2:21">
      <c r="B216">
        <f t="shared" si="27"/>
        <v>350</v>
      </c>
      <c r="C216" t="str">
        <f t="shared" si="45"/>
        <v>14”</v>
      </c>
      <c r="D216">
        <f t="shared" si="46"/>
        <v>356</v>
      </c>
      <c r="E216">
        <f t="shared" si="47"/>
        <v>8</v>
      </c>
      <c r="F216">
        <f t="shared" si="48"/>
        <v>150</v>
      </c>
      <c r="G216">
        <f t="shared" si="49"/>
        <v>6</v>
      </c>
      <c r="H216">
        <f t="shared" si="50"/>
        <v>248</v>
      </c>
      <c r="I216" t="str">
        <f t="shared" si="51"/>
        <v>H</v>
      </c>
      <c r="J216" t="str">
        <f t="shared" si="52"/>
        <v>J</v>
      </c>
      <c r="K216" t="str">
        <f t="shared" si="53"/>
        <v>K</v>
      </c>
      <c r="L216" t="str">
        <f t="shared" si="54"/>
        <v>V</v>
      </c>
      <c r="M216" t="str">
        <f t="shared" si="55"/>
        <v>2Ue</v>
      </c>
      <c r="N216">
        <f t="shared" si="56"/>
        <v>76</v>
      </c>
      <c r="O216">
        <f t="shared" si="57"/>
        <v>30</v>
      </c>
      <c r="P216" t="str">
        <f>IF($D$1="PFP",Prim_Supp[[#This Row],[PFP]],IF($D$1="FP",Prim_Supp[[#This Row],[FP]],IF($D$1="GB",Prim_Supp[[#This Row],[GB_GS]],IF($D$1="GS",Prim_Supp[[#This Row],[SB_SS]]))))</f>
        <v>J</v>
      </c>
      <c r="Q216" t="str">
        <f t="shared" si="41"/>
        <v>B</v>
      </c>
      <c r="R216" t="b">
        <f>AND(IF($D$1="PFP",TRUE,IF($D$1="FP",FALSE,IF($D$1="GB",TRUE,IF($D$1="GS",FALSE)))),ISERROR(FIND("e",Prim_Supp[[#This Row],[Ausf]])),NOT(ISERROR(FIND("U",Prim_Supp[[#This Row],[Ausf]]))))</f>
        <v>0</v>
      </c>
      <c r="S216" t="b">
        <f t="shared" si="42"/>
        <v>0</v>
      </c>
      <c r="T216" t="b">
        <f t="shared" si="43"/>
        <v>0</v>
      </c>
      <c r="U216" t="b">
        <f t="shared" si="44"/>
        <v>0</v>
      </c>
    </row>
    <row r="217" spans="2:21">
      <c r="B217">
        <f t="shared" si="27"/>
        <v>400</v>
      </c>
      <c r="C217" t="str">
        <f t="shared" si="45"/>
        <v>16”</v>
      </c>
      <c r="D217">
        <f t="shared" si="46"/>
        <v>407</v>
      </c>
      <c r="E217">
        <f t="shared" si="47"/>
        <v>10</v>
      </c>
      <c r="F217">
        <f t="shared" si="48"/>
        <v>300</v>
      </c>
      <c r="G217">
        <f t="shared" si="49"/>
        <v>8</v>
      </c>
      <c r="H217">
        <f t="shared" si="50"/>
        <v>273.5</v>
      </c>
      <c r="I217" t="str">
        <f t="shared" si="51"/>
        <v>H</v>
      </c>
      <c r="J217" t="str">
        <f t="shared" si="52"/>
        <v>J</v>
      </c>
      <c r="K217" t="str">
        <f t="shared" si="53"/>
        <v>K</v>
      </c>
      <c r="L217" t="str">
        <f t="shared" si="54"/>
        <v>V</v>
      </c>
      <c r="M217" t="str">
        <f t="shared" si="55"/>
        <v>2Uev</v>
      </c>
      <c r="N217">
        <f t="shared" si="56"/>
        <v>114</v>
      </c>
      <c r="O217">
        <f t="shared" si="57"/>
        <v>30</v>
      </c>
      <c r="P217" t="str">
        <f>IF($D$1="PFP",Prim_Supp[[#This Row],[PFP]],IF($D$1="FP",Prim_Supp[[#This Row],[FP]],IF($D$1="GB",Prim_Supp[[#This Row],[GB_GS]],IF($D$1="GS",Prim_Supp[[#This Row],[SB_SS]]))))</f>
        <v>J</v>
      </c>
      <c r="Q217" t="str">
        <f t="shared" si="41"/>
        <v>B</v>
      </c>
      <c r="R217" t="b">
        <f>AND(IF($D$1="PFP",TRUE,IF($D$1="FP",FALSE,IF($D$1="GB",TRUE,IF($D$1="GS",FALSE)))),ISERROR(FIND("e",Prim_Supp[[#This Row],[Ausf]])),NOT(ISERROR(FIND("U",Prim_Supp[[#This Row],[Ausf]]))))</f>
        <v>0</v>
      </c>
      <c r="S217" t="b">
        <f t="shared" si="42"/>
        <v>0</v>
      </c>
      <c r="T217" t="b">
        <f t="shared" si="43"/>
        <v>0</v>
      </c>
      <c r="U217" t="b">
        <f t="shared" si="44"/>
        <v>0</v>
      </c>
    </row>
    <row r="218" spans="2:21">
      <c r="B218">
        <f t="shared" si="27"/>
        <v>450</v>
      </c>
      <c r="C218" t="str">
        <f t="shared" si="45"/>
        <v>18”</v>
      </c>
      <c r="D218">
        <f t="shared" si="46"/>
        <v>458</v>
      </c>
      <c r="E218">
        <f t="shared" si="47"/>
        <v>10</v>
      </c>
      <c r="F218">
        <f t="shared" si="48"/>
        <v>350</v>
      </c>
      <c r="G218">
        <f t="shared" si="49"/>
        <v>8</v>
      </c>
      <c r="H218">
        <f t="shared" si="50"/>
        <v>299</v>
      </c>
      <c r="I218" t="str">
        <f t="shared" si="51"/>
        <v>H</v>
      </c>
      <c r="J218" t="str">
        <f t="shared" si="52"/>
        <v>J</v>
      </c>
      <c r="K218" t="str">
        <f t="shared" si="53"/>
        <v>K</v>
      </c>
      <c r="L218" t="str">
        <f t="shared" si="54"/>
        <v>V</v>
      </c>
      <c r="M218" t="str">
        <f t="shared" si="55"/>
        <v>2Uev</v>
      </c>
      <c r="N218">
        <f t="shared" si="56"/>
        <v>128</v>
      </c>
      <c r="O218">
        <f t="shared" si="57"/>
        <v>30</v>
      </c>
      <c r="P218" t="str">
        <f>IF($D$1="PFP",Prim_Supp[[#This Row],[PFP]],IF($D$1="FP",Prim_Supp[[#This Row],[FP]],IF($D$1="GB",Prim_Supp[[#This Row],[GB_GS]],IF($D$1="GS",Prim_Supp[[#This Row],[SB_SS]]))))</f>
        <v>J</v>
      </c>
      <c r="Q218" t="str">
        <f t="shared" si="41"/>
        <v>B</v>
      </c>
      <c r="R218" t="b">
        <f>AND(IF($D$1="PFP",TRUE,IF($D$1="FP",FALSE,IF($D$1="GB",TRUE,IF($D$1="GS",FALSE)))),ISERROR(FIND("e",Prim_Supp[[#This Row],[Ausf]])),NOT(ISERROR(FIND("U",Prim_Supp[[#This Row],[Ausf]]))))</f>
        <v>0</v>
      </c>
      <c r="S218" t="b">
        <f t="shared" si="42"/>
        <v>0</v>
      </c>
      <c r="T218" t="b">
        <f t="shared" si="43"/>
        <v>0</v>
      </c>
      <c r="U218" t="b">
        <f t="shared" si="44"/>
        <v>0</v>
      </c>
    </row>
    <row r="219" spans="2:21">
      <c r="B219">
        <f t="shared" si="27"/>
        <v>500</v>
      </c>
      <c r="C219" t="str">
        <f t="shared" si="45"/>
        <v>20”</v>
      </c>
      <c r="D219">
        <f t="shared" si="46"/>
        <v>508</v>
      </c>
      <c r="E219">
        <f t="shared" si="47"/>
        <v>10</v>
      </c>
      <c r="F219">
        <f t="shared" si="48"/>
        <v>375</v>
      </c>
      <c r="G219">
        <f t="shared" si="49"/>
        <v>8</v>
      </c>
      <c r="H219">
        <f t="shared" si="50"/>
        <v>324</v>
      </c>
      <c r="I219" t="str">
        <f t="shared" si="51"/>
        <v>H</v>
      </c>
      <c r="J219" t="str">
        <f t="shared" si="52"/>
        <v>J</v>
      </c>
      <c r="K219" t="str">
        <f t="shared" si="53"/>
        <v>K</v>
      </c>
      <c r="L219" t="str">
        <f t="shared" si="54"/>
        <v>V</v>
      </c>
      <c r="M219" t="str">
        <f t="shared" si="55"/>
        <v>2Uev</v>
      </c>
      <c r="N219">
        <f t="shared" si="56"/>
        <v>131</v>
      </c>
      <c r="O219">
        <f t="shared" si="57"/>
        <v>30</v>
      </c>
      <c r="P219" t="str">
        <f>IF($D$1="PFP",Prim_Supp[[#This Row],[PFP]],IF($D$1="FP",Prim_Supp[[#This Row],[FP]],IF($D$1="GB",Prim_Supp[[#This Row],[GB_GS]],IF($D$1="GS",Prim_Supp[[#This Row],[SB_SS]]))))</f>
        <v>J</v>
      </c>
      <c r="Q219" t="str">
        <f t="shared" si="41"/>
        <v>B</v>
      </c>
      <c r="R219" t="b">
        <f>AND(IF($D$1="PFP",TRUE,IF($D$1="FP",FALSE,IF($D$1="GB",TRUE,IF($D$1="GS",FALSE)))),ISERROR(FIND("e",Prim_Supp[[#This Row],[Ausf]])),NOT(ISERROR(FIND("U",Prim_Supp[[#This Row],[Ausf]]))))</f>
        <v>0</v>
      </c>
      <c r="S219" t="b">
        <f t="shared" si="42"/>
        <v>0</v>
      </c>
      <c r="T219" t="b">
        <f t="shared" si="43"/>
        <v>0</v>
      </c>
      <c r="U219" t="b">
        <f t="shared" si="44"/>
        <v>0</v>
      </c>
    </row>
    <row r="220" spans="2:21">
      <c r="B220">
        <f t="shared" si="27"/>
        <v>600</v>
      </c>
      <c r="C220" t="str">
        <f t="shared" si="45"/>
        <v>24”</v>
      </c>
      <c r="D220">
        <f t="shared" si="46"/>
        <v>610</v>
      </c>
      <c r="E220">
        <f t="shared" si="47"/>
        <v>10</v>
      </c>
      <c r="F220">
        <f t="shared" si="48"/>
        <v>450</v>
      </c>
      <c r="G220">
        <f t="shared" si="49"/>
        <v>10</v>
      </c>
      <c r="H220">
        <f t="shared" si="50"/>
        <v>375</v>
      </c>
      <c r="I220" t="str">
        <f t="shared" si="51"/>
        <v>H</v>
      </c>
      <c r="J220" t="str">
        <f t="shared" si="52"/>
        <v>J</v>
      </c>
      <c r="K220" t="str">
        <f t="shared" si="53"/>
        <v>K</v>
      </c>
      <c r="L220" t="str">
        <f t="shared" si="54"/>
        <v>V</v>
      </c>
      <c r="M220" t="str">
        <f t="shared" si="55"/>
        <v>2Uev</v>
      </c>
      <c r="N220">
        <f t="shared" si="56"/>
        <v>145</v>
      </c>
      <c r="O220">
        <f t="shared" si="57"/>
        <v>30</v>
      </c>
      <c r="P220" t="str">
        <f>IF($D$1="PFP",Prim_Supp[[#This Row],[PFP]],IF($D$1="FP",Prim_Supp[[#This Row],[FP]],IF($D$1="GB",Prim_Supp[[#This Row],[GB_GS]],IF($D$1="GS",Prim_Supp[[#This Row],[SB_SS]]))))</f>
        <v>J</v>
      </c>
      <c r="Q220" t="str">
        <f t="shared" si="41"/>
        <v>B</v>
      </c>
      <c r="R220" t="b">
        <f>AND(IF($D$1="PFP",TRUE,IF($D$1="FP",FALSE,IF($D$1="GB",TRUE,IF($D$1="GS",FALSE)))),ISERROR(FIND("e",Prim_Supp[[#This Row],[Ausf]])),NOT(ISERROR(FIND("U",Prim_Supp[[#This Row],[Ausf]]))))</f>
        <v>0</v>
      </c>
      <c r="S220" t="b">
        <f t="shared" si="42"/>
        <v>0</v>
      </c>
      <c r="T220" t="b">
        <f t="shared" si="43"/>
        <v>0</v>
      </c>
      <c r="U220" t="b">
        <f t="shared" si="44"/>
        <v>0</v>
      </c>
    </row>
    <row r="221" spans="2:21">
      <c r="B221">
        <f t="shared" si="27"/>
        <v>700</v>
      </c>
      <c r="C221" t="str">
        <f t="shared" si="45"/>
        <v>28”</v>
      </c>
      <c r="D221">
        <f t="shared" si="46"/>
        <v>712</v>
      </c>
      <c r="E221">
        <f t="shared" si="47"/>
        <v>10</v>
      </c>
      <c r="F221">
        <f t="shared" si="48"/>
        <v>525</v>
      </c>
      <c r="G221">
        <f t="shared" si="49"/>
        <v>10</v>
      </c>
      <c r="H221">
        <f t="shared" si="50"/>
        <v>426</v>
      </c>
      <c r="I221" t="str">
        <f t="shared" si="51"/>
        <v>H</v>
      </c>
      <c r="J221" t="str">
        <f t="shared" si="52"/>
        <v>J</v>
      </c>
      <c r="K221" t="str">
        <f t="shared" si="53"/>
        <v>K</v>
      </c>
      <c r="L221" t="str">
        <f t="shared" si="54"/>
        <v>V</v>
      </c>
      <c r="M221" t="str">
        <f t="shared" si="55"/>
        <v>2Uev</v>
      </c>
      <c r="N221">
        <f t="shared" si="56"/>
        <v>161</v>
      </c>
      <c r="O221">
        <f t="shared" si="57"/>
        <v>30</v>
      </c>
      <c r="P221" t="str">
        <f>IF($D$1="PFP",Prim_Supp[[#This Row],[PFP]],IF($D$1="FP",Prim_Supp[[#This Row],[FP]],IF($D$1="GB",Prim_Supp[[#This Row],[GB_GS]],IF($D$1="GS",Prim_Supp[[#This Row],[SB_SS]]))))</f>
        <v>J</v>
      </c>
      <c r="Q221" t="str">
        <f t="shared" si="41"/>
        <v>B</v>
      </c>
      <c r="R221" t="b">
        <f>AND(IF($D$1="PFP",TRUE,IF($D$1="FP",FALSE,IF($D$1="GB",TRUE,IF($D$1="GS",FALSE)))),ISERROR(FIND("e",Prim_Supp[[#This Row],[Ausf]])),NOT(ISERROR(FIND("U",Prim_Supp[[#This Row],[Ausf]]))))</f>
        <v>0</v>
      </c>
      <c r="S221" t="b">
        <f t="shared" si="42"/>
        <v>0</v>
      </c>
      <c r="T221" t="b">
        <f t="shared" si="43"/>
        <v>0</v>
      </c>
      <c r="U221" t="b">
        <f t="shared" si="44"/>
        <v>0</v>
      </c>
    </row>
    <row r="222" spans="2:21">
      <c r="B222">
        <f t="shared" si="27"/>
        <v>800</v>
      </c>
      <c r="C222" t="str">
        <f t="shared" si="45"/>
        <v>32”</v>
      </c>
      <c r="D222">
        <f t="shared" si="46"/>
        <v>813</v>
      </c>
      <c r="E222">
        <f t="shared" si="47"/>
        <v>10</v>
      </c>
      <c r="F222">
        <f t="shared" si="48"/>
        <v>600</v>
      </c>
      <c r="G222">
        <f t="shared" si="49"/>
        <v>15</v>
      </c>
      <c r="H222">
        <f t="shared" si="50"/>
        <v>476.5</v>
      </c>
      <c r="I222" t="str">
        <f t="shared" si="51"/>
        <v>H</v>
      </c>
      <c r="J222" t="str">
        <f t="shared" si="52"/>
        <v>J</v>
      </c>
      <c r="K222" t="str">
        <f t="shared" si="53"/>
        <v>K</v>
      </c>
      <c r="L222" t="str">
        <f t="shared" si="54"/>
        <v>V</v>
      </c>
      <c r="M222" t="str">
        <f t="shared" si="55"/>
        <v>2Uev</v>
      </c>
      <c r="N222">
        <f t="shared" si="56"/>
        <v>173</v>
      </c>
      <c r="O222">
        <f t="shared" si="57"/>
        <v>30</v>
      </c>
      <c r="P222" t="str">
        <f>IF($D$1="PFP",Prim_Supp[[#This Row],[PFP]],IF($D$1="FP",Prim_Supp[[#This Row],[FP]],IF($D$1="GB",Prim_Supp[[#This Row],[GB_GS]],IF($D$1="GS",Prim_Supp[[#This Row],[SB_SS]]))))</f>
        <v>J</v>
      </c>
      <c r="Q222" t="str">
        <f t="shared" si="41"/>
        <v>B</v>
      </c>
      <c r="R222" t="b">
        <f>AND(IF($D$1="PFP",TRUE,IF($D$1="FP",FALSE,IF($D$1="GB",TRUE,IF($D$1="GS",FALSE)))),ISERROR(FIND("e",Prim_Supp[[#This Row],[Ausf]])),NOT(ISERROR(FIND("U",Prim_Supp[[#This Row],[Ausf]]))))</f>
        <v>0</v>
      </c>
      <c r="S222" t="b">
        <f t="shared" si="42"/>
        <v>0</v>
      </c>
      <c r="T222" t="b">
        <f t="shared" si="43"/>
        <v>0</v>
      </c>
      <c r="U222" t="b">
        <f t="shared" si="44"/>
        <v>0</v>
      </c>
    </row>
    <row r="223" spans="2:21">
      <c r="B223">
        <f t="shared" si="27"/>
        <v>900</v>
      </c>
      <c r="C223" t="str">
        <f t="shared" si="45"/>
        <v>36”</v>
      </c>
      <c r="D223">
        <f t="shared" si="46"/>
        <v>915</v>
      </c>
      <c r="E223">
        <f t="shared" si="47"/>
        <v>10</v>
      </c>
      <c r="F223">
        <f t="shared" si="48"/>
        <v>675</v>
      </c>
      <c r="G223">
        <f t="shared" si="49"/>
        <v>15</v>
      </c>
      <c r="H223">
        <f t="shared" si="50"/>
        <v>527.5</v>
      </c>
      <c r="I223" t="str">
        <f t="shared" si="51"/>
        <v>H</v>
      </c>
      <c r="J223" t="str">
        <f t="shared" si="52"/>
        <v>J</v>
      </c>
      <c r="K223" t="str">
        <f t="shared" si="53"/>
        <v>K</v>
      </c>
      <c r="L223" t="str">
        <f t="shared" si="54"/>
        <v>V</v>
      </c>
      <c r="M223" t="str">
        <f t="shared" si="55"/>
        <v>2Uev</v>
      </c>
      <c r="N223">
        <f t="shared" si="56"/>
        <v>189</v>
      </c>
      <c r="O223">
        <f t="shared" si="57"/>
        <v>30</v>
      </c>
      <c r="P223" t="str">
        <f>IF($D$1="PFP",Prim_Supp[[#This Row],[PFP]],IF($D$1="FP",Prim_Supp[[#This Row],[FP]],IF($D$1="GB",Prim_Supp[[#This Row],[GB_GS]],IF($D$1="GS",Prim_Supp[[#This Row],[SB_SS]]))))</f>
        <v>J</v>
      </c>
      <c r="Q223" t="str">
        <f t="shared" si="41"/>
        <v>B</v>
      </c>
      <c r="R223" t="b">
        <f>AND(IF($D$1="PFP",TRUE,IF($D$1="FP",FALSE,IF($D$1="GB",TRUE,IF($D$1="GS",FALSE)))),ISERROR(FIND("e",Prim_Supp[[#This Row],[Ausf]])),NOT(ISERROR(FIND("U",Prim_Supp[[#This Row],[Ausf]]))))</f>
        <v>0</v>
      </c>
      <c r="S223" t="b">
        <f t="shared" si="42"/>
        <v>0</v>
      </c>
      <c r="T223" t="b">
        <f t="shared" si="43"/>
        <v>0</v>
      </c>
      <c r="U223" t="b">
        <f t="shared" si="44"/>
        <v>0</v>
      </c>
    </row>
    <row r="224" spans="2:21">
      <c r="B224">
        <f t="shared" si="27"/>
        <v>1000</v>
      </c>
      <c r="C224" t="str">
        <f t="shared" si="45"/>
        <v>40”</v>
      </c>
      <c r="D224">
        <f t="shared" si="46"/>
        <v>1016</v>
      </c>
      <c r="E224">
        <f t="shared" si="47"/>
        <v>10</v>
      </c>
      <c r="F224">
        <f t="shared" si="48"/>
        <v>750</v>
      </c>
      <c r="G224">
        <f t="shared" si="49"/>
        <v>15</v>
      </c>
      <c r="H224">
        <f t="shared" si="50"/>
        <v>578</v>
      </c>
      <c r="I224" t="str">
        <f t="shared" si="51"/>
        <v>H</v>
      </c>
      <c r="J224" t="str">
        <f t="shared" si="52"/>
        <v>J</v>
      </c>
      <c r="K224" t="str">
        <f t="shared" si="53"/>
        <v>K</v>
      </c>
      <c r="L224" t="str">
        <f t="shared" si="54"/>
        <v>V</v>
      </c>
      <c r="M224" t="str">
        <f t="shared" si="55"/>
        <v>2Uev</v>
      </c>
      <c r="N224">
        <f t="shared" si="56"/>
        <v>206</v>
      </c>
      <c r="O224">
        <f t="shared" si="57"/>
        <v>30</v>
      </c>
      <c r="P224" t="str">
        <f>IF($D$1="PFP",Prim_Supp[[#This Row],[PFP]],IF($D$1="FP",Prim_Supp[[#This Row],[FP]],IF($D$1="GB",Prim_Supp[[#This Row],[GB_GS]],IF($D$1="GS",Prim_Supp[[#This Row],[SB_SS]]))))</f>
        <v>J</v>
      </c>
      <c r="Q224" t="str">
        <f t="shared" si="41"/>
        <v>B</v>
      </c>
      <c r="R224" t="b">
        <f>AND(IF($D$1="PFP",TRUE,IF($D$1="FP",FALSE,IF($D$1="GB",TRUE,IF($D$1="GS",FALSE)))),ISERROR(FIND("e",Prim_Supp[[#This Row],[Ausf]])),NOT(ISERROR(FIND("U",Prim_Supp[[#This Row],[Ausf]]))))</f>
        <v>0</v>
      </c>
      <c r="S224" t="b">
        <f t="shared" si="42"/>
        <v>0</v>
      </c>
      <c r="T224" t="b">
        <f t="shared" si="43"/>
        <v>0</v>
      </c>
      <c r="U224" t="b">
        <f t="shared" si="44"/>
        <v>0</v>
      </c>
    </row>
    <row r="225" spans="2:21">
      <c r="B225">
        <f t="shared" si="27"/>
        <v>1200</v>
      </c>
      <c r="C225" t="str">
        <f t="shared" si="45"/>
        <v>48”</v>
      </c>
      <c r="D225">
        <f t="shared" si="46"/>
        <v>1225</v>
      </c>
      <c r="E225">
        <f t="shared" si="47"/>
        <v>12</v>
      </c>
      <c r="F225">
        <f t="shared" si="48"/>
        <v>900</v>
      </c>
      <c r="G225">
        <f t="shared" si="49"/>
        <v>15</v>
      </c>
      <c r="H225">
        <f t="shared" si="50"/>
        <v>682.5</v>
      </c>
      <c r="I225" t="str">
        <f t="shared" si="51"/>
        <v>H</v>
      </c>
      <c r="J225" t="str">
        <f t="shared" si="52"/>
        <v>J</v>
      </c>
      <c r="K225" t="str">
        <f t="shared" si="53"/>
        <v>K</v>
      </c>
      <c r="L225" t="str">
        <f t="shared" si="54"/>
        <v>V</v>
      </c>
      <c r="M225" t="str">
        <f t="shared" si="55"/>
        <v>2Uev</v>
      </c>
      <c r="N225">
        <f t="shared" si="56"/>
        <v>235</v>
      </c>
      <c r="O225">
        <f t="shared" si="57"/>
        <v>30</v>
      </c>
      <c r="P225" t="str">
        <f>IF($D$1="PFP",Prim_Supp[[#This Row],[PFP]],IF($D$1="FP",Prim_Supp[[#This Row],[FP]],IF($D$1="GB",Prim_Supp[[#This Row],[GB_GS]],IF($D$1="GS",Prim_Supp[[#This Row],[SB_SS]]))))</f>
        <v>J</v>
      </c>
      <c r="Q225" t="str">
        <f t="shared" si="41"/>
        <v>B</v>
      </c>
      <c r="R225" t="b">
        <f>AND(IF($D$1="PFP",TRUE,IF($D$1="FP",FALSE,IF($D$1="GB",TRUE,IF($D$1="GS",FALSE)))),ISERROR(FIND("e",Prim_Supp[[#This Row],[Ausf]])),NOT(ISERROR(FIND("U",Prim_Supp[[#This Row],[Ausf]]))))</f>
        <v>0</v>
      </c>
      <c r="S225" t="b">
        <f t="shared" si="42"/>
        <v>0</v>
      </c>
      <c r="T225" t="b">
        <f t="shared" si="43"/>
        <v>0</v>
      </c>
      <c r="U225" t="b">
        <f t="shared" si="44"/>
        <v>0</v>
      </c>
    </row>
    <row r="226" spans="2:21">
      <c r="N226" s="32"/>
    </row>
    <row r="227" spans="2:21">
      <c r="N227" s="32"/>
    </row>
    <row r="228" spans="2:21">
      <c r="N228" s="32"/>
    </row>
    <row r="230" spans="2:21">
      <c r="B230" t="s">
        <v>234</v>
      </c>
      <c r="H230" t="s">
        <v>293</v>
      </c>
      <c r="N230" t="s">
        <v>795</v>
      </c>
    </row>
    <row r="231" spans="2:21">
      <c r="B231" s="17" t="s">
        <v>89</v>
      </c>
      <c r="C231" s="17" t="s">
        <v>233</v>
      </c>
      <c r="D231" s="17" t="s">
        <v>234</v>
      </c>
      <c r="E231" s="17" t="s">
        <v>284</v>
      </c>
      <c r="F231" s="17" t="s">
        <v>285</v>
      </c>
      <c r="H231" s="15" t="s">
        <v>89</v>
      </c>
      <c r="I231" t="s">
        <v>383</v>
      </c>
      <c r="J231" t="s">
        <v>384</v>
      </c>
      <c r="K231" t="s">
        <v>294</v>
      </c>
      <c r="L231" s="59" t="s">
        <v>385</v>
      </c>
      <c r="N231" s="15" t="s">
        <v>89</v>
      </c>
      <c r="O231" t="s">
        <v>614</v>
      </c>
      <c r="P231" t="s">
        <v>602</v>
      </c>
    </row>
    <row r="232" spans="2:21">
      <c r="B232" s="11">
        <v>15</v>
      </c>
      <c r="C232" s="22" t="s">
        <v>204</v>
      </c>
      <c r="D232" s="22">
        <v>0</v>
      </c>
      <c r="E232" s="22">
        <v>-30</v>
      </c>
      <c r="F232" s="22">
        <v>0</v>
      </c>
      <c r="H232" s="11">
        <v>15</v>
      </c>
      <c r="I232">
        <v>3</v>
      </c>
      <c r="J232">
        <v>3</v>
      </c>
      <c r="K232">
        <v>4</v>
      </c>
      <c r="L232" s="60">
        <f>IF($F$1="leicht",Weld[[#This Row],[A_Leicht]],IF($F$1="schwer",Weld[[#This Row],[A_Schwer]]))</f>
        <v>3</v>
      </c>
      <c r="N232" s="11">
        <v>15</v>
      </c>
      <c r="O232">
        <f>AR146+E400+S260+T118+V90</f>
        <v>0.85</v>
      </c>
      <c r="P232">
        <f t="shared" ref="P232:P255" si="58">AS146+Y372+AE458+AG458+U118+W90</f>
        <v>4.8</v>
      </c>
      <c r="U232" t="s">
        <v>796</v>
      </c>
    </row>
    <row r="233" spans="2:21">
      <c r="B233" s="13">
        <v>20</v>
      </c>
      <c r="C233" s="22" t="s">
        <v>204</v>
      </c>
      <c r="D233" s="22">
        <v>0</v>
      </c>
      <c r="E233" s="22">
        <v>-30</v>
      </c>
      <c r="F233" s="22">
        <v>0</v>
      </c>
      <c r="H233" s="13">
        <v>20</v>
      </c>
      <c r="I233">
        <v>3</v>
      </c>
      <c r="J233">
        <v>3</v>
      </c>
      <c r="K233">
        <v>4</v>
      </c>
      <c r="L233" s="61">
        <f>IF($F$1="leicht",Weld[[#This Row],[A_Leicht]],IF($F$1="schwer",Weld[[#This Row],[A_Schwer]]))</f>
        <v>3</v>
      </c>
      <c r="N233" s="13">
        <v>20</v>
      </c>
      <c r="O233">
        <f t="shared" ref="O233:O255" si="59">AR147+E401+S261+T119+V91</f>
        <v>0.9</v>
      </c>
      <c r="P233">
        <f t="shared" si="58"/>
        <v>7.3</v>
      </c>
      <c r="U233" t="s">
        <v>256</v>
      </c>
    </row>
    <row r="234" spans="2:21">
      <c r="B234" s="11">
        <v>25</v>
      </c>
      <c r="C234" s="22" t="s">
        <v>204</v>
      </c>
      <c r="D234" s="22">
        <v>0</v>
      </c>
      <c r="E234" s="22">
        <v>-30</v>
      </c>
      <c r="F234" s="22">
        <v>0</v>
      </c>
      <c r="H234" s="11">
        <v>25</v>
      </c>
      <c r="I234">
        <v>3</v>
      </c>
      <c r="J234">
        <v>3</v>
      </c>
      <c r="K234">
        <v>4</v>
      </c>
      <c r="L234" s="62">
        <f>IF($F$1="leicht",Weld[[#This Row],[A_Leicht]],IF($F$1="schwer",Weld[[#This Row],[A_Schwer]]))</f>
        <v>3</v>
      </c>
      <c r="N234" s="11">
        <v>25</v>
      </c>
      <c r="O234">
        <f t="shared" si="59"/>
        <v>0.96</v>
      </c>
      <c r="P234">
        <f t="shared" si="58"/>
        <v>7.4</v>
      </c>
      <c r="U234" t="s">
        <v>340</v>
      </c>
    </row>
    <row r="235" spans="2:21">
      <c r="B235" s="13">
        <v>32</v>
      </c>
      <c r="C235" s="22" t="s">
        <v>204</v>
      </c>
      <c r="D235" s="22">
        <v>0</v>
      </c>
      <c r="E235" s="22">
        <v>-30</v>
      </c>
      <c r="F235" s="22">
        <v>0</v>
      </c>
      <c r="H235" s="13">
        <v>32</v>
      </c>
      <c r="I235">
        <v>3</v>
      </c>
      <c r="J235">
        <v>3</v>
      </c>
      <c r="K235">
        <v>4</v>
      </c>
      <c r="L235" s="61">
        <f>IF($F$1="leicht",Weld[[#This Row],[A_Leicht]],IF($F$1="schwer",Weld[[#This Row],[A_Schwer]]))</f>
        <v>3</v>
      </c>
      <c r="N235" s="13">
        <v>32</v>
      </c>
      <c r="O235">
        <f t="shared" si="59"/>
        <v>0.98</v>
      </c>
      <c r="P235">
        <f t="shared" si="58"/>
        <v>7.4</v>
      </c>
      <c r="U235" t="s">
        <v>21</v>
      </c>
    </row>
    <row r="236" spans="2:21">
      <c r="B236" s="11">
        <v>40</v>
      </c>
      <c r="C236" s="22" t="s">
        <v>204</v>
      </c>
      <c r="D236" s="22">
        <v>0</v>
      </c>
      <c r="E236" s="22">
        <v>-30</v>
      </c>
      <c r="F236" s="22">
        <v>0</v>
      </c>
      <c r="H236" s="11">
        <v>40</v>
      </c>
      <c r="I236">
        <v>3</v>
      </c>
      <c r="J236">
        <v>3</v>
      </c>
      <c r="K236">
        <v>4</v>
      </c>
      <c r="L236" s="62">
        <f>IF($F$1="leicht",Weld[[#This Row],[A_Leicht]],IF($F$1="schwer",Weld[[#This Row],[A_Schwer]]))</f>
        <v>3</v>
      </c>
      <c r="N236" s="11">
        <v>40</v>
      </c>
      <c r="O236">
        <f t="shared" si="59"/>
        <v>1</v>
      </c>
      <c r="P236">
        <f t="shared" si="58"/>
        <v>7.4</v>
      </c>
      <c r="U236" t="s">
        <v>22</v>
      </c>
    </row>
    <row r="237" spans="2:21">
      <c r="B237" s="13">
        <v>50</v>
      </c>
      <c r="C237" s="22" t="s">
        <v>204</v>
      </c>
      <c r="D237" s="22">
        <v>0</v>
      </c>
      <c r="E237" s="22">
        <v>-30</v>
      </c>
      <c r="F237" s="22">
        <v>0</v>
      </c>
      <c r="H237" s="13">
        <v>50</v>
      </c>
      <c r="I237">
        <v>4</v>
      </c>
      <c r="J237">
        <v>4</v>
      </c>
      <c r="K237">
        <v>4</v>
      </c>
      <c r="L237" s="61">
        <f>IF($F$1="leicht",Weld[[#This Row],[A_Leicht]],IF($F$1="schwer",Weld[[#This Row],[A_Schwer]]))</f>
        <v>4</v>
      </c>
      <c r="N237" s="13">
        <v>50</v>
      </c>
      <c r="O237">
        <f t="shared" si="59"/>
        <v>1.32</v>
      </c>
      <c r="P237">
        <f t="shared" si="58"/>
        <v>7.7</v>
      </c>
      <c r="U237" t="s">
        <v>797</v>
      </c>
    </row>
    <row r="238" spans="2:21">
      <c r="B238" s="11">
        <v>65</v>
      </c>
      <c r="C238" s="22" t="s">
        <v>204</v>
      </c>
      <c r="D238" s="22">
        <v>0</v>
      </c>
      <c r="E238" s="22">
        <v>-30</v>
      </c>
      <c r="F238" s="22">
        <v>0</v>
      </c>
      <c r="H238" s="11">
        <v>65</v>
      </c>
      <c r="I238">
        <v>4</v>
      </c>
      <c r="J238">
        <v>4</v>
      </c>
      <c r="K238">
        <v>4</v>
      </c>
      <c r="L238" s="62">
        <f>IF($F$1="leicht",Weld[[#This Row],[A_Leicht]],IF($F$1="schwer",Weld[[#This Row],[A_Schwer]]))</f>
        <v>4</v>
      </c>
      <c r="N238" s="11">
        <v>65</v>
      </c>
      <c r="O238">
        <f t="shared" si="59"/>
        <v>1.39</v>
      </c>
      <c r="P238">
        <f t="shared" si="58"/>
        <v>7.8</v>
      </c>
      <c r="U238" t="s">
        <v>798</v>
      </c>
    </row>
    <row r="239" spans="2:21">
      <c r="B239" s="13">
        <v>80</v>
      </c>
      <c r="C239" s="22" t="s">
        <v>204</v>
      </c>
      <c r="D239" s="22">
        <v>0</v>
      </c>
      <c r="E239" s="22">
        <v>-30</v>
      </c>
      <c r="F239" s="22">
        <v>0</v>
      </c>
      <c r="H239" s="13">
        <v>80</v>
      </c>
      <c r="I239">
        <v>4</v>
      </c>
      <c r="J239">
        <v>4</v>
      </c>
      <c r="K239">
        <v>4</v>
      </c>
      <c r="L239" s="61">
        <f>IF($F$1="leicht",Weld[[#This Row],[A_Leicht]],IF($F$1="schwer",Weld[[#This Row],[A_Schwer]]))</f>
        <v>4</v>
      </c>
      <c r="N239" s="13">
        <v>80</v>
      </c>
      <c r="O239">
        <f t="shared" si="59"/>
        <v>1.3</v>
      </c>
      <c r="P239">
        <f t="shared" si="58"/>
        <v>7.8</v>
      </c>
    </row>
    <row r="240" spans="2:21">
      <c r="B240" s="11">
        <v>100</v>
      </c>
      <c r="C240" s="22" t="s">
        <v>204</v>
      </c>
      <c r="D240" s="22">
        <v>0</v>
      </c>
      <c r="E240" s="22">
        <v>-30</v>
      </c>
      <c r="F240" s="22">
        <v>0</v>
      </c>
      <c r="H240" s="11">
        <v>100</v>
      </c>
      <c r="I240">
        <v>4</v>
      </c>
      <c r="J240">
        <v>5</v>
      </c>
      <c r="K240">
        <v>5</v>
      </c>
      <c r="L240" s="62">
        <f>IF($F$1="leicht",Weld[[#This Row],[A_Leicht]],IF($F$1="schwer",Weld[[#This Row],[A_Schwer]]))</f>
        <v>5</v>
      </c>
      <c r="N240" s="11">
        <v>100</v>
      </c>
      <c r="O240">
        <f t="shared" si="59"/>
        <v>6.1635200000000001</v>
      </c>
      <c r="P240">
        <f t="shared" si="58"/>
        <v>8.8000000000000007</v>
      </c>
    </row>
    <row r="241" spans="2:16">
      <c r="B241" s="13">
        <v>125</v>
      </c>
      <c r="C241" s="22" t="s">
        <v>204</v>
      </c>
      <c r="D241" s="22">
        <v>0</v>
      </c>
      <c r="E241" s="22">
        <v>-30</v>
      </c>
      <c r="F241" s="22">
        <v>0</v>
      </c>
      <c r="H241" s="13">
        <v>125</v>
      </c>
      <c r="I241">
        <v>4</v>
      </c>
      <c r="J241">
        <v>5</v>
      </c>
      <c r="K241">
        <v>6</v>
      </c>
      <c r="L241" s="61">
        <f>IF($F$1="leicht",Weld[[#This Row],[A_Leicht]],IF($F$1="schwer",Weld[[#This Row],[A_Schwer]]))</f>
        <v>5</v>
      </c>
      <c r="N241" s="13">
        <v>125</v>
      </c>
      <c r="O241">
        <f t="shared" si="59"/>
        <v>6.3873599999999993</v>
      </c>
      <c r="P241">
        <f t="shared" si="58"/>
        <v>24</v>
      </c>
    </row>
    <row r="242" spans="2:16">
      <c r="B242" s="11">
        <v>150</v>
      </c>
      <c r="C242" s="22" t="s">
        <v>204</v>
      </c>
      <c r="D242" s="22">
        <v>0</v>
      </c>
      <c r="E242" s="22">
        <v>-30</v>
      </c>
      <c r="F242" s="22">
        <v>0</v>
      </c>
      <c r="H242" s="11">
        <v>150</v>
      </c>
      <c r="I242">
        <v>4</v>
      </c>
      <c r="J242">
        <v>6</v>
      </c>
      <c r="K242">
        <v>6</v>
      </c>
      <c r="L242" s="62">
        <f>IF($F$1="leicht",Weld[[#This Row],[A_Leicht]],IF($F$1="schwer",Weld[[#This Row],[A_Schwer]]))</f>
        <v>6</v>
      </c>
      <c r="N242" s="11">
        <v>150</v>
      </c>
      <c r="O242">
        <f t="shared" si="59"/>
        <v>7.2111999999999998</v>
      </c>
      <c r="P242">
        <f t="shared" si="58"/>
        <v>25</v>
      </c>
    </row>
    <row r="243" spans="2:16">
      <c r="B243" s="13">
        <v>200</v>
      </c>
      <c r="C243" s="22" t="s">
        <v>204</v>
      </c>
      <c r="D243" s="22">
        <v>0</v>
      </c>
      <c r="E243" s="22">
        <v>-30</v>
      </c>
      <c r="F243" s="22">
        <v>0</v>
      </c>
      <c r="H243" s="13">
        <v>200</v>
      </c>
      <c r="I243">
        <v>6</v>
      </c>
      <c r="J243">
        <v>6</v>
      </c>
      <c r="K243">
        <v>6</v>
      </c>
      <c r="L243" s="61">
        <f>IF($F$1="leicht",Weld[[#This Row],[A_Leicht]],IF($F$1="schwer",Weld[[#This Row],[A_Schwer]]))</f>
        <v>6</v>
      </c>
      <c r="N243" s="13">
        <v>200</v>
      </c>
      <c r="O243">
        <f t="shared" si="59"/>
        <v>7.9150399999999994</v>
      </c>
      <c r="P243">
        <f t="shared" si="58"/>
        <v>27</v>
      </c>
    </row>
    <row r="244" spans="2:16">
      <c r="B244" s="11">
        <v>250</v>
      </c>
      <c r="C244" s="22" t="s">
        <v>204</v>
      </c>
      <c r="D244" s="22">
        <v>0</v>
      </c>
      <c r="E244" s="22">
        <v>-30</v>
      </c>
      <c r="F244" s="22">
        <v>0</v>
      </c>
      <c r="H244" s="11">
        <v>250</v>
      </c>
      <c r="I244">
        <v>6</v>
      </c>
      <c r="J244">
        <v>6</v>
      </c>
      <c r="K244">
        <v>6</v>
      </c>
      <c r="L244" s="62">
        <f>IF($F$1="leicht",Weld[[#This Row],[A_Leicht]],IF($F$1="schwer",Weld[[#This Row],[A_Schwer]]))</f>
        <v>6</v>
      </c>
      <c r="N244" s="11">
        <v>250</v>
      </c>
      <c r="O244">
        <f t="shared" si="59"/>
        <v>10.38856</v>
      </c>
      <c r="P244">
        <f t="shared" si="58"/>
        <v>29</v>
      </c>
    </row>
    <row r="245" spans="2:16">
      <c r="B245" s="13">
        <v>300</v>
      </c>
      <c r="C245" s="22" t="s">
        <v>204</v>
      </c>
      <c r="D245" s="22">
        <v>0</v>
      </c>
      <c r="E245" s="22">
        <v>-30</v>
      </c>
      <c r="F245" s="22">
        <v>0</v>
      </c>
      <c r="H245" s="13">
        <v>300</v>
      </c>
      <c r="I245">
        <v>6</v>
      </c>
      <c r="J245">
        <v>6</v>
      </c>
      <c r="K245">
        <v>6</v>
      </c>
      <c r="L245" s="61">
        <f>IF($F$1="leicht",Weld[[#This Row],[A_Leicht]],IF($F$1="schwer",Weld[[#This Row],[A_Schwer]]))</f>
        <v>6</v>
      </c>
      <c r="N245" s="13">
        <v>300</v>
      </c>
      <c r="O245">
        <f t="shared" si="59"/>
        <v>11.762080000000001</v>
      </c>
      <c r="P245">
        <f t="shared" si="58"/>
        <v>37.872</v>
      </c>
    </row>
    <row r="246" spans="2:16">
      <c r="B246" s="11">
        <v>350</v>
      </c>
      <c r="C246" s="22" t="s">
        <v>204</v>
      </c>
      <c r="D246" s="22">
        <v>0</v>
      </c>
      <c r="E246" s="22">
        <v>-30</v>
      </c>
      <c r="F246" s="22">
        <v>0</v>
      </c>
      <c r="H246" s="11">
        <v>350</v>
      </c>
      <c r="I246">
        <v>6</v>
      </c>
      <c r="J246">
        <v>6</v>
      </c>
      <c r="K246">
        <v>6</v>
      </c>
      <c r="L246" s="62">
        <f>IF($F$1="leicht",Weld[[#This Row],[A_Leicht]],IF($F$1="schwer",Weld[[#This Row],[A_Schwer]]))</f>
        <v>6</v>
      </c>
      <c r="N246" s="11">
        <v>350</v>
      </c>
      <c r="O246">
        <f t="shared" si="59"/>
        <v>12.533999999999999</v>
      </c>
      <c r="P246">
        <f t="shared" si="58"/>
        <v>39.872</v>
      </c>
    </row>
    <row r="247" spans="2:16">
      <c r="B247" s="13">
        <v>400</v>
      </c>
      <c r="C247" s="22" t="s">
        <v>204</v>
      </c>
      <c r="D247" s="22">
        <v>0</v>
      </c>
      <c r="E247" s="22">
        <v>-30</v>
      </c>
      <c r="F247" s="22">
        <v>0</v>
      </c>
      <c r="H247" s="13">
        <v>400</v>
      </c>
      <c r="I247">
        <v>6</v>
      </c>
      <c r="J247">
        <v>6</v>
      </c>
      <c r="K247">
        <v>6</v>
      </c>
      <c r="L247" s="61">
        <f>IF($F$1="leicht",Weld[[#This Row],[A_Leicht]],IF($F$1="schwer",Weld[[#This Row],[A_Schwer]]))</f>
        <v>6</v>
      </c>
      <c r="N247" s="13">
        <v>400</v>
      </c>
      <c r="O247">
        <f t="shared" si="59"/>
        <v>27.997119999999999</v>
      </c>
      <c r="P247">
        <f t="shared" si="58"/>
        <v>48.872</v>
      </c>
    </row>
    <row r="248" spans="2:16">
      <c r="B248" s="11">
        <v>450</v>
      </c>
      <c r="C248" s="22" t="s">
        <v>204</v>
      </c>
      <c r="D248" s="22">
        <v>0</v>
      </c>
      <c r="E248" s="22">
        <v>-30</v>
      </c>
      <c r="F248" s="22">
        <v>0</v>
      </c>
      <c r="H248" s="11">
        <v>450</v>
      </c>
      <c r="I248">
        <v>6</v>
      </c>
      <c r="J248">
        <v>6</v>
      </c>
      <c r="K248">
        <v>6</v>
      </c>
      <c r="L248" s="62">
        <f>IF($F$1="leicht",Weld[[#This Row],[A_Leicht]],IF($F$1="schwer",Weld[[#This Row],[A_Schwer]]))</f>
        <v>6</v>
      </c>
      <c r="N248" s="11">
        <v>450</v>
      </c>
      <c r="O248">
        <f t="shared" si="59"/>
        <v>33.584000000000003</v>
      </c>
      <c r="P248">
        <f t="shared" si="58"/>
        <v>1.8720000000000001</v>
      </c>
    </row>
    <row r="249" spans="2:16">
      <c r="B249" s="13">
        <v>500</v>
      </c>
      <c r="C249" s="22" t="s">
        <v>204</v>
      </c>
      <c r="D249" s="22">
        <v>0</v>
      </c>
      <c r="E249" s="22">
        <v>-30</v>
      </c>
      <c r="F249" s="22">
        <v>0</v>
      </c>
      <c r="H249" s="13">
        <v>500</v>
      </c>
      <c r="I249">
        <v>6</v>
      </c>
      <c r="J249">
        <v>6</v>
      </c>
      <c r="K249">
        <v>6</v>
      </c>
      <c r="L249" s="61">
        <f>IF($F$1="leicht",Weld[[#This Row],[A_Leicht]],IF($F$1="schwer",Weld[[#This Row],[A_Schwer]]))</f>
        <v>6</v>
      </c>
      <c r="N249" s="13">
        <v>500</v>
      </c>
      <c r="O249">
        <f t="shared" si="59"/>
        <v>33.397759999999998</v>
      </c>
      <c r="P249">
        <f t="shared" si="58"/>
        <v>52.872</v>
      </c>
    </row>
    <row r="250" spans="2:16">
      <c r="B250" s="11">
        <v>600</v>
      </c>
      <c r="C250" s="22" t="s">
        <v>204</v>
      </c>
      <c r="D250" s="22">
        <v>0</v>
      </c>
      <c r="E250" s="22">
        <v>-30</v>
      </c>
      <c r="F250" s="22">
        <v>0</v>
      </c>
      <c r="H250" s="11">
        <v>600</v>
      </c>
      <c r="I250">
        <v>6</v>
      </c>
      <c r="J250">
        <v>6</v>
      </c>
      <c r="K250">
        <v>6</v>
      </c>
      <c r="L250" s="62">
        <f>IF($F$1="leicht",Weld[[#This Row],[A_Leicht]],IF($F$1="schwer",Weld[[#This Row],[A_Schwer]]))</f>
        <v>6</v>
      </c>
      <c r="N250" s="11">
        <v>600</v>
      </c>
      <c r="O250">
        <f t="shared" si="59"/>
        <v>48.335999999999999</v>
      </c>
      <c r="P250">
        <f t="shared" si="58"/>
        <v>90.807999999999993</v>
      </c>
    </row>
    <row r="251" spans="2:16">
      <c r="B251" s="13">
        <v>700</v>
      </c>
      <c r="C251" s="22" t="s">
        <v>204</v>
      </c>
      <c r="D251" s="22">
        <v>0</v>
      </c>
      <c r="E251" s="22">
        <v>-30</v>
      </c>
      <c r="F251" s="22">
        <v>0</v>
      </c>
      <c r="H251" s="13">
        <v>700</v>
      </c>
      <c r="I251">
        <v>6</v>
      </c>
      <c r="J251">
        <v>6</v>
      </c>
      <c r="K251">
        <v>6</v>
      </c>
      <c r="L251" s="61">
        <f>IF($F$1="leicht",Weld[[#This Row],[A_Leicht]],IF($F$1="schwer",Weld[[#This Row],[A_Schwer]]))</f>
        <v>6</v>
      </c>
      <c r="N251" s="13">
        <v>700</v>
      </c>
      <c r="O251">
        <f t="shared" si="59"/>
        <v>57.674399999999999</v>
      </c>
      <c r="P251">
        <f t="shared" si="58"/>
        <v>96.807999999999993</v>
      </c>
    </row>
    <row r="252" spans="2:16">
      <c r="B252" s="11">
        <v>800</v>
      </c>
      <c r="C252" s="22" t="s">
        <v>204</v>
      </c>
      <c r="D252" s="22">
        <v>0</v>
      </c>
      <c r="E252" s="22">
        <v>-30</v>
      </c>
      <c r="F252" s="22">
        <v>0</v>
      </c>
      <c r="H252" s="11">
        <v>800</v>
      </c>
      <c r="I252">
        <v>8</v>
      </c>
      <c r="J252">
        <v>8</v>
      </c>
      <c r="K252">
        <v>6</v>
      </c>
      <c r="L252" s="62">
        <f>IF($F$1="leicht",Weld[[#This Row],[A_Leicht]],IF($F$1="schwer",Weld[[#This Row],[A_Schwer]]))</f>
        <v>8</v>
      </c>
      <c r="N252" s="11">
        <v>800</v>
      </c>
      <c r="O252">
        <f t="shared" si="59"/>
        <v>85.676799999999986</v>
      </c>
      <c r="P252">
        <f t="shared" si="58"/>
        <v>115.616</v>
      </c>
    </row>
    <row r="253" spans="2:16">
      <c r="B253" s="13">
        <v>900</v>
      </c>
      <c r="C253" s="22" t="s">
        <v>204</v>
      </c>
      <c r="D253" s="22">
        <v>0</v>
      </c>
      <c r="E253" s="22">
        <v>-30</v>
      </c>
      <c r="F253" s="22">
        <v>0</v>
      </c>
      <c r="H253" s="13">
        <v>900</v>
      </c>
      <c r="I253">
        <v>8</v>
      </c>
      <c r="J253">
        <v>8</v>
      </c>
      <c r="K253">
        <v>6</v>
      </c>
      <c r="L253" s="61">
        <f>IF($F$1="leicht",Weld[[#This Row],[A_Leicht]],IF($F$1="schwer",Weld[[#This Row],[A_Schwer]]))</f>
        <v>8</v>
      </c>
      <c r="N253" s="13">
        <v>900</v>
      </c>
      <c r="O253">
        <f t="shared" si="59"/>
        <v>100.6844</v>
      </c>
      <c r="P253">
        <f t="shared" si="58"/>
        <v>115.616</v>
      </c>
    </row>
    <row r="254" spans="2:16">
      <c r="B254" s="11">
        <v>1000</v>
      </c>
      <c r="C254" s="22" t="s">
        <v>204</v>
      </c>
      <c r="D254" s="22">
        <v>0</v>
      </c>
      <c r="E254" s="22">
        <v>-30</v>
      </c>
      <c r="F254" s="22">
        <v>0</v>
      </c>
      <c r="H254" s="11">
        <v>1000</v>
      </c>
      <c r="I254">
        <v>8</v>
      </c>
      <c r="J254">
        <v>8</v>
      </c>
      <c r="K254">
        <v>6</v>
      </c>
      <c r="L254" s="62">
        <f>IF($F$1="leicht",Weld[[#This Row],[A_Leicht]],IF($F$1="schwer",Weld[[#This Row],[A_Schwer]]))</f>
        <v>8</v>
      </c>
      <c r="N254" s="11">
        <v>1000</v>
      </c>
      <c r="O254">
        <f t="shared" si="59"/>
        <v>114.78559999999999</v>
      </c>
      <c r="P254">
        <f t="shared" si="58"/>
        <v>125.616</v>
      </c>
    </row>
    <row r="255" spans="2:16">
      <c r="B255" s="21">
        <v>1200</v>
      </c>
      <c r="C255" s="22" t="s">
        <v>204</v>
      </c>
      <c r="D255" s="22">
        <v>0</v>
      </c>
      <c r="E255" s="22">
        <v>-30</v>
      </c>
      <c r="F255" s="22">
        <v>0</v>
      </c>
      <c r="H255" s="13">
        <v>1200</v>
      </c>
      <c r="I255">
        <v>10</v>
      </c>
      <c r="J255">
        <v>10</v>
      </c>
      <c r="K255">
        <v>6</v>
      </c>
      <c r="L255" s="54">
        <f>IF($F$1="leicht",Weld[[#This Row],[A_Leicht]],IF($F$1="schwer",Weld[[#This Row],[A_Schwer]]))</f>
        <v>10</v>
      </c>
      <c r="N255" s="13">
        <v>1200</v>
      </c>
      <c r="O255">
        <f t="shared" si="59"/>
        <v>169.9</v>
      </c>
      <c r="P255">
        <f t="shared" si="58"/>
        <v>135.61599999999999</v>
      </c>
    </row>
    <row r="258" spans="2:19">
      <c r="B258" t="s">
        <v>430</v>
      </c>
      <c r="H258" t="s">
        <v>431</v>
      </c>
      <c r="N258" t="s">
        <v>368</v>
      </c>
      <c r="O258" t="s">
        <v>803</v>
      </c>
      <c r="S258" t="s">
        <v>799</v>
      </c>
    </row>
    <row r="259" spans="2:19">
      <c r="B259" s="15" t="s">
        <v>89</v>
      </c>
      <c r="C259" t="s">
        <v>110</v>
      </c>
      <c r="D259" t="s">
        <v>96</v>
      </c>
      <c r="E259" t="s">
        <v>104</v>
      </c>
      <c r="F259" t="s">
        <v>432</v>
      </c>
      <c r="H259" s="15" t="s">
        <v>89</v>
      </c>
      <c r="I259" s="59" t="s">
        <v>110</v>
      </c>
      <c r="J259" s="59" t="s">
        <v>96</v>
      </c>
      <c r="K259" s="59" t="s">
        <v>104</v>
      </c>
      <c r="L259" s="59" t="s">
        <v>432</v>
      </c>
      <c r="N259" s="15" t="s">
        <v>89</v>
      </c>
      <c r="O259" t="s">
        <v>110</v>
      </c>
      <c r="P259" t="s">
        <v>96</v>
      </c>
      <c r="Q259" t="s">
        <v>104</v>
      </c>
      <c r="R259" t="s">
        <v>118</v>
      </c>
      <c r="S259" t="s">
        <v>775</v>
      </c>
    </row>
    <row r="260" spans="2:19">
      <c r="B260" s="11">
        <v>15</v>
      </c>
      <c r="C260">
        <v>120</v>
      </c>
      <c r="D260">
        <v>120</v>
      </c>
      <c r="E260">
        <v>13</v>
      </c>
      <c r="F260" t="s">
        <v>115</v>
      </c>
      <c r="H260" s="11">
        <v>15</v>
      </c>
      <c r="I260" s="60">
        <f>LT_Stahl_DK_Sliding[[#This Row],[H]]</f>
        <v>120</v>
      </c>
      <c r="J260" s="60">
        <f>LT_Stahl_DK_Sliding[[#This Row],[B]]</f>
        <v>120</v>
      </c>
      <c r="K260" s="60">
        <f>LT_Stahl_DK_Sliding[[#This Row],[S]]</f>
        <v>13</v>
      </c>
      <c r="L260" s="60" t="str">
        <f>LT_Stahl_DK_Sliding[[#This Row],[Type]]</f>
        <v>T</v>
      </c>
      <c r="N260" s="11">
        <v>15</v>
      </c>
      <c r="O260">
        <v>0</v>
      </c>
      <c r="P260">
        <v>0</v>
      </c>
      <c r="Q260">
        <v>0</v>
      </c>
      <c r="R260">
        <v>0</v>
      </c>
      <c r="S260">
        <f>IF(R202,((L_Stahl_LH[[#This Row],[L]]*(L_Stahl_LH[[#This Row],[H]]-L_Stahl_LH[[#This Row],[S]])*L_Stahl_LH[[#This Row],[S]])+(L_Stahl_LH[[#This Row],[L]]*L_Stahl_LH[[#This Row],[B]]*L_Stahl_LH[[#This Row],[S]]))*2*$H$1/1000,0)</f>
        <v>0</v>
      </c>
    </row>
    <row r="261" spans="2:19">
      <c r="B261" s="13">
        <v>20</v>
      </c>
      <c r="C261">
        <v>120</v>
      </c>
      <c r="D261">
        <v>120</v>
      </c>
      <c r="E261">
        <v>13</v>
      </c>
      <c r="F261" t="s">
        <v>115</v>
      </c>
      <c r="H261" s="13">
        <v>20</v>
      </c>
      <c r="I261" s="60">
        <f>LT_Stahl_DK_Sliding[[#This Row],[H]]</f>
        <v>120</v>
      </c>
      <c r="J261" s="60">
        <f>LT_Stahl_DK_Sliding[[#This Row],[B]]</f>
        <v>120</v>
      </c>
      <c r="K261" s="60">
        <f>LT_Stahl_DK_Sliding[[#This Row],[S]]</f>
        <v>13</v>
      </c>
      <c r="L261" s="60" t="str">
        <f>LT_Stahl_DK_Sliding[[#This Row],[Type]]</f>
        <v>T</v>
      </c>
      <c r="N261" s="13">
        <v>20</v>
      </c>
      <c r="O261">
        <v>0</v>
      </c>
      <c r="P261">
        <v>0</v>
      </c>
      <c r="Q261">
        <v>0</v>
      </c>
      <c r="R261">
        <v>0</v>
      </c>
      <c r="S261">
        <f>IF(R203,((L_Stahl_LH[[#This Row],[L]]*(L_Stahl_LH[[#This Row],[H]]-L_Stahl_LH[[#This Row],[S]])*L_Stahl_LH[[#This Row],[S]])+(L_Stahl_LH[[#This Row],[L]]*L_Stahl_LH[[#This Row],[B]]*L_Stahl_LH[[#This Row],[S]]))*2*$H$1/1000,0)</f>
        <v>0</v>
      </c>
    </row>
    <row r="262" spans="2:19">
      <c r="B262" s="11">
        <v>25</v>
      </c>
      <c r="C262">
        <v>120</v>
      </c>
      <c r="D262">
        <v>120</v>
      </c>
      <c r="E262">
        <v>13</v>
      </c>
      <c r="F262" t="s">
        <v>115</v>
      </c>
      <c r="H262" s="11">
        <v>25</v>
      </c>
      <c r="I262" s="60">
        <f>LT_Stahl_DK_Sliding[[#This Row],[H]]</f>
        <v>120</v>
      </c>
      <c r="J262" s="60">
        <f>LT_Stahl_DK_Sliding[[#This Row],[B]]</f>
        <v>120</v>
      </c>
      <c r="K262" s="60">
        <f>LT_Stahl_DK_Sliding[[#This Row],[S]]</f>
        <v>13</v>
      </c>
      <c r="L262" s="60" t="str">
        <f>LT_Stahl_DK_Sliding[[#This Row],[Type]]</f>
        <v>T</v>
      </c>
      <c r="N262" s="11">
        <v>25</v>
      </c>
      <c r="O262">
        <v>0</v>
      </c>
      <c r="P262">
        <v>0</v>
      </c>
      <c r="Q262">
        <v>0</v>
      </c>
      <c r="R262">
        <v>0</v>
      </c>
      <c r="S262">
        <f>IF(R204,((L_Stahl_LH[[#This Row],[L]]*(L_Stahl_LH[[#This Row],[H]]-L_Stahl_LH[[#This Row],[S]])*L_Stahl_LH[[#This Row],[S]])+(L_Stahl_LH[[#This Row],[L]]*L_Stahl_LH[[#This Row],[B]]*L_Stahl_LH[[#This Row],[S]]))*2*$H$1/1000,0)</f>
        <v>0</v>
      </c>
    </row>
    <row r="263" spans="2:19">
      <c r="B263" s="13">
        <v>32</v>
      </c>
      <c r="C263">
        <v>120</v>
      </c>
      <c r="D263">
        <v>120</v>
      </c>
      <c r="E263">
        <v>13</v>
      </c>
      <c r="F263" t="s">
        <v>115</v>
      </c>
      <c r="H263" s="13">
        <v>32</v>
      </c>
      <c r="I263" s="60">
        <f>LT_Stahl_DK_Sliding[[#This Row],[H]]</f>
        <v>120</v>
      </c>
      <c r="J263" s="60">
        <f>LT_Stahl_DK_Sliding[[#This Row],[B]]</f>
        <v>120</v>
      </c>
      <c r="K263" s="60">
        <f>LT_Stahl_DK_Sliding[[#This Row],[S]]</f>
        <v>13</v>
      </c>
      <c r="L263" s="60" t="str">
        <f>LT_Stahl_DK_Sliding[[#This Row],[Type]]</f>
        <v>T</v>
      </c>
      <c r="N263" s="13">
        <v>32</v>
      </c>
      <c r="O263">
        <v>0</v>
      </c>
      <c r="P263">
        <v>0</v>
      </c>
      <c r="Q263">
        <v>0</v>
      </c>
      <c r="R263">
        <v>0</v>
      </c>
      <c r="S263">
        <f>IF(R205,((L_Stahl_LH[[#This Row],[L]]*(L_Stahl_LH[[#This Row],[H]]-L_Stahl_LH[[#This Row],[S]])*L_Stahl_LH[[#This Row],[S]])+(L_Stahl_LH[[#This Row],[L]]*L_Stahl_LH[[#This Row],[B]]*L_Stahl_LH[[#This Row],[S]]))*2*$H$1/1000,0)</f>
        <v>0</v>
      </c>
    </row>
    <row r="264" spans="2:19">
      <c r="B264" s="11">
        <v>40</v>
      </c>
      <c r="C264">
        <v>120</v>
      </c>
      <c r="D264">
        <v>120</v>
      </c>
      <c r="E264">
        <v>13</v>
      </c>
      <c r="F264" t="s">
        <v>115</v>
      </c>
      <c r="H264" s="11">
        <v>40</v>
      </c>
      <c r="I264" s="60">
        <f>LT_Stahl_DK_Sliding[[#This Row],[H]]</f>
        <v>120</v>
      </c>
      <c r="J264" s="60">
        <f>LT_Stahl_DK_Sliding[[#This Row],[B]]</f>
        <v>120</v>
      </c>
      <c r="K264" s="60">
        <f>LT_Stahl_DK_Sliding[[#This Row],[S]]</f>
        <v>13</v>
      </c>
      <c r="L264" s="60" t="str">
        <f>LT_Stahl_DK_Sliding[[#This Row],[Type]]</f>
        <v>T</v>
      </c>
      <c r="N264" s="11">
        <v>40</v>
      </c>
      <c r="O264">
        <v>0</v>
      </c>
      <c r="P264">
        <v>0</v>
      </c>
      <c r="Q264">
        <v>0</v>
      </c>
      <c r="R264">
        <v>0</v>
      </c>
      <c r="S264">
        <f>IF(R206,((L_Stahl_LH[[#This Row],[L]]*(L_Stahl_LH[[#This Row],[H]]-L_Stahl_LH[[#This Row],[S]])*L_Stahl_LH[[#This Row],[S]])+(L_Stahl_LH[[#This Row],[L]]*L_Stahl_LH[[#This Row],[B]]*L_Stahl_LH[[#This Row],[S]]))*2*$H$1/1000,0)</f>
        <v>0</v>
      </c>
    </row>
    <row r="265" spans="2:19">
      <c r="B265" s="13">
        <v>50</v>
      </c>
      <c r="C265">
        <v>120</v>
      </c>
      <c r="D265">
        <v>120</v>
      </c>
      <c r="E265">
        <v>13</v>
      </c>
      <c r="F265" t="s">
        <v>115</v>
      </c>
      <c r="H265" s="13">
        <v>50</v>
      </c>
      <c r="I265" s="60">
        <f>LT_Stahl_DK_Sliding[[#This Row],[H]]</f>
        <v>120</v>
      </c>
      <c r="J265" s="60">
        <f>LT_Stahl_DK_Sliding[[#This Row],[B]]</f>
        <v>120</v>
      </c>
      <c r="K265" s="60">
        <f>LT_Stahl_DK_Sliding[[#This Row],[S]]</f>
        <v>13</v>
      </c>
      <c r="L265" s="60" t="str">
        <f>LT_Stahl_DK_Sliding[[#This Row],[Type]]</f>
        <v>T</v>
      </c>
      <c r="N265" s="13">
        <v>50</v>
      </c>
      <c r="O265">
        <v>0</v>
      </c>
      <c r="P265">
        <v>0</v>
      </c>
      <c r="Q265">
        <v>0</v>
      </c>
      <c r="R265">
        <v>0</v>
      </c>
      <c r="S265">
        <f>IF(R207,((L_Stahl_LH[[#This Row],[L]]*(L_Stahl_LH[[#This Row],[H]]-L_Stahl_LH[[#This Row],[S]])*L_Stahl_LH[[#This Row],[S]])+(L_Stahl_LH[[#This Row],[L]]*L_Stahl_LH[[#This Row],[B]]*L_Stahl_LH[[#This Row],[S]]))*2*$H$1/1000,0)</f>
        <v>0</v>
      </c>
    </row>
    <row r="266" spans="2:19">
      <c r="B266" s="11">
        <v>65</v>
      </c>
      <c r="C266">
        <v>120</v>
      </c>
      <c r="D266">
        <v>120</v>
      </c>
      <c r="E266">
        <v>13</v>
      </c>
      <c r="F266" t="s">
        <v>115</v>
      </c>
      <c r="H266" s="11">
        <v>65</v>
      </c>
      <c r="I266" s="60">
        <f>LT_Stahl_DK_Sliding[[#This Row],[H]]</f>
        <v>120</v>
      </c>
      <c r="J266" s="60">
        <f>LT_Stahl_DK_Sliding[[#This Row],[B]]</f>
        <v>120</v>
      </c>
      <c r="K266" s="60">
        <f>LT_Stahl_DK_Sliding[[#This Row],[S]]</f>
        <v>13</v>
      </c>
      <c r="L266" s="60" t="str">
        <f>LT_Stahl_DK_Sliding[[#This Row],[Type]]</f>
        <v>T</v>
      </c>
      <c r="N266" s="11">
        <v>65</v>
      </c>
      <c r="O266">
        <v>0</v>
      </c>
      <c r="P266">
        <v>0</v>
      </c>
      <c r="Q266">
        <v>0</v>
      </c>
      <c r="R266">
        <v>0</v>
      </c>
      <c r="S266">
        <f>IF(R208,((L_Stahl_LH[[#This Row],[L]]*(L_Stahl_LH[[#This Row],[H]]-L_Stahl_LH[[#This Row],[S]])*L_Stahl_LH[[#This Row],[S]])+(L_Stahl_LH[[#This Row],[L]]*L_Stahl_LH[[#This Row],[B]]*L_Stahl_LH[[#This Row],[S]]))*2*$H$1/1000,0)</f>
        <v>0</v>
      </c>
    </row>
    <row r="267" spans="2:19">
      <c r="B267" s="13">
        <v>80</v>
      </c>
      <c r="C267">
        <v>120</v>
      </c>
      <c r="D267">
        <v>120</v>
      </c>
      <c r="E267">
        <v>13</v>
      </c>
      <c r="F267" t="s">
        <v>115</v>
      </c>
      <c r="H267" s="13">
        <v>80</v>
      </c>
      <c r="I267" s="60">
        <f>LT_Stahl_DK_Sliding[[#This Row],[H]]</f>
        <v>120</v>
      </c>
      <c r="J267" s="60">
        <f>LT_Stahl_DK_Sliding[[#This Row],[B]]</f>
        <v>120</v>
      </c>
      <c r="K267" s="60">
        <f>LT_Stahl_DK_Sliding[[#This Row],[S]]</f>
        <v>13</v>
      </c>
      <c r="L267" s="60" t="str">
        <f>LT_Stahl_DK_Sliding[[#This Row],[Type]]</f>
        <v>T</v>
      </c>
      <c r="N267" s="13">
        <v>80</v>
      </c>
      <c r="O267">
        <v>0</v>
      </c>
      <c r="P267">
        <v>0</v>
      </c>
      <c r="Q267">
        <v>0</v>
      </c>
      <c r="R267">
        <v>0</v>
      </c>
      <c r="S267">
        <f>IF(R209,((L_Stahl_LH[[#This Row],[L]]*(L_Stahl_LH[[#This Row],[H]]-L_Stahl_LH[[#This Row],[S]])*L_Stahl_LH[[#This Row],[S]])+(L_Stahl_LH[[#This Row],[L]]*L_Stahl_LH[[#This Row],[B]]*L_Stahl_LH[[#This Row],[S]]))*2*$H$1/1000,0)</f>
        <v>0</v>
      </c>
    </row>
    <row r="268" spans="2:19">
      <c r="B268" s="11">
        <v>100</v>
      </c>
      <c r="C268">
        <v>120</v>
      </c>
      <c r="D268">
        <v>120</v>
      </c>
      <c r="E268">
        <v>13</v>
      </c>
      <c r="F268" t="s">
        <v>115</v>
      </c>
      <c r="H268" s="11">
        <v>100</v>
      </c>
      <c r="I268" s="60">
        <f>LT_Stahl_DK_Sliding[[#This Row],[H]]</f>
        <v>120</v>
      </c>
      <c r="J268" s="60">
        <f>LT_Stahl_DK_Sliding[[#This Row],[B]]</f>
        <v>120</v>
      </c>
      <c r="K268" s="60">
        <f>LT_Stahl_DK_Sliding[[#This Row],[S]]</f>
        <v>13</v>
      </c>
      <c r="L268" s="60" t="str">
        <f>LT_Stahl_DK_Sliding[[#This Row],[Type]]</f>
        <v>T</v>
      </c>
      <c r="N268" s="11">
        <v>100</v>
      </c>
      <c r="O268">
        <v>50</v>
      </c>
      <c r="P268">
        <v>50</v>
      </c>
      <c r="Q268">
        <v>5</v>
      </c>
      <c r="R268">
        <v>150</v>
      </c>
      <c r="S268">
        <f>IF(R210,((L_Stahl_LH[[#This Row],[L]]*(L_Stahl_LH[[#This Row],[H]]-L_Stahl_LH[[#This Row],[S]])*L_Stahl_LH[[#This Row],[S]])+(L_Stahl_LH[[#This Row],[L]]*L_Stahl_LH[[#This Row],[B]]*L_Stahl_LH[[#This Row],[S]]))*2*$H$1/1000,0)</f>
        <v>0</v>
      </c>
    </row>
    <row r="269" spans="2:19">
      <c r="B269" s="13">
        <v>125</v>
      </c>
      <c r="C269">
        <v>200</v>
      </c>
      <c r="D269">
        <v>100</v>
      </c>
      <c r="E269">
        <v>12</v>
      </c>
      <c r="F269" t="s">
        <v>118</v>
      </c>
      <c r="H269" s="13">
        <v>125</v>
      </c>
      <c r="I269">
        <v>150</v>
      </c>
      <c r="J269">
        <v>100</v>
      </c>
      <c r="K269">
        <v>12</v>
      </c>
      <c r="L269" s="60" t="str">
        <f>LT_Stahl_DK_Sliding[[#This Row],[Type]]</f>
        <v>L</v>
      </c>
      <c r="N269" s="13">
        <v>125</v>
      </c>
      <c r="O269">
        <v>50</v>
      </c>
      <c r="P269">
        <v>50</v>
      </c>
      <c r="Q269">
        <v>5</v>
      </c>
      <c r="R269">
        <v>150</v>
      </c>
      <c r="S269">
        <f>IF(R211,((L_Stahl_LH[[#This Row],[L]]*(L_Stahl_LH[[#This Row],[H]]-L_Stahl_LH[[#This Row],[S]])*L_Stahl_LH[[#This Row],[S]])+(L_Stahl_LH[[#This Row],[L]]*L_Stahl_LH[[#This Row],[B]]*L_Stahl_LH[[#This Row],[S]]))*2*$H$1/1000,0)</f>
        <v>0</v>
      </c>
    </row>
    <row r="270" spans="2:19">
      <c r="B270" s="11">
        <v>150</v>
      </c>
      <c r="C270">
        <v>200</v>
      </c>
      <c r="D270">
        <v>100</v>
      </c>
      <c r="E270">
        <v>12</v>
      </c>
      <c r="F270" t="s">
        <v>118</v>
      </c>
      <c r="H270" s="11">
        <v>150</v>
      </c>
      <c r="I270">
        <v>150</v>
      </c>
      <c r="J270">
        <v>100</v>
      </c>
      <c r="K270">
        <v>12</v>
      </c>
      <c r="L270" s="60" t="str">
        <f>LT_Stahl_DK_Sliding[[#This Row],[Type]]</f>
        <v>L</v>
      </c>
      <c r="N270" s="11">
        <v>150</v>
      </c>
      <c r="O270">
        <v>50</v>
      </c>
      <c r="P270">
        <v>50</v>
      </c>
      <c r="Q270">
        <v>5</v>
      </c>
      <c r="R270">
        <v>150</v>
      </c>
      <c r="S270">
        <f>IF(R212,((L_Stahl_LH[[#This Row],[L]]*(L_Stahl_LH[[#This Row],[H]]-L_Stahl_LH[[#This Row],[S]])*L_Stahl_LH[[#This Row],[S]])+(L_Stahl_LH[[#This Row],[L]]*L_Stahl_LH[[#This Row],[B]]*L_Stahl_LH[[#This Row],[S]]))*2*$H$1/1000,0)</f>
        <v>0</v>
      </c>
    </row>
    <row r="271" spans="2:19">
      <c r="B271" s="13">
        <v>200</v>
      </c>
      <c r="C271">
        <v>200</v>
      </c>
      <c r="D271">
        <v>100</v>
      </c>
      <c r="E271">
        <v>12</v>
      </c>
      <c r="F271" t="s">
        <v>118</v>
      </c>
      <c r="H271" s="13">
        <v>200</v>
      </c>
      <c r="I271">
        <v>150</v>
      </c>
      <c r="J271">
        <v>100</v>
      </c>
      <c r="K271">
        <v>12</v>
      </c>
      <c r="L271" s="60" t="str">
        <f>LT_Stahl_DK_Sliding[[#This Row],[Type]]</f>
        <v>L</v>
      </c>
      <c r="N271" s="13">
        <v>200</v>
      </c>
      <c r="O271">
        <v>50</v>
      </c>
      <c r="P271">
        <v>50</v>
      </c>
      <c r="Q271">
        <v>5</v>
      </c>
      <c r="R271">
        <v>150</v>
      </c>
      <c r="S271">
        <f>IF(R213,((L_Stahl_LH[[#This Row],[L]]*(L_Stahl_LH[[#This Row],[H]]-L_Stahl_LH[[#This Row],[S]])*L_Stahl_LH[[#This Row],[S]])+(L_Stahl_LH[[#This Row],[L]]*L_Stahl_LH[[#This Row],[B]]*L_Stahl_LH[[#This Row],[S]]))*2*$H$1/1000,0)</f>
        <v>0</v>
      </c>
    </row>
    <row r="272" spans="2:19">
      <c r="B272" s="11">
        <v>250</v>
      </c>
      <c r="C272">
        <v>200</v>
      </c>
      <c r="D272">
        <v>100</v>
      </c>
      <c r="E272">
        <v>12</v>
      </c>
      <c r="F272" t="s">
        <v>118</v>
      </c>
      <c r="H272" s="11">
        <v>250</v>
      </c>
      <c r="I272">
        <v>150</v>
      </c>
      <c r="J272">
        <v>100</v>
      </c>
      <c r="K272">
        <v>12</v>
      </c>
      <c r="L272" s="60" t="str">
        <f>LT_Stahl_DK_Sliding[[#This Row],[Type]]</f>
        <v>L</v>
      </c>
      <c r="N272" s="11">
        <v>250</v>
      </c>
      <c r="O272">
        <v>50</v>
      </c>
      <c r="P272">
        <v>50</v>
      </c>
      <c r="Q272">
        <v>5</v>
      </c>
      <c r="R272">
        <v>150</v>
      </c>
      <c r="S272">
        <f>IF(R214,((L_Stahl_LH[[#This Row],[L]]*(L_Stahl_LH[[#This Row],[H]]-L_Stahl_LH[[#This Row],[S]])*L_Stahl_LH[[#This Row],[S]])+(L_Stahl_LH[[#This Row],[L]]*L_Stahl_LH[[#This Row],[B]]*L_Stahl_LH[[#This Row],[S]]))*2*$H$1/1000,0)</f>
        <v>0</v>
      </c>
    </row>
    <row r="273" spans="2:19">
      <c r="B273" s="13">
        <v>300</v>
      </c>
      <c r="C273">
        <v>200</v>
      </c>
      <c r="D273">
        <v>100</v>
      </c>
      <c r="E273">
        <v>12</v>
      </c>
      <c r="F273" t="s">
        <v>118</v>
      </c>
      <c r="H273" s="13">
        <v>300</v>
      </c>
      <c r="I273">
        <v>200</v>
      </c>
      <c r="J273">
        <v>100</v>
      </c>
      <c r="K273">
        <v>12</v>
      </c>
      <c r="L273" s="60" t="str">
        <f>LT_Stahl_DK_Sliding[[#This Row],[Type]]</f>
        <v>L</v>
      </c>
      <c r="N273" s="13">
        <v>300</v>
      </c>
      <c r="O273">
        <v>50</v>
      </c>
      <c r="P273">
        <v>50</v>
      </c>
      <c r="Q273">
        <v>5</v>
      </c>
      <c r="R273">
        <v>150</v>
      </c>
      <c r="S273">
        <f>IF(R215,((L_Stahl_LH[[#This Row],[L]]*(L_Stahl_LH[[#This Row],[H]]-L_Stahl_LH[[#This Row],[S]])*L_Stahl_LH[[#This Row],[S]])+(L_Stahl_LH[[#This Row],[L]]*L_Stahl_LH[[#This Row],[B]]*L_Stahl_LH[[#This Row],[S]]))*2*$H$1/1000,0)</f>
        <v>0</v>
      </c>
    </row>
    <row r="274" spans="2:19">
      <c r="B274" s="11">
        <v>350</v>
      </c>
      <c r="C274">
        <v>200</v>
      </c>
      <c r="D274">
        <v>100</v>
      </c>
      <c r="E274">
        <v>12</v>
      </c>
      <c r="F274" t="s">
        <v>118</v>
      </c>
      <c r="H274" s="11">
        <v>350</v>
      </c>
      <c r="I274">
        <v>200</v>
      </c>
      <c r="J274">
        <v>100</v>
      </c>
      <c r="K274">
        <v>12</v>
      </c>
      <c r="L274" s="60" t="str">
        <f>LT_Stahl_DK_Sliding[[#This Row],[Type]]</f>
        <v>L</v>
      </c>
      <c r="N274" s="11">
        <v>350</v>
      </c>
      <c r="O274">
        <v>50</v>
      </c>
      <c r="P274">
        <v>50</v>
      </c>
      <c r="Q274">
        <v>5</v>
      </c>
      <c r="R274">
        <v>150</v>
      </c>
      <c r="S274">
        <f>IF(R216,((L_Stahl_LH[[#This Row],[L]]*(L_Stahl_LH[[#This Row],[H]]-L_Stahl_LH[[#This Row],[S]])*L_Stahl_LH[[#This Row],[S]])+(L_Stahl_LH[[#This Row],[L]]*L_Stahl_LH[[#This Row],[B]]*L_Stahl_LH[[#This Row],[S]]))*2*$H$1/1000,0)</f>
        <v>0</v>
      </c>
    </row>
    <row r="275" spans="2:19">
      <c r="B275" s="13">
        <v>400</v>
      </c>
      <c r="C275">
        <v>200</v>
      </c>
      <c r="D275">
        <v>100</v>
      </c>
      <c r="E275">
        <v>12</v>
      </c>
      <c r="F275" t="s">
        <v>118</v>
      </c>
      <c r="H275" s="13">
        <v>400</v>
      </c>
      <c r="I275">
        <v>200</v>
      </c>
      <c r="J275">
        <v>100</v>
      </c>
      <c r="K275">
        <v>12</v>
      </c>
      <c r="L275" s="60" t="str">
        <f>LT_Stahl_DK_Sliding[[#This Row],[Type]]</f>
        <v>L</v>
      </c>
      <c r="N275" s="13">
        <v>400</v>
      </c>
      <c r="O275">
        <v>60</v>
      </c>
      <c r="P275">
        <v>60</v>
      </c>
      <c r="Q275">
        <v>6</v>
      </c>
      <c r="R275">
        <v>200</v>
      </c>
      <c r="S275">
        <f>IF(R217,((L_Stahl_LH[[#This Row],[L]]*(L_Stahl_LH[[#This Row],[H]]-L_Stahl_LH[[#This Row],[S]])*L_Stahl_LH[[#This Row],[S]])+(L_Stahl_LH[[#This Row],[L]]*L_Stahl_LH[[#This Row],[B]]*L_Stahl_LH[[#This Row],[S]]))*2*$H$1/1000,0)</f>
        <v>0</v>
      </c>
    </row>
    <row r="276" spans="2:19">
      <c r="B276" s="11">
        <v>450</v>
      </c>
      <c r="C276">
        <v>200</v>
      </c>
      <c r="D276">
        <v>100</v>
      </c>
      <c r="E276">
        <v>12</v>
      </c>
      <c r="F276" t="s">
        <v>118</v>
      </c>
      <c r="H276" s="11">
        <v>450</v>
      </c>
      <c r="I276">
        <v>200</v>
      </c>
      <c r="J276">
        <v>100</v>
      </c>
      <c r="K276">
        <v>12</v>
      </c>
      <c r="L276" s="60" t="str">
        <f>LT_Stahl_DK_Sliding[[#This Row],[Type]]</f>
        <v>L</v>
      </c>
      <c r="N276" s="11">
        <v>450</v>
      </c>
      <c r="O276">
        <v>60</v>
      </c>
      <c r="P276">
        <v>60</v>
      </c>
      <c r="Q276">
        <v>6</v>
      </c>
      <c r="R276">
        <v>200</v>
      </c>
      <c r="S276">
        <f>IF(R218,((L_Stahl_LH[[#This Row],[L]]*(L_Stahl_LH[[#This Row],[H]]-L_Stahl_LH[[#This Row],[S]])*L_Stahl_LH[[#This Row],[S]])+(L_Stahl_LH[[#This Row],[L]]*L_Stahl_LH[[#This Row],[B]]*L_Stahl_LH[[#This Row],[S]]))*2*$H$1/1000,0)</f>
        <v>0</v>
      </c>
    </row>
    <row r="277" spans="2:19">
      <c r="B277" s="13">
        <v>500</v>
      </c>
      <c r="C277">
        <v>200</v>
      </c>
      <c r="D277">
        <v>100</v>
      </c>
      <c r="E277">
        <v>12</v>
      </c>
      <c r="F277" t="s">
        <v>118</v>
      </c>
      <c r="H277" s="13">
        <v>500</v>
      </c>
      <c r="I277">
        <v>200</v>
      </c>
      <c r="J277">
        <v>100</v>
      </c>
      <c r="K277">
        <v>12</v>
      </c>
      <c r="L277" s="60" t="str">
        <f>LT_Stahl_DK_Sliding[[#This Row],[Type]]</f>
        <v>L</v>
      </c>
      <c r="N277" s="13">
        <v>500</v>
      </c>
      <c r="O277">
        <v>60</v>
      </c>
      <c r="P277">
        <v>60</v>
      </c>
      <c r="Q277">
        <v>6</v>
      </c>
      <c r="R277">
        <v>200</v>
      </c>
      <c r="S277">
        <f>IF(R219,((L_Stahl_LH[[#This Row],[L]]*(L_Stahl_LH[[#This Row],[H]]-L_Stahl_LH[[#This Row],[S]])*L_Stahl_LH[[#This Row],[S]])+(L_Stahl_LH[[#This Row],[L]]*L_Stahl_LH[[#This Row],[B]]*L_Stahl_LH[[#This Row],[S]]))*2*$H$1/1000,0)</f>
        <v>0</v>
      </c>
    </row>
    <row r="278" spans="2:19">
      <c r="B278" s="11">
        <v>600</v>
      </c>
      <c r="C278">
        <v>200</v>
      </c>
      <c r="D278">
        <v>150</v>
      </c>
      <c r="E278">
        <v>12</v>
      </c>
      <c r="F278" t="s">
        <v>118</v>
      </c>
      <c r="H278" s="11">
        <v>600</v>
      </c>
      <c r="I278">
        <v>200</v>
      </c>
      <c r="J278">
        <v>100</v>
      </c>
      <c r="K278">
        <v>12</v>
      </c>
      <c r="L278" s="60" t="str">
        <f>LT_Stahl_DK_Sliding[[#This Row],[Type]]</f>
        <v>L</v>
      </c>
      <c r="N278" s="11">
        <v>600</v>
      </c>
      <c r="O278">
        <v>60</v>
      </c>
      <c r="P278">
        <v>60</v>
      </c>
      <c r="Q278">
        <v>6</v>
      </c>
      <c r="R278">
        <v>200</v>
      </c>
      <c r="S278">
        <f>IF(R220,((L_Stahl_LH[[#This Row],[L]]*(L_Stahl_LH[[#This Row],[H]]-L_Stahl_LH[[#This Row],[S]])*L_Stahl_LH[[#This Row],[S]])+(L_Stahl_LH[[#This Row],[L]]*L_Stahl_LH[[#This Row],[B]]*L_Stahl_LH[[#This Row],[S]]))*2*$H$1/1000,0)</f>
        <v>0</v>
      </c>
    </row>
    <row r="279" spans="2:19">
      <c r="B279" s="13">
        <v>700</v>
      </c>
      <c r="C279">
        <v>200</v>
      </c>
      <c r="D279">
        <v>150</v>
      </c>
      <c r="E279">
        <v>12</v>
      </c>
      <c r="F279" t="s">
        <v>118</v>
      </c>
      <c r="H279" s="13">
        <v>700</v>
      </c>
      <c r="I279">
        <v>200</v>
      </c>
      <c r="J279">
        <v>100</v>
      </c>
      <c r="K279">
        <v>12</v>
      </c>
      <c r="L279" s="60" t="str">
        <f>LT_Stahl_DK_Sliding[[#This Row],[Type]]</f>
        <v>L</v>
      </c>
      <c r="N279" s="13">
        <v>700</v>
      </c>
      <c r="O279">
        <v>60</v>
      </c>
      <c r="P279">
        <v>60</v>
      </c>
      <c r="Q279">
        <v>6</v>
      </c>
      <c r="R279">
        <v>200</v>
      </c>
      <c r="S279">
        <f>IF(R221,((L_Stahl_LH[[#This Row],[L]]*(L_Stahl_LH[[#This Row],[H]]-L_Stahl_LH[[#This Row],[S]])*L_Stahl_LH[[#This Row],[S]])+(L_Stahl_LH[[#This Row],[L]]*L_Stahl_LH[[#This Row],[B]]*L_Stahl_LH[[#This Row],[S]]))*2*$H$1/1000,0)</f>
        <v>0</v>
      </c>
    </row>
    <row r="280" spans="2:19">
      <c r="B280" s="11">
        <v>800</v>
      </c>
      <c r="C280">
        <v>200</v>
      </c>
      <c r="D280">
        <v>150</v>
      </c>
      <c r="E280">
        <v>12</v>
      </c>
      <c r="F280" t="s">
        <v>118</v>
      </c>
      <c r="H280" s="11">
        <v>800</v>
      </c>
      <c r="I280">
        <v>200</v>
      </c>
      <c r="J280">
        <v>100</v>
      </c>
      <c r="K280">
        <v>12</v>
      </c>
      <c r="L280" s="60" t="str">
        <f>LT_Stahl_DK_Sliding[[#This Row],[Type]]</f>
        <v>L</v>
      </c>
      <c r="N280" s="11">
        <v>800</v>
      </c>
      <c r="O280">
        <v>60</v>
      </c>
      <c r="P280">
        <v>60</v>
      </c>
      <c r="Q280">
        <v>6</v>
      </c>
      <c r="R280">
        <v>200</v>
      </c>
      <c r="S280">
        <f>IF(R222,((L_Stahl_LH[[#This Row],[L]]*(L_Stahl_LH[[#This Row],[H]]-L_Stahl_LH[[#This Row],[S]])*L_Stahl_LH[[#This Row],[S]])+(L_Stahl_LH[[#This Row],[L]]*L_Stahl_LH[[#This Row],[B]]*L_Stahl_LH[[#This Row],[S]]))*2*$H$1/1000,0)</f>
        <v>0</v>
      </c>
    </row>
    <row r="281" spans="2:19">
      <c r="B281" s="13">
        <v>900</v>
      </c>
      <c r="C281">
        <v>200</v>
      </c>
      <c r="D281">
        <v>150</v>
      </c>
      <c r="E281">
        <v>12</v>
      </c>
      <c r="F281" t="s">
        <v>118</v>
      </c>
      <c r="H281" s="13">
        <v>900</v>
      </c>
      <c r="I281">
        <v>200</v>
      </c>
      <c r="J281">
        <v>100</v>
      </c>
      <c r="K281">
        <v>12</v>
      </c>
      <c r="L281" s="60" t="str">
        <f>LT_Stahl_DK_Sliding[[#This Row],[Type]]</f>
        <v>L</v>
      </c>
      <c r="N281" s="13">
        <v>900</v>
      </c>
      <c r="O281">
        <v>60</v>
      </c>
      <c r="P281">
        <v>60</v>
      </c>
      <c r="Q281">
        <v>6</v>
      </c>
      <c r="R281">
        <v>200</v>
      </c>
      <c r="S281">
        <f>IF(R223,((L_Stahl_LH[[#This Row],[L]]*(L_Stahl_LH[[#This Row],[H]]-L_Stahl_LH[[#This Row],[S]])*L_Stahl_LH[[#This Row],[S]])+(L_Stahl_LH[[#This Row],[L]]*L_Stahl_LH[[#This Row],[B]]*L_Stahl_LH[[#This Row],[S]]))*2*$H$1/1000,0)</f>
        <v>0</v>
      </c>
    </row>
    <row r="282" spans="2:19">
      <c r="B282" s="11">
        <v>1000</v>
      </c>
      <c r="C282">
        <v>200</v>
      </c>
      <c r="D282">
        <v>150</v>
      </c>
      <c r="E282">
        <v>12</v>
      </c>
      <c r="F282" t="s">
        <v>118</v>
      </c>
      <c r="H282" s="11">
        <v>1000</v>
      </c>
      <c r="I282">
        <v>200</v>
      </c>
      <c r="J282">
        <v>100</v>
      </c>
      <c r="K282">
        <v>12</v>
      </c>
      <c r="L282" s="60" t="str">
        <f>LT_Stahl_DK_Sliding[[#This Row],[Type]]</f>
        <v>L</v>
      </c>
      <c r="N282" s="11">
        <v>1000</v>
      </c>
      <c r="O282">
        <v>60</v>
      </c>
      <c r="P282">
        <v>60</v>
      </c>
      <c r="Q282">
        <v>8</v>
      </c>
      <c r="R282">
        <v>250</v>
      </c>
      <c r="S282">
        <f>IF(R224,((L_Stahl_LH[[#This Row],[L]]*(L_Stahl_LH[[#This Row],[H]]-L_Stahl_LH[[#This Row],[S]])*L_Stahl_LH[[#This Row],[S]])+(L_Stahl_LH[[#This Row],[L]]*L_Stahl_LH[[#This Row],[B]]*L_Stahl_LH[[#This Row],[S]]))*2*$H$1/1000,0)</f>
        <v>0</v>
      </c>
    </row>
    <row r="283" spans="2:19">
      <c r="B283" s="13">
        <v>1200</v>
      </c>
      <c r="C283">
        <v>200</v>
      </c>
      <c r="D283">
        <v>150</v>
      </c>
      <c r="E283">
        <v>12</v>
      </c>
      <c r="F283" t="s">
        <v>118</v>
      </c>
      <c r="H283" s="13">
        <v>1200</v>
      </c>
      <c r="I283">
        <v>200</v>
      </c>
      <c r="J283">
        <v>100</v>
      </c>
      <c r="K283">
        <v>12</v>
      </c>
      <c r="L283" s="60" t="str">
        <f>LT_Stahl_DK_Sliding[[#This Row],[Type]]</f>
        <v>L</v>
      </c>
      <c r="N283" s="13">
        <v>1200</v>
      </c>
      <c r="O283">
        <v>60</v>
      </c>
      <c r="P283">
        <v>60</v>
      </c>
      <c r="Q283">
        <v>8</v>
      </c>
      <c r="R283">
        <v>250</v>
      </c>
      <c r="S283">
        <f>IF(R225,((L_Stahl_LH[[#This Row],[L]]*(L_Stahl_LH[[#This Row],[H]]-L_Stahl_LH[[#This Row],[S]])*L_Stahl_LH[[#This Row],[S]])+(L_Stahl_LH[[#This Row],[L]]*L_Stahl_LH[[#This Row],[B]]*L_Stahl_LH[[#This Row],[S]]))*2*$H$1/1000,0)</f>
        <v>0</v>
      </c>
    </row>
    <row r="286" spans="2:19">
      <c r="B286" t="s">
        <v>439</v>
      </c>
      <c r="I286" t="s">
        <v>423</v>
      </c>
      <c r="J286" t="s">
        <v>435</v>
      </c>
      <c r="L286" t="s">
        <v>428</v>
      </c>
      <c r="M286" t="s">
        <v>429</v>
      </c>
    </row>
    <row r="287" spans="2:19">
      <c r="B287" t="s">
        <v>89</v>
      </c>
      <c r="C287" t="s">
        <v>110</v>
      </c>
      <c r="D287" t="s">
        <v>96</v>
      </c>
      <c r="E287" t="s">
        <v>104</v>
      </c>
      <c r="F287" t="s">
        <v>109</v>
      </c>
      <c r="G287" t="s">
        <v>113</v>
      </c>
      <c r="I287" t="s">
        <v>89</v>
      </c>
      <c r="J287" s="59" t="s">
        <v>424</v>
      </c>
      <c r="K287" s="59" t="s">
        <v>425</v>
      </c>
      <c r="L287" t="s">
        <v>426</v>
      </c>
      <c r="M287" s="59" t="s">
        <v>427</v>
      </c>
    </row>
    <row r="288" spans="2:19">
      <c r="B288">
        <v>15</v>
      </c>
      <c r="C288">
        <f>IF($D$1="FP",I260,C260)</f>
        <v>120</v>
      </c>
      <c r="D288">
        <f>IF($D$1="FP",J260,D260)</f>
        <v>120</v>
      </c>
      <c r="E288">
        <f>IF($D$1="FP",K260,E260)</f>
        <v>13</v>
      </c>
      <c r="F288">
        <f t="shared" ref="F288:F311" si="60">IF($D$1="FP",J288,K288)</f>
        <v>120</v>
      </c>
      <c r="I288">
        <v>15</v>
      </c>
      <c r="J288" s="60">
        <f t="shared" ref="J288:J296" si="61">J260</f>
        <v>120</v>
      </c>
      <c r="K288" s="60">
        <f t="shared" ref="K288:K296" si="62">D260</f>
        <v>120</v>
      </c>
      <c r="L288">
        <v>135</v>
      </c>
      <c r="M288" s="60">
        <f>DK_W_BaseCL[[#This Row],[CL_Fixed]]</f>
        <v>135</v>
      </c>
    </row>
    <row r="289" spans="2:13">
      <c r="B289">
        <v>20</v>
      </c>
      <c r="C289">
        <f t="shared" ref="C289:C311" si="63">IF($D$1="FP",I261,C261)</f>
        <v>120</v>
      </c>
      <c r="D289">
        <f t="shared" ref="D289:D311" si="64">IF($D$1="FP",J261,D261)</f>
        <v>120</v>
      </c>
      <c r="E289">
        <f t="shared" ref="E289:E311" si="65">IF($D$1="FP",K261,E261)</f>
        <v>13</v>
      </c>
      <c r="F289">
        <f t="shared" si="60"/>
        <v>120</v>
      </c>
      <c r="I289">
        <v>20</v>
      </c>
      <c r="J289" s="60">
        <f t="shared" si="61"/>
        <v>120</v>
      </c>
      <c r="K289" s="60">
        <f t="shared" si="62"/>
        <v>120</v>
      </c>
      <c r="L289">
        <v>138.5</v>
      </c>
      <c r="M289" s="60">
        <f>DK_W_BaseCL[[#This Row],[CL_Fixed]]</f>
        <v>138.5</v>
      </c>
    </row>
    <row r="290" spans="2:13">
      <c r="B290">
        <v>25</v>
      </c>
      <c r="C290">
        <f t="shared" si="63"/>
        <v>120</v>
      </c>
      <c r="D290">
        <f t="shared" si="64"/>
        <v>120</v>
      </c>
      <c r="E290">
        <f t="shared" si="65"/>
        <v>13</v>
      </c>
      <c r="F290">
        <f t="shared" si="60"/>
        <v>120</v>
      </c>
      <c r="I290">
        <v>25</v>
      </c>
      <c r="J290" s="60">
        <f t="shared" si="61"/>
        <v>120</v>
      </c>
      <c r="K290" s="60">
        <f t="shared" si="62"/>
        <v>120</v>
      </c>
      <c r="L290">
        <v>142</v>
      </c>
      <c r="M290" s="60">
        <f>DK_W_BaseCL[[#This Row],[CL_Fixed]]</f>
        <v>142</v>
      </c>
    </row>
    <row r="291" spans="2:13">
      <c r="B291">
        <v>32</v>
      </c>
      <c r="C291">
        <f t="shared" si="63"/>
        <v>120</v>
      </c>
      <c r="D291">
        <f t="shared" si="64"/>
        <v>120</v>
      </c>
      <c r="E291">
        <f t="shared" si="65"/>
        <v>13</v>
      </c>
      <c r="F291">
        <f t="shared" si="60"/>
        <v>120</v>
      </c>
      <c r="I291">
        <v>32</v>
      </c>
      <c r="J291" s="60">
        <f t="shared" si="61"/>
        <v>120</v>
      </c>
      <c r="K291" s="60">
        <f t="shared" si="62"/>
        <v>120</v>
      </c>
      <c r="L291">
        <v>146.5</v>
      </c>
      <c r="M291" s="60">
        <f>DK_W_BaseCL[[#This Row],[CL_Fixed]]</f>
        <v>146.5</v>
      </c>
    </row>
    <row r="292" spans="2:13">
      <c r="B292">
        <v>40</v>
      </c>
      <c r="C292">
        <f t="shared" si="63"/>
        <v>120</v>
      </c>
      <c r="D292">
        <f t="shared" si="64"/>
        <v>120</v>
      </c>
      <c r="E292">
        <f t="shared" si="65"/>
        <v>13</v>
      </c>
      <c r="F292">
        <f t="shared" si="60"/>
        <v>120</v>
      </c>
      <c r="I292">
        <v>40</v>
      </c>
      <c r="J292" s="60">
        <f t="shared" si="61"/>
        <v>120</v>
      </c>
      <c r="K292" s="60">
        <f t="shared" si="62"/>
        <v>120</v>
      </c>
      <c r="L292">
        <v>149.5</v>
      </c>
      <c r="M292" s="60">
        <f>DK_W_BaseCL[[#This Row],[CL_Fixed]]</f>
        <v>149.5</v>
      </c>
    </row>
    <row r="293" spans="2:13">
      <c r="B293">
        <v>50</v>
      </c>
      <c r="C293">
        <f t="shared" si="63"/>
        <v>120</v>
      </c>
      <c r="D293">
        <f t="shared" si="64"/>
        <v>120</v>
      </c>
      <c r="E293">
        <f t="shared" si="65"/>
        <v>13</v>
      </c>
      <c r="F293">
        <f t="shared" si="60"/>
        <v>120</v>
      </c>
      <c r="I293">
        <v>50</v>
      </c>
      <c r="J293" s="60">
        <f t="shared" si="61"/>
        <v>120</v>
      </c>
      <c r="K293" s="60">
        <f t="shared" si="62"/>
        <v>120</v>
      </c>
      <c r="L293">
        <v>156.5</v>
      </c>
      <c r="M293" s="60">
        <f>DK_W_BaseCL[[#This Row],[CL_Fixed]]</f>
        <v>156.5</v>
      </c>
    </row>
    <row r="294" spans="2:13">
      <c r="B294">
        <v>65</v>
      </c>
      <c r="C294">
        <f t="shared" si="63"/>
        <v>120</v>
      </c>
      <c r="D294">
        <f t="shared" si="64"/>
        <v>120</v>
      </c>
      <c r="E294">
        <f t="shared" si="65"/>
        <v>13</v>
      </c>
      <c r="F294">
        <f t="shared" si="60"/>
        <v>120</v>
      </c>
      <c r="I294">
        <v>65</v>
      </c>
      <c r="J294" s="60">
        <f t="shared" si="61"/>
        <v>120</v>
      </c>
      <c r="K294" s="60">
        <f t="shared" si="62"/>
        <v>120</v>
      </c>
      <c r="L294">
        <v>164.5</v>
      </c>
      <c r="M294" s="60">
        <f>DK_W_BaseCL[[#This Row],[CL_Fixed]]</f>
        <v>164.5</v>
      </c>
    </row>
    <row r="295" spans="2:13">
      <c r="B295">
        <v>80</v>
      </c>
      <c r="C295">
        <f t="shared" si="63"/>
        <v>120</v>
      </c>
      <c r="D295">
        <f t="shared" si="64"/>
        <v>120</v>
      </c>
      <c r="E295">
        <f t="shared" si="65"/>
        <v>13</v>
      </c>
      <c r="F295">
        <f t="shared" si="60"/>
        <v>120</v>
      </c>
      <c r="I295">
        <v>80</v>
      </c>
      <c r="J295" s="60">
        <f t="shared" si="61"/>
        <v>120</v>
      </c>
      <c r="K295" s="60">
        <f t="shared" si="62"/>
        <v>120</v>
      </c>
      <c r="L295">
        <v>170.5</v>
      </c>
      <c r="M295" s="60">
        <f>DK_W_BaseCL[[#This Row],[CL_Fixed]]</f>
        <v>170.5</v>
      </c>
    </row>
    <row r="296" spans="2:13">
      <c r="B296">
        <v>100</v>
      </c>
      <c r="C296">
        <f t="shared" si="63"/>
        <v>120</v>
      </c>
      <c r="D296">
        <f t="shared" si="64"/>
        <v>120</v>
      </c>
      <c r="E296">
        <f t="shared" si="65"/>
        <v>13</v>
      </c>
      <c r="F296">
        <f t="shared" si="60"/>
        <v>120</v>
      </c>
      <c r="I296">
        <v>100</v>
      </c>
      <c r="J296" s="60">
        <f t="shared" si="61"/>
        <v>120</v>
      </c>
      <c r="K296" s="60">
        <f t="shared" si="62"/>
        <v>120</v>
      </c>
      <c r="L296">
        <v>185.5</v>
      </c>
      <c r="M296" s="60">
        <f>DK_W_BaseCL[[#This Row],[CL_Fixed]]</f>
        <v>185.5</v>
      </c>
    </row>
    <row r="297" spans="2:13">
      <c r="B297">
        <v>125</v>
      </c>
      <c r="C297">
        <f t="shared" si="63"/>
        <v>200</v>
      </c>
      <c r="D297">
        <f t="shared" si="64"/>
        <v>100</v>
      </c>
      <c r="E297">
        <f t="shared" si="65"/>
        <v>12</v>
      </c>
      <c r="F297">
        <f t="shared" si="60"/>
        <v>144</v>
      </c>
      <c r="I297">
        <v>125</v>
      </c>
      <c r="J297">
        <v>100</v>
      </c>
      <c r="K297">
        <v>144</v>
      </c>
      <c r="L297">
        <v>230</v>
      </c>
      <c r="M297">
        <v>230</v>
      </c>
    </row>
    <row r="298" spans="2:13">
      <c r="B298">
        <v>150</v>
      </c>
      <c r="C298">
        <f t="shared" si="63"/>
        <v>200</v>
      </c>
      <c r="D298">
        <f t="shared" si="64"/>
        <v>100</v>
      </c>
      <c r="E298">
        <f t="shared" si="65"/>
        <v>12</v>
      </c>
      <c r="F298">
        <f t="shared" si="60"/>
        <v>162</v>
      </c>
      <c r="I298">
        <v>150</v>
      </c>
      <c r="J298">
        <v>110</v>
      </c>
      <c r="K298">
        <v>162</v>
      </c>
      <c r="L298">
        <v>245</v>
      </c>
      <c r="M298">
        <v>245</v>
      </c>
    </row>
    <row r="299" spans="2:13">
      <c r="B299">
        <v>200</v>
      </c>
      <c r="C299">
        <f t="shared" si="63"/>
        <v>200</v>
      </c>
      <c r="D299">
        <f t="shared" si="64"/>
        <v>100</v>
      </c>
      <c r="E299">
        <f t="shared" si="65"/>
        <v>12</v>
      </c>
      <c r="F299">
        <f t="shared" si="60"/>
        <v>190</v>
      </c>
      <c r="I299">
        <v>200</v>
      </c>
      <c r="J299">
        <v>126</v>
      </c>
      <c r="K299">
        <v>190</v>
      </c>
      <c r="L299">
        <v>270</v>
      </c>
      <c r="M299">
        <v>270</v>
      </c>
    </row>
    <row r="300" spans="2:13">
      <c r="B300">
        <v>250</v>
      </c>
      <c r="C300">
        <f t="shared" si="63"/>
        <v>200</v>
      </c>
      <c r="D300">
        <f t="shared" si="64"/>
        <v>100</v>
      </c>
      <c r="E300">
        <f t="shared" si="65"/>
        <v>12</v>
      </c>
      <c r="F300">
        <f t="shared" si="60"/>
        <v>215</v>
      </c>
      <c r="I300">
        <v>250</v>
      </c>
      <c r="J300">
        <v>141</v>
      </c>
      <c r="K300">
        <v>215</v>
      </c>
      <c r="L300">
        <v>297</v>
      </c>
      <c r="M300">
        <v>297</v>
      </c>
    </row>
    <row r="301" spans="2:13">
      <c r="B301">
        <v>300</v>
      </c>
      <c r="C301">
        <f t="shared" si="63"/>
        <v>200</v>
      </c>
      <c r="D301">
        <f t="shared" si="64"/>
        <v>100</v>
      </c>
      <c r="E301">
        <f t="shared" si="65"/>
        <v>12</v>
      </c>
      <c r="F301">
        <f t="shared" si="60"/>
        <v>261</v>
      </c>
      <c r="I301">
        <v>300</v>
      </c>
      <c r="J301">
        <v>272</v>
      </c>
      <c r="K301">
        <v>261</v>
      </c>
      <c r="L301">
        <v>322</v>
      </c>
      <c r="M301">
        <v>309</v>
      </c>
    </row>
    <row r="302" spans="2:13">
      <c r="B302">
        <v>350</v>
      </c>
      <c r="C302">
        <f t="shared" si="63"/>
        <v>200</v>
      </c>
      <c r="D302">
        <f t="shared" si="64"/>
        <v>100</v>
      </c>
      <c r="E302">
        <f t="shared" si="65"/>
        <v>12</v>
      </c>
      <c r="F302">
        <f t="shared" si="60"/>
        <v>276</v>
      </c>
      <c r="I302">
        <v>350</v>
      </c>
      <c r="J302">
        <v>288</v>
      </c>
      <c r="K302">
        <v>276</v>
      </c>
      <c r="L302">
        <v>338</v>
      </c>
      <c r="M302">
        <v>325</v>
      </c>
    </row>
    <row r="303" spans="2:13">
      <c r="B303">
        <v>400</v>
      </c>
      <c r="C303">
        <f t="shared" si="63"/>
        <v>200</v>
      </c>
      <c r="D303">
        <f t="shared" si="64"/>
        <v>100</v>
      </c>
      <c r="E303">
        <f t="shared" si="65"/>
        <v>12</v>
      </c>
      <c r="F303">
        <f t="shared" si="60"/>
        <v>303</v>
      </c>
      <c r="I303">
        <v>400</v>
      </c>
      <c r="J303">
        <v>316</v>
      </c>
      <c r="K303">
        <v>303</v>
      </c>
      <c r="L303">
        <v>364</v>
      </c>
      <c r="M303">
        <v>351</v>
      </c>
    </row>
    <row r="304" spans="2:13">
      <c r="B304">
        <v>450</v>
      </c>
      <c r="C304">
        <f t="shared" si="63"/>
        <v>200</v>
      </c>
      <c r="D304">
        <f t="shared" si="64"/>
        <v>100</v>
      </c>
      <c r="E304">
        <f t="shared" si="65"/>
        <v>12</v>
      </c>
      <c r="F304">
        <f t="shared" si="60"/>
        <v>0</v>
      </c>
      <c r="I304">
        <v>450</v>
      </c>
      <c r="J304">
        <v>0</v>
      </c>
      <c r="K304">
        <v>0</v>
      </c>
      <c r="L304">
        <v>0</v>
      </c>
      <c r="M304">
        <v>0</v>
      </c>
    </row>
    <row r="305" spans="2:13">
      <c r="B305">
        <v>500</v>
      </c>
      <c r="C305">
        <f t="shared" si="63"/>
        <v>200</v>
      </c>
      <c r="D305">
        <f t="shared" si="64"/>
        <v>100</v>
      </c>
      <c r="E305">
        <f t="shared" si="65"/>
        <v>12</v>
      </c>
      <c r="F305">
        <f t="shared" si="60"/>
        <v>342</v>
      </c>
      <c r="I305">
        <v>500</v>
      </c>
      <c r="J305">
        <v>360</v>
      </c>
      <c r="K305">
        <v>342</v>
      </c>
      <c r="L305">
        <v>414</v>
      </c>
      <c r="M305">
        <v>401</v>
      </c>
    </row>
    <row r="306" spans="2:13">
      <c r="B306">
        <v>600</v>
      </c>
      <c r="C306">
        <f t="shared" si="63"/>
        <v>200</v>
      </c>
      <c r="D306">
        <f t="shared" si="64"/>
        <v>150</v>
      </c>
      <c r="E306">
        <f t="shared" si="65"/>
        <v>12</v>
      </c>
      <c r="F306">
        <f t="shared" si="60"/>
        <v>378</v>
      </c>
      <c r="I306">
        <v>600</v>
      </c>
      <c r="J306">
        <v>396</v>
      </c>
      <c r="K306">
        <v>378</v>
      </c>
      <c r="L306">
        <v>465</v>
      </c>
      <c r="M306">
        <v>452</v>
      </c>
    </row>
    <row r="307" spans="2:13">
      <c r="B307">
        <v>700</v>
      </c>
      <c r="C307">
        <f t="shared" si="63"/>
        <v>200</v>
      </c>
      <c r="D307">
        <f t="shared" si="64"/>
        <v>150</v>
      </c>
      <c r="E307">
        <f t="shared" si="65"/>
        <v>12</v>
      </c>
      <c r="F307">
        <f t="shared" si="60"/>
        <v>412</v>
      </c>
      <c r="I307">
        <v>700</v>
      </c>
      <c r="J307">
        <v>432</v>
      </c>
      <c r="K307">
        <v>412</v>
      </c>
      <c r="L307">
        <v>515.5</v>
      </c>
      <c r="M307">
        <v>502.5</v>
      </c>
    </row>
    <row r="308" spans="2:13">
      <c r="B308">
        <v>800</v>
      </c>
      <c r="C308">
        <f t="shared" si="63"/>
        <v>200</v>
      </c>
      <c r="D308">
        <f t="shared" si="64"/>
        <v>150</v>
      </c>
      <c r="E308">
        <f t="shared" si="65"/>
        <v>12</v>
      </c>
      <c r="F308">
        <f t="shared" si="60"/>
        <v>442</v>
      </c>
      <c r="I308">
        <v>800</v>
      </c>
      <c r="J308">
        <v>464</v>
      </c>
      <c r="K308">
        <v>442</v>
      </c>
      <c r="L308">
        <v>566.5</v>
      </c>
      <c r="M308">
        <v>553.5</v>
      </c>
    </row>
    <row r="309" spans="2:13">
      <c r="B309">
        <v>900</v>
      </c>
      <c r="C309">
        <f t="shared" si="63"/>
        <v>200</v>
      </c>
      <c r="D309">
        <f t="shared" si="64"/>
        <v>150</v>
      </c>
      <c r="E309">
        <f t="shared" si="65"/>
        <v>12</v>
      </c>
      <c r="F309">
        <f t="shared" si="60"/>
        <v>470</v>
      </c>
      <c r="I309">
        <v>900</v>
      </c>
      <c r="J309">
        <v>492</v>
      </c>
      <c r="K309">
        <v>470</v>
      </c>
      <c r="L309">
        <v>617</v>
      </c>
      <c r="M309">
        <v>604</v>
      </c>
    </row>
    <row r="310" spans="2:13">
      <c r="B310">
        <v>1000</v>
      </c>
      <c r="C310">
        <f t="shared" si="63"/>
        <v>200</v>
      </c>
      <c r="D310">
        <f t="shared" si="64"/>
        <v>150</v>
      </c>
      <c r="E310">
        <f t="shared" si="65"/>
        <v>12</v>
      </c>
      <c r="F310">
        <f t="shared" si="60"/>
        <v>496</v>
      </c>
      <c r="I310">
        <v>1000</v>
      </c>
      <c r="J310">
        <v>522</v>
      </c>
      <c r="K310">
        <v>496</v>
      </c>
      <c r="L310">
        <v>668</v>
      </c>
      <c r="M310">
        <v>655</v>
      </c>
    </row>
    <row r="311" spans="2:13">
      <c r="B311">
        <v>1200</v>
      </c>
      <c r="C311">
        <f t="shared" si="63"/>
        <v>200</v>
      </c>
      <c r="D311">
        <f t="shared" si="64"/>
        <v>150</v>
      </c>
      <c r="E311">
        <f t="shared" si="65"/>
        <v>12</v>
      </c>
      <c r="F311">
        <f t="shared" si="60"/>
        <v>546</v>
      </c>
      <c r="I311">
        <v>1200</v>
      </c>
      <c r="J311">
        <v>574</v>
      </c>
      <c r="K311">
        <v>546</v>
      </c>
      <c r="L311">
        <v>770</v>
      </c>
      <c r="M311">
        <v>757</v>
      </c>
    </row>
    <row r="314" spans="2:13">
      <c r="B314" t="s">
        <v>237</v>
      </c>
      <c r="E314" t="s">
        <v>433</v>
      </c>
    </row>
    <row r="315" spans="2:13">
      <c r="B315" s="15" t="s">
        <v>89</v>
      </c>
      <c r="C315" t="s">
        <v>238</v>
      </c>
      <c r="D315" t="s">
        <v>239</v>
      </c>
      <c r="E315" t="s">
        <v>294</v>
      </c>
      <c r="F315" s="59" t="s">
        <v>382</v>
      </c>
    </row>
    <row r="316" spans="2:13">
      <c r="B316" s="11">
        <v>15</v>
      </c>
      <c r="C316">
        <v>120</v>
      </c>
      <c r="D316">
        <v>120</v>
      </c>
      <c r="E316">
        <v>200</v>
      </c>
      <c r="F316" s="60">
        <f>IF($F$1="leicht",Schuh_Laenge[[#This Row],[Leicht]],IF($F$1="schwer",Schuh_Laenge[[#This Row],[Schwer]]))</f>
        <v>120</v>
      </c>
    </row>
    <row r="317" spans="2:13">
      <c r="B317" s="13">
        <v>20</v>
      </c>
      <c r="C317">
        <v>120</v>
      </c>
      <c r="D317">
        <v>120</v>
      </c>
      <c r="E317">
        <v>300</v>
      </c>
      <c r="F317" s="61">
        <f>IF($F$1="leicht",Schuh_Laenge[[#This Row],[Leicht]],IF($F$1="schwer",Schuh_Laenge[[#This Row],[Schwer]]))</f>
        <v>120</v>
      </c>
    </row>
    <row r="318" spans="2:13">
      <c r="B318" s="11">
        <v>25</v>
      </c>
      <c r="C318">
        <v>120</v>
      </c>
      <c r="D318">
        <v>120</v>
      </c>
      <c r="E318">
        <v>300</v>
      </c>
      <c r="F318" s="62">
        <f>IF($F$1="leicht",Schuh_Laenge[[#This Row],[Leicht]],IF($F$1="schwer",Schuh_Laenge[[#This Row],[Schwer]]))</f>
        <v>120</v>
      </c>
    </row>
    <row r="319" spans="2:13">
      <c r="B319" s="13">
        <v>32</v>
      </c>
      <c r="C319">
        <v>120</v>
      </c>
      <c r="D319">
        <v>120</v>
      </c>
      <c r="E319">
        <v>300</v>
      </c>
      <c r="F319" s="61">
        <f>IF($F$1="leicht",Schuh_Laenge[[#This Row],[Leicht]],IF($F$1="schwer",Schuh_Laenge[[#This Row],[Schwer]]))</f>
        <v>120</v>
      </c>
    </row>
    <row r="320" spans="2:13">
      <c r="B320" s="11">
        <v>40</v>
      </c>
      <c r="C320">
        <v>120</v>
      </c>
      <c r="D320">
        <v>120</v>
      </c>
      <c r="E320">
        <v>300</v>
      </c>
      <c r="F320" s="62">
        <f>IF($F$1="leicht",Schuh_Laenge[[#This Row],[Leicht]],IF($F$1="schwer",Schuh_Laenge[[#This Row],[Schwer]]))</f>
        <v>120</v>
      </c>
    </row>
    <row r="321" spans="2:6">
      <c r="B321" s="13">
        <v>50</v>
      </c>
      <c r="C321">
        <v>120</v>
      </c>
      <c r="D321">
        <v>120</v>
      </c>
      <c r="E321">
        <v>300</v>
      </c>
      <c r="F321" s="61">
        <f>IF($F$1="leicht",Schuh_Laenge[[#This Row],[Leicht]],IF($F$1="schwer",Schuh_Laenge[[#This Row],[Schwer]]))</f>
        <v>120</v>
      </c>
    </row>
    <row r="322" spans="2:6">
      <c r="B322" s="11">
        <v>65</v>
      </c>
      <c r="C322">
        <v>120</v>
      </c>
      <c r="D322">
        <v>120</v>
      </c>
      <c r="E322">
        <v>300</v>
      </c>
      <c r="F322" s="62">
        <f>IF($F$1="leicht",Schuh_Laenge[[#This Row],[Leicht]],IF($F$1="schwer",Schuh_Laenge[[#This Row],[Schwer]]))</f>
        <v>120</v>
      </c>
    </row>
    <row r="323" spans="2:6">
      <c r="B323" s="13">
        <v>80</v>
      </c>
      <c r="C323">
        <v>120</v>
      </c>
      <c r="D323">
        <v>120</v>
      </c>
      <c r="E323">
        <v>300</v>
      </c>
      <c r="F323" s="61">
        <f>IF($F$1="leicht",Schuh_Laenge[[#This Row],[Leicht]],IF($F$1="schwer",Schuh_Laenge[[#This Row],[Schwer]]))</f>
        <v>120</v>
      </c>
    </row>
    <row r="324" spans="2:6">
      <c r="B324" s="11">
        <v>100</v>
      </c>
      <c r="C324">
        <v>120</v>
      </c>
      <c r="D324">
        <v>300</v>
      </c>
      <c r="E324">
        <v>300</v>
      </c>
      <c r="F324" s="62">
        <f>IF($F$1="leicht",Schuh_Laenge[[#This Row],[Leicht]],IF($F$1="schwer",Schuh_Laenge[[#This Row],[Schwer]]))</f>
        <v>300</v>
      </c>
    </row>
    <row r="325" spans="2:6">
      <c r="B325" s="13">
        <v>125</v>
      </c>
      <c r="C325">
        <v>200</v>
      </c>
      <c r="D325">
        <v>300</v>
      </c>
      <c r="E325">
        <v>300</v>
      </c>
      <c r="F325" s="61">
        <f>IF($F$1="leicht",Schuh_Laenge[[#This Row],[Leicht]],IF($F$1="schwer",Schuh_Laenge[[#This Row],[Schwer]]))</f>
        <v>300</v>
      </c>
    </row>
    <row r="326" spans="2:6">
      <c r="B326" s="11">
        <v>150</v>
      </c>
      <c r="C326">
        <v>200</v>
      </c>
      <c r="D326">
        <v>300</v>
      </c>
      <c r="E326">
        <v>300</v>
      </c>
      <c r="F326" s="62">
        <f>IF($F$1="leicht",Schuh_Laenge[[#This Row],[Leicht]],IF($F$1="schwer",Schuh_Laenge[[#This Row],[Schwer]]))</f>
        <v>300</v>
      </c>
    </row>
    <row r="327" spans="2:6">
      <c r="B327" s="13">
        <v>200</v>
      </c>
      <c r="C327">
        <v>300</v>
      </c>
      <c r="D327">
        <v>300</v>
      </c>
      <c r="E327">
        <v>300</v>
      </c>
      <c r="F327" s="61">
        <f>IF($F$1="leicht",Schuh_Laenge[[#This Row],[Leicht]],IF($F$1="schwer",Schuh_Laenge[[#This Row],[Schwer]]))</f>
        <v>300</v>
      </c>
    </row>
    <row r="328" spans="2:6">
      <c r="B328" s="11">
        <v>250</v>
      </c>
      <c r="C328">
        <v>300</v>
      </c>
      <c r="D328">
        <v>300</v>
      </c>
      <c r="E328">
        <v>300</v>
      </c>
      <c r="F328" s="62">
        <f>IF($F$1="leicht",Schuh_Laenge[[#This Row],[Leicht]],IF($F$1="schwer",Schuh_Laenge[[#This Row],[Schwer]]))</f>
        <v>300</v>
      </c>
    </row>
    <row r="329" spans="2:6">
      <c r="B329" s="13">
        <v>300</v>
      </c>
      <c r="C329">
        <v>300</v>
      </c>
      <c r="D329">
        <v>300</v>
      </c>
      <c r="E329">
        <v>400</v>
      </c>
      <c r="F329" s="61">
        <f>IF($F$1="leicht",Schuh_Laenge[[#This Row],[Leicht]],IF($F$1="schwer",Schuh_Laenge[[#This Row],[Schwer]]))</f>
        <v>300</v>
      </c>
    </row>
    <row r="330" spans="2:6">
      <c r="B330" s="11">
        <v>350</v>
      </c>
      <c r="C330">
        <v>300</v>
      </c>
      <c r="D330">
        <v>300</v>
      </c>
      <c r="E330">
        <v>400</v>
      </c>
      <c r="F330" s="62">
        <f>IF($F$1="leicht",Schuh_Laenge[[#This Row],[Leicht]],IF($F$1="schwer",Schuh_Laenge[[#This Row],[Schwer]]))</f>
        <v>300</v>
      </c>
    </row>
    <row r="331" spans="2:6">
      <c r="B331" s="13">
        <v>400</v>
      </c>
      <c r="C331">
        <v>400</v>
      </c>
      <c r="D331">
        <v>400</v>
      </c>
      <c r="E331">
        <v>400</v>
      </c>
      <c r="F331" s="61">
        <f>IF($F$1="leicht",Schuh_Laenge[[#This Row],[Leicht]],IF($F$1="schwer",Schuh_Laenge[[#This Row],[Schwer]]))</f>
        <v>400</v>
      </c>
    </row>
    <row r="332" spans="2:6">
      <c r="B332" s="11">
        <v>450</v>
      </c>
      <c r="C332">
        <v>400</v>
      </c>
      <c r="D332">
        <v>400</v>
      </c>
      <c r="E332">
        <v>400</v>
      </c>
      <c r="F332" s="62">
        <f>IF($F$1="leicht",Schuh_Laenge[[#This Row],[Leicht]],IF($F$1="schwer",Schuh_Laenge[[#This Row],[Schwer]]))</f>
        <v>400</v>
      </c>
    </row>
    <row r="333" spans="2:6">
      <c r="B333" s="13">
        <v>500</v>
      </c>
      <c r="C333">
        <v>400</v>
      </c>
      <c r="D333">
        <v>400</v>
      </c>
      <c r="E333">
        <v>400</v>
      </c>
      <c r="F333" s="61">
        <f>IF($F$1="leicht",Schuh_Laenge[[#This Row],[Leicht]],IF($F$1="schwer",Schuh_Laenge[[#This Row],[Schwer]]))</f>
        <v>400</v>
      </c>
    </row>
    <row r="334" spans="2:6">
      <c r="B334" s="11">
        <v>600</v>
      </c>
      <c r="C334">
        <v>400</v>
      </c>
      <c r="D334">
        <v>400</v>
      </c>
      <c r="E334">
        <v>500</v>
      </c>
      <c r="F334" s="62">
        <f>IF($F$1="leicht",Schuh_Laenge[[#This Row],[Leicht]],IF($F$1="schwer",Schuh_Laenge[[#This Row],[Schwer]]))</f>
        <v>400</v>
      </c>
    </row>
    <row r="335" spans="2:6">
      <c r="B335" s="13">
        <v>700</v>
      </c>
      <c r="C335">
        <v>400</v>
      </c>
      <c r="D335">
        <v>400</v>
      </c>
      <c r="E335">
        <v>500</v>
      </c>
      <c r="F335" s="61">
        <f>IF($F$1="leicht",Schuh_Laenge[[#This Row],[Leicht]],IF($F$1="schwer",Schuh_Laenge[[#This Row],[Schwer]]))</f>
        <v>400</v>
      </c>
    </row>
    <row r="336" spans="2:6">
      <c r="B336" s="11">
        <v>800</v>
      </c>
      <c r="C336">
        <v>400</v>
      </c>
      <c r="D336">
        <v>400</v>
      </c>
      <c r="E336">
        <v>500</v>
      </c>
      <c r="F336" s="62">
        <f>IF($F$1="leicht",Schuh_Laenge[[#This Row],[Leicht]],IF($F$1="schwer",Schuh_Laenge[[#This Row],[Schwer]]))</f>
        <v>400</v>
      </c>
    </row>
    <row r="337" spans="2:6">
      <c r="B337" s="13">
        <v>900</v>
      </c>
      <c r="C337">
        <v>400</v>
      </c>
      <c r="D337">
        <v>400</v>
      </c>
      <c r="E337">
        <v>500</v>
      </c>
      <c r="F337" s="61">
        <f>IF($F$1="leicht",Schuh_Laenge[[#This Row],[Leicht]],IF($F$1="schwer",Schuh_Laenge[[#This Row],[Schwer]]))</f>
        <v>400</v>
      </c>
    </row>
    <row r="338" spans="2:6">
      <c r="B338" s="11">
        <v>1000</v>
      </c>
      <c r="C338">
        <v>400</v>
      </c>
      <c r="D338">
        <v>400</v>
      </c>
      <c r="E338">
        <v>500</v>
      </c>
      <c r="F338" s="62">
        <f>IF($F$1="leicht",Schuh_Laenge[[#This Row],[Leicht]],IF($F$1="schwer",Schuh_Laenge[[#This Row],[Schwer]]))</f>
        <v>400</v>
      </c>
    </row>
    <row r="339" spans="2:6">
      <c r="B339" s="13">
        <v>1200</v>
      </c>
      <c r="C339">
        <v>500</v>
      </c>
      <c r="D339">
        <v>500</v>
      </c>
      <c r="E339">
        <v>500</v>
      </c>
      <c r="F339" s="54">
        <f>IF($F$1="leicht",Schuh_Laenge[[#This Row],[Leicht]],IF($F$1="schwer",Schuh_Laenge[[#This Row],[Schwer]]))</f>
        <v>500</v>
      </c>
    </row>
    <row r="342" spans="2:6">
      <c r="B342" t="s">
        <v>254</v>
      </c>
    </row>
    <row r="343" spans="2:6">
      <c r="B343" s="17" t="s">
        <v>89</v>
      </c>
      <c r="C343" s="17" t="s">
        <v>238</v>
      </c>
      <c r="D343" s="17" t="s">
        <v>239</v>
      </c>
      <c r="E343" s="18" t="s">
        <v>255</v>
      </c>
      <c r="F343" s="59" t="s">
        <v>386</v>
      </c>
    </row>
    <row r="344" spans="2:6">
      <c r="B344" s="11">
        <v>15</v>
      </c>
      <c r="C344" t="s">
        <v>59</v>
      </c>
      <c r="D344" t="s">
        <v>59</v>
      </c>
      <c r="E344" t="s">
        <v>59</v>
      </c>
      <c r="F344" s="60" t="str">
        <f>IF($F$1="leicht",Schelle_Abs_vom_Rand[[#This Row],[Leicht]],IF($F$1="schwer",Schelle_Abs_vom_Rand[[#This Row],[Schwer]]))</f>
        <v>x</v>
      </c>
    </row>
    <row r="345" spans="2:6">
      <c r="B345" s="13">
        <v>20</v>
      </c>
      <c r="C345" t="s">
        <v>59</v>
      </c>
      <c r="D345" t="s">
        <v>59</v>
      </c>
      <c r="E345" t="s">
        <v>59</v>
      </c>
      <c r="F345" s="61" t="str">
        <f>IF($F$1="leicht",Schelle_Abs_vom_Rand[[#This Row],[Leicht]],IF($F$1="schwer",Schelle_Abs_vom_Rand[[#This Row],[Schwer]]))</f>
        <v>x</v>
      </c>
    </row>
    <row r="346" spans="2:6">
      <c r="B346" s="11">
        <v>25</v>
      </c>
      <c r="C346" t="s">
        <v>59</v>
      </c>
      <c r="D346" t="s">
        <v>59</v>
      </c>
      <c r="E346" t="s">
        <v>59</v>
      </c>
      <c r="F346" s="62" t="str">
        <f>IF($F$1="leicht",Schelle_Abs_vom_Rand[[#This Row],[Leicht]],IF($F$1="schwer",Schelle_Abs_vom_Rand[[#This Row],[Schwer]]))</f>
        <v>x</v>
      </c>
    </row>
    <row r="347" spans="2:6">
      <c r="B347" s="13">
        <v>32</v>
      </c>
      <c r="C347" t="s">
        <v>59</v>
      </c>
      <c r="D347" t="s">
        <v>59</v>
      </c>
      <c r="E347" t="s">
        <v>59</v>
      </c>
      <c r="F347" s="61" t="str">
        <f>IF($F$1="leicht",Schelle_Abs_vom_Rand[[#This Row],[Leicht]],IF($F$1="schwer",Schelle_Abs_vom_Rand[[#This Row],[Schwer]]))</f>
        <v>x</v>
      </c>
    </row>
    <row r="348" spans="2:6">
      <c r="B348" s="11">
        <v>40</v>
      </c>
      <c r="C348" t="s">
        <v>59</v>
      </c>
      <c r="D348" t="s">
        <v>59</v>
      </c>
      <c r="E348" t="s">
        <v>59</v>
      </c>
      <c r="F348" s="62" t="str">
        <f>IF($F$1="leicht",Schelle_Abs_vom_Rand[[#This Row],[Leicht]],IF($F$1="schwer",Schelle_Abs_vom_Rand[[#This Row],[Schwer]]))</f>
        <v>x</v>
      </c>
    </row>
    <row r="349" spans="2:6">
      <c r="B349" s="13">
        <v>50</v>
      </c>
      <c r="C349" t="s">
        <v>59</v>
      </c>
      <c r="D349" t="s">
        <v>59</v>
      </c>
      <c r="E349" t="s">
        <v>59</v>
      </c>
      <c r="F349" s="61" t="str">
        <f>IF($F$1="leicht",Schelle_Abs_vom_Rand[[#This Row],[Leicht]],IF($F$1="schwer",Schelle_Abs_vom_Rand[[#This Row],[Schwer]]))</f>
        <v>x</v>
      </c>
    </row>
    <row r="350" spans="2:6">
      <c r="B350" s="11">
        <v>65</v>
      </c>
      <c r="C350" t="s">
        <v>59</v>
      </c>
      <c r="D350" t="s">
        <v>59</v>
      </c>
      <c r="E350" t="s">
        <v>59</v>
      </c>
      <c r="F350" s="62" t="str">
        <f>IF($F$1="leicht",Schelle_Abs_vom_Rand[[#This Row],[Leicht]],IF($F$1="schwer",Schelle_Abs_vom_Rand[[#This Row],[Schwer]]))</f>
        <v>x</v>
      </c>
    </row>
    <row r="351" spans="2:6">
      <c r="B351" s="13">
        <v>80</v>
      </c>
      <c r="C351" t="s">
        <v>59</v>
      </c>
      <c r="D351" t="s">
        <v>59</v>
      </c>
      <c r="E351" t="s">
        <v>59</v>
      </c>
      <c r="F351" s="61" t="str">
        <f>IF($F$1="leicht",Schelle_Abs_vom_Rand[[#This Row],[Leicht]],IF($F$1="schwer",Schelle_Abs_vom_Rand[[#This Row],[Schwer]]))</f>
        <v>x</v>
      </c>
    </row>
    <row r="352" spans="2:6">
      <c r="B352" s="11">
        <v>100</v>
      </c>
      <c r="C352" t="s">
        <v>59</v>
      </c>
      <c r="D352">
        <v>10</v>
      </c>
      <c r="E352" t="s">
        <v>59</v>
      </c>
      <c r="F352" s="62">
        <f>IF($F$1="leicht",Schelle_Abs_vom_Rand[[#This Row],[Leicht]],IF($F$1="schwer",Schelle_Abs_vom_Rand[[#This Row],[Schwer]]))</f>
        <v>10</v>
      </c>
    </row>
    <row r="353" spans="2:6">
      <c r="B353" s="13">
        <v>125</v>
      </c>
      <c r="C353" t="s">
        <v>59</v>
      </c>
      <c r="D353">
        <v>10</v>
      </c>
      <c r="E353">
        <v>20</v>
      </c>
      <c r="F353" s="61">
        <f>IF($F$1="leicht",Schelle_Abs_vom_Rand[[#This Row],[Leicht]],IF($F$1="schwer",Schelle_Abs_vom_Rand[[#This Row],[Schwer]]))</f>
        <v>10</v>
      </c>
    </row>
    <row r="354" spans="2:6">
      <c r="B354" s="11">
        <v>150</v>
      </c>
      <c r="C354" t="s">
        <v>59</v>
      </c>
      <c r="D354">
        <v>10</v>
      </c>
      <c r="E354">
        <v>20</v>
      </c>
      <c r="F354" s="62">
        <f>IF($F$1="leicht",Schelle_Abs_vom_Rand[[#This Row],[Leicht]],IF($F$1="schwer",Schelle_Abs_vom_Rand[[#This Row],[Schwer]]))</f>
        <v>10</v>
      </c>
    </row>
    <row r="355" spans="2:6">
      <c r="B355" s="13">
        <v>200</v>
      </c>
      <c r="C355">
        <v>10</v>
      </c>
      <c r="D355">
        <v>10</v>
      </c>
      <c r="E355">
        <v>20</v>
      </c>
      <c r="F355" s="61">
        <f>IF($F$1="leicht",Schelle_Abs_vom_Rand[[#This Row],[Leicht]],IF($F$1="schwer",Schelle_Abs_vom_Rand[[#This Row],[Schwer]]))</f>
        <v>10</v>
      </c>
    </row>
    <row r="356" spans="2:6">
      <c r="B356" s="11">
        <v>250</v>
      </c>
      <c r="C356">
        <v>10</v>
      </c>
      <c r="D356">
        <v>10</v>
      </c>
      <c r="E356">
        <v>20</v>
      </c>
      <c r="F356" s="62">
        <f>IF($F$1="leicht",Schelle_Abs_vom_Rand[[#This Row],[Leicht]],IF($F$1="schwer",Schelle_Abs_vom_Rand[[#This Row],[Schwer]]))</f>
        <v>10</v>
      </c>
    </row>
    <row r="357" spans="2:6">
      <c r="B357" s="13">
        <v>300</v>
      </c>
      <c r="C357">
        <v>10</v>
      </c>
      <c r="D357">
        <v>10</v>
      </c>
      <c r="E357">
        <v>20</v>
      </c>
      <c r="F357" s="61">
        <f>IF($F$1="leicht",Schelle_Abs_vom_Rand[[#This Row],[Leicht]],IF($F$1="schwer",Schelle_Abs_vom_Rand[[#This Row],[Schwer]]))</f>
        <v>10</v>
      </c>
    </row>
    <row r="358" spans="2:6">
      <c r="B358" s="11">
        <v>350</v>
      </c>
      <c r="C358">
        <v>10</v>
      </c>
      <c r="D358">
        <v>10</v>
      </c>
      <c r="E358">
        <v>20</v>
      </c>
      <c r="F358" s="62">
        <f>IF($F$1="leicht",Schelle_Abs_vom_Rand[[#This Row],[Leicht]],IF($F$1="schwer",Schelle_Abs_vom_Rand[[#This Row],[Schwer]]))</f>
        <v>10</v>
      </c>
    </row>
    <row r="359" spans="2:6">
      <c r="B359" s="13">
        <v>400</v>
      </c>
      <c r="C359">
        <v>10</v>
      </c>
      <c r="D359">
        <v>10</v>
      </c>
      <c r="E359">
        <v>20</v>
      </c>
      <c r="F359" s="61">
        <f>IF($F$1="leicht",Schelle_Abs_vom_Rand[[#This Row],[Leicht]],IF($F$1="schwer",Schelle_Abs_vom_Rand[[#This Row],[Schwer]]))</f>
        <v>10</v>
      </c>
    </row>
    <row r="360" spans="2:6">
      <c r="B360" s="11">
        <v>450</v>
      </c>
      <c r="C360">
        <v>10</v>
      </c>
      <c r="D360">
        <v>10</v>
      </c>
      <c r="E360">
        <v>20</v>
      </c>
      <c r="F360" s="62">
        <f>IF($F$1="leicht",Schelle_Abs_vom_Rand[[#This Row],[Leicht]],IF($F$1="schwer",Schelle_Abs_vom_Rand[[#This Row],[Schwer]]))</f>
        <v>10</v>
      </c>
    </row>
    <row r="361" spans="2:6">
      <c r="B361" s="13">
        <v>500</v>
      </c>
      <c r="C361">
        <v>10</v>
      </c>
      <c r="D361">
        <v>10</v>
      </c>
      <c r="E361">
        <v>10</v>
      </c>
      <c r="F361" s="61">
        <f>IF($F$1="leicht",Schelle_Abs_vom_Rand[[#This Row],[Leicht]],IF($F$1="schwer",Schelle_Abs_vom_Rand[[#This Row],[Schwer]]))</f>
        <v>10</v>
      </c>
    </row>
    <row r="362" spans="2:6">
      <c r="B362" s="11">
        <v>600</v>
      </c>
      <c r="C362">
        <v>10</v>
      </c>
      <c r="D362">
        <v>10</v>
      </c>
      <c r="E362">
        <v>20</v>
      </c>
      <c r="F362" s="62">
        <f>IF($F$1="leicht",Schelle_Abs_vom_Rand[[#This Row],[Leicht]],IF($F$1="schwer",Schelle_Abs_vom_Rand[[#This Row],[Schwer]]))</f>
        <v>10</v>
      </c>
    </row>
    <row r="363" spans="2:6">
      <c r="B363" s="13">
        <v>700</v>
      </c>
      <c r="C363">
        <v>10</v>
      </c>
      <c r="D363">
        <v>10</v>
      </c>
      <c r="E363">
        <v>20</v>
      </c>
      <c r="F363" s="61">
        <f>IF($F$1="leicht",Schelle_Abs_vom_Rand[[#This Row],[Leicht]],IF($F$1="schwer",Schelle_Abs_vom_Rand[[#This Row],[Schwer]]))</f>
        <v>10</v>
      </c>
    </row>
    <row r="364" spans="2:6">
      <c r="B364" s="11">
        <v>800</v>
      </c>
      <c r="C364">
        <v>10</v>
      </c>
      <c r="D364">
        <v>10</v>
      </c>
      <c r="E364">
        <v>20</v>
      </c>
      <c r="F364" s="62">
        <f>IF($F$1="leicht",Schelle_Abs_vom_Rand[[#This Row],[Leicht]],IF($F$1="schwer",Schelle_Abs_vom_Rand[[#This Row],[Schwer]]))</f>
        <v>10</v>
      </c>
    </row>
    <row r="365" spans="2:6">
      <c r="B365" s="13">
        <v>900</v>
      </c>
      <c r="C365">
        <v>10</v>
      </c>
      <c r="D365">
        <v>10</v>
      </c>
      <c r="E365">
        <v>20</v>
      </c>
      <c r="F365" s="61">
        <f>IF($F$1="leicht",Schelle_Abs_vom_Rand[[#This Row],[Leicht]],IF($F$1="schwer",Schelle_Abs_vom_Rand[[#This Row],[Schwer]]))</f>
        <v>10</v>
      </c>
    </row>
    <row r="366" spans="2:6">
      <c r="B366" s="11">
        <v>1000</v>
      </c>
      <c r="C366">
        <v>10</v>
      </c>
      <c r="D366">
        <v>10</v>
      </c>
      <c r="E366">
        <v>20</v>
      </c>
      <c r="F366" s="62">
        <f>IF($F$1="leicht",Schelle_Abs_vom_Rand[[#This Row],[Leicht]],IF($F$1="schwer",Schelle_Abs_vom_Rand[[#This Row],[Schwer]]))</f>
        <v>10</v>
      </c>
    </row>
    <row r="367" spans="2:6">
      <c r="B367" s="13">
        <v>1200</v>
      </c>
      <c r="C367">
        <v>10</v>
      </c>
      <c r="D367">
        <v>10</v>
      </c>
      <c r="E367">
        <v>20</v>
      </c>
      <c r="F367" s="54">
        <f>IF($F$1="leicht",Schelle_Abs_vom_Rand[[#This Row],[Leicht]],IF($F$1="schwer",Schelle_Abs_vom_Rand[[#This Row],[Schwer]]))</f>
        <v>10</v>
      </c>
    </row>
    <row r="370" spans="2:36">
      <c r="B370" t="s">
        <v>256</v>
      </c>
      <c r="C370" s="15" t="s">
        <v>238</v>
      </c>
      <c r="E370" t="s">
        <v>793</v>
      </c>
      <c r="L370" s="15" t="s">
        <v>239</v>
      </c>
      <c r="O370" t="s">
        <v>793</v>
      </c>
      <c r="V370" s="16" t="s">
        <v>421</v>
      </c>
      <c r="Y370" t="s">
        <v>800</v>
      </c>
      <c r="AJ370" s="33"/>
    </row>
    <row r="371" spans="2:36">
      <c r="B371" s="15" t="s">
        <v>89</v>
      </c>
      <c r="C371" s="15" t="s">
        <v>257</v>
      </c>
      <c r="D371" t="s">
        <v>258</v>
      </c>
      <c r="E371" t="s">
        <v>259</v>
      </c>
      <c r="F371" t="s">
        <v>260</v>
      </c>
      <c r="G371" t="s">
        <v>261</v>
      </c>
      <c r="H371" t="s">
        <v>262</v>
      </c>
      <c r="I371" t="s">
        <v>263</v>
      </c>
      <c r="J371" t="s">
        <v>264</v>
      </c>
      <c r="L371" s="41" t="s">
        <v>89</v>
      </c>
      <c r="M371" s="15" t="s">
        <v>257</v>
      </c>
      <c r="N371" t="s">
        <v>258</v>
      </c>
      <c r="O371" t="s">
        <v>259</v>
      </c>
      <c r="P371" t="s">
        <v>260</v>
      </c>
      <c r="Q371" t="s">
        <v>261</v>
      </c>
      <c r="R371" t="s">
        <v>262</v>
      </c>
      <c r="S371" t="s">
        <v>263</v>
      </c>
      <c r="T371" t="s">
        <v>264</v>
      </c>
      <c r="V371" s="41" t="s">
        <v>89</v>
      </c>
      <c r="W371" s="15" t="s">
        <v>257</v>
      </c>
      <c r="X371" t="s">
        <v>258</v>
      </c>
      <c r="Y371" t="s">
        <v>259</v>
      </c>
      <c r="Z371" t="s">
        <v>260</v>
      </c>
      <c r="AA371" t="s">
        <v>261</v>
      </c>
      <c r="AB371" t="s">
        <v>262</v>
      </c>
      <c r="AC371" t="s">
        <v>263</v>
      </c>
      <c r="AD371" t="s">
        <v>264</v>
      </c>
      <c r="AJ371" s="33"/>
    </row>
    <row r="372" spans="2:36">
      <c r="B372" s="11">
        <v>15</v>
      </c>
      <c r="C372">
        <v>30</v>
      </c>
      <c r="D372">
        <v>10</v>
      </c>
      <c r="E372">
        <f>(((Guide_Leicht[[#This Row],[GBWI]]*Guide_Leicht[[#This Row],[GBHE]])-((Guide_Leicht[[#This Row],[GBWI]]-Guide_Leicht[[#This Row],[GBBW]])*Guide_Leicht[[#This Row],[GBIH]]))*Guide_Leicht[[#This Row],[GBLE]])*$H$1/1000</f>
        <v>9.3599999999999989E-2</v>
      </c>
      <c r="F372">
        <v>50</v>
      </c>
      <c r="G372">
        <v>20</v>
      </c>
      <c r="H372">
        <v>15</v>
      </c>
      <c r="I372">
        <v>0</v>
      </c>
      <c r="J372">
        <v>3</v>
      </c>
      <c r="L372" s="40">
        <v>15</v>
      </c>
      <c r="M372">
        <v>30</v>
      </c>
      <c r="N372">
        <v>10</v>
      </c>
      <c r="O372">
        <f>(((Guide_Schwer[[#This Row],[GBWI]]*Guide_Schwer[[#This Row],[GBHE]])-((Guide_Schwer[[#This Row],[GBWI]]-Guide_Schwer[[#This Row],[GBBW]])*Guide_Schwer[[#This Row],[GBIH]]))*Guide_Schwer[[#This Row],[GBLE]])*$H$1/1000</f>
        <v>9.3599999999999989E-2</v>
      </c>
      <c r="P372">
        <v>50</v>
      </c>
      <c r="Q372">
        <v>20</v>
      </c>
      <c r="R372">
        <v>15</v>
      </c>
      <c r="S372">
        <v>0</v>
      </c>
      <c r="T372">
        <v>3</v>
      </c>
      <c r="V372" s="40">
        <v>15</v>
      </c>
      <c r="W372">
        <v>30</v>
      </c>
      <c r="X372">
        <v>17</v>
      </c>
      <c r="Y372">
        <f>IF(E494,((((Guide_DK[[#This Row],[GBWI]]*Guide_DK[[#This Row],[GBHE]])-((Guide_DK[[#This Row],[GBWI]]-Guide_DK[[#This Row],[GBBW]])*Guide_DK[[#This Row],[GBIH]]))*Guide_DK[[#This Row],[GBLE]])*$K$1/1000)*2,0)</f>
        <v>0</v>
      </c>
      <c r="Z372">
        <v>55</v>
      </c>
      <c r="AA372">
        <v>30</v>
      </c>
      <c r="AB372">
        <v>10</v>
      </c>
      <c r="AC372">
        <v>0</v>
      </c>
      <c r="AD372">
        <v>4</v>
      </c>
    </row>
    <row r="373" spans="2:36">
      <c r="B373" s="13">
        <v>20</v>
      </c>
      <c r="C373">
        <v>30</v>
      </c>
      <c r="D373">
        <v>10</v>
      </c>
      <c r="E373">
        <f>(((Guide_Leicht[[#This Row],[GBWI]]*Guide_Leicht[[#This Row],[GBHE]])-((Guide_Leicht[[#This Row],[GBWI]]-Guide_Leicht[[#This Row],[GBBW]])*Guide_Leicht[[#This Row],[GBIH]]))*Guide_Leicht[[#This Row],[GBLE]])*$H$1/1000</f>
        <v>9.3599999999999989E-2</v>
      </c>
      <c r="F373">
        <v>50</v>
      </c>
      <c r="G373">
        <v>20</v>
      </c>
      <c r="H373">
        <v>15</v>
      </c>
      <c r="I373">
        <v>0</v>
      </c>
      <c r="J373">
        <v>3</v>
      </c>
      <c r="L373" s="39">
        <v>20</v>
      </c>
      <c r="M373">
        <v>30</v>
      </c>
      <c r="N373">
        <v>10</v>
      </c>
      <c r="O373">
        <f>(((Guide_Schwer[[#This Row],[GBWI]]*Guide_Schwer[[#This Row],[GBHE]])-((Guide_Schwer[[#This Row],[GBWI]]-Guide_Schwer[[#This Row],[GBBW]])*Guide_Schwer[[#This Row],[GBIH]]))*Guide_Schwer[[#This Row],[GBLE]])*$H$1/1000</f>
        <v>9.3599999999999989E-2</v>
      </c>
      <c r="P373">
        <v>50</v>
      </c>
      <c r="Q373">
        <v>20</v>
      </c>
      <c r="R373">
        <v>15</v>
      </c>
      <c r="S373">
        <v>0</v>
      </c>
      <c r="T373">
        <v>3</v>
      </c>
      <c r="V373" s="39">
        <v>20</v>
      </c>
      <c r="W373">
        <v>30</v>
      </c>
      <c r="X373">
        <v>17</v>
      </c>
      <c r="Y373">
        <f>IF(E495,((((Guide_DK[[#This Row],[GBWI]]*Guide_DK[[#This Row],[GBHE]])-((Guide_DK[[#This Row],[GBWI]]-Guide_DK[[#This Row],[GBBW]])*Guide_DK[[#This Row],[GBIH]]))*Guide_DK[[#This Row],[GBLE]])*$K$1/1000)*2,0)</f>
        <v>0</v>
      </c>
      <c r="Z373">
        <v>55</v>
      </c>
      <c r="AA373">
        <v>30</v>
      </c>
      <c r="AB373">
        <v>10</v>
      </c>
      <c r="AC373">
        <v>0</v>
      </c>
      <c r="AD373">
        <v>4</v>
      </c>
    </row>
    <row r="374" spans="2:36">
      <c r="B374" s="11">
        <v>25</v>
      </c>
      <c r="C374">
        <v>30</v>
      </c>
      <c r="D374">
        <v>10</v>
      </c>
      <c r="E374">
        <f>(((Guide_Leicht[[#This Row],[GBWI]]*Guide_Leicht[[#This Row],[GBHE]])-((Guide_Leicht[[#This Row],[GBWI]]-Guide_Leicht[[#This Row],[GBBW]])*Guide_Leicht[[#This Row],[GBIH]]))*Guide_Leicht[[#This Row],[GBLE]])*$H$1/1000</f>
        <v>9.3599999999999989E-2</v>
      </c>
      <c r="F374">
        <v>50</v>
      </c>
      <c r="G374">
        <v>20</v>
      </c>
      <c r="H374">
        <v>15</v>
      </c>
      <c r="I374">
        <v>0</v>
      </c>
      <c r="J374">
        <v>3</v>
      </c>
      <c r="L374" s="40">
        <v>25</v>
      </c>
      <c r="M374">
        <v>30</v>
      </c>
      <c r="N374">
        <v>10</v>
      </c>
      <c r="O374">
        <f>(((Guide_Schwer[[#This Row],[GBWI]]*Guide_Schwer[[#This Row],[GBHE]])-((Guide_Schwer[[#This Row],[GBWI]]-Guide_Schwer[[#This Row],[GBBW]])*Guide_Schwer[[#This Row],[GBIH]]))*Guide_Schwer[[#This Row],[GBLE]])*$H$1/1000</f>
        <v>9.3599999999999989E-2</v>
      </c>
      <c r="P374">
        <v>50</v>
      </c>
      <c r="Q374">
        <v>20</v>
      </c>
      <c r="R374">
        <v>15</v>
      </c>
      <c r="S374">
        <v>0</v>
      </c>
      <c r="T374">
        <v>3</v>
      </c>
      <c r="V374" s="40">
        <v>25</v>
      </c>
      <c r="W374">
        <v>30</v>
      </c>
      <c r="X374">
        <v>17</v>
      </c>
      <c r="Y374">
        <f>IF(E496,((((Guide_DK[[#This Row],[GBWI]]*Guide_DK[[#This Row],[GBHE]])-((Guide_DK[[#This Row],[GBWI]]-Guide_DK[[#This Row],[GBBW]])*Guide_DK[[#This Row],[GBIH]]))*Guide_DK[[#This Row],[GBLE]])*$K$1/1000)*2,0)</f>
        <v>0</v>
      </c>
      <c r="Z374">
        <v>55</v>
      </c>
      <c r="AA374">
        <v>30</v>
      </c>
      <c r="AB374">
        <v>10</v>
      </c>
      <c r="AC374">
        <v>0</v>
      </c>
      <c r="AD374">
        <v>4</v>
      </c>
    </row>
    <row r="375" spans="2:36">
      <c r="B375" s="13">
        <v>32</v>
      </c>
      <c r="C375">
        <v>30</v>
      </c>
      <c r="D375">
        <v>10</v>
      </c>
      <c r="E375">
        <f>(((Guide_Leicht[[#This Row],[GBWI]]*Guide_Leicht[[#This Row],[GBHE]])-((Guide_Leicht[[#This Row],[GBWI]]-Guide_Leicht[[#This Row],[GBBW]])*Guide_Leicht[[#This Row],[GBIH]]))*Guide_Leicht[[#This Row],[GBLE]])*$H$1/1000</f>
        <v>9.3599999999999989E-2</v>
      </c>
      <c r="F375">
        <v>50</v>
      </c>
      <c r="G375">
        <v>20</v>
      </c>
      <c r="H375">
        <v>15</v>
      </c>
      <c r="I375">
        <v>0</v>
      </c>
      <c r="J375">
        <v>3</v>
      </c>
      <c r="L375" s="39">
        <v>32</v>
      </c>
      <c r="M375">
        <v>30</v>
      </c>
      <c r="N375">
        <v>10</v>
      </c>
      <c r="O375">
        <f>(((Guide_Schwer[[#This Row],[GBWI]]*Guide_Schwer[[#This Row],[GBHE]])-((Guide_Schwer[[#This Row],[GBWI]]-Guide_Schwer[[#This Row],[GBBW]])*Guide_Schwer[[#This Row],[GBIH]]))*Guide_Schwer[[#This Row],[GBLE]])*$H$1/1000</f>
        <v>9.3599999999999989E-2</v>
      </c>
      <c r="P375">
        <v>50</v>
      </c>
      <c r="Q375">
        <v>20</v>
      </c>
      <c r="R375">
        <v>15</v>
      </c>
      <c r="S375">
        <v>0</v>
      </c>
      <c r="T375">
        <v>3</v>
      </c>
      <c r="V375" s="39">
        <v>32</v>
      </c>
      <c r="W375">
        <v>30</v>
      </c>
      <c r="X375">
        <v>17</v>
      </c>
      <c r="Y375">
        <f>IF(E497,((((Guide_DK[[#This Row],[GBWI]]*Guide_DK[[#This Row],[GBHE]])-((Guide_DK[[#This Row],[GBWI]]-Guide_DK[[#This Row],[GBBW]])*Guide_DK[[#This Row],[GBIH]]))*Guide_DK[[#This Row],[GBLE]])*$K$1/1000)*2,0)</f>
        <v>0</v>
      </c>
      <c r="Z375">
        <v>55</v>
      </c>
      <c r="AA375">
        <v>30</v>
      </c>
      <c r="AB375">
        <v>10</v>
      </c>
      <c r="AC375">
        <v>0</v>
      </c>
      <c r="AD375">
        <v>4</v>
      </c>
    </row>
    <row r="376" spans="2:36">
      <c r="B376" s="11">
        <v>40</v>
      </c>
      <c r="C376">
        <v>30</v>
      </c>
      <c r="D376">
        <v>10</v>
      </c>
      <c r="E376">
        <f>(((Guide_Leicht[[#This Row],[GBWI]]*Guide_Leicht[[#This Row],[GBHE]])-((Guide_Leicht[[#This Row],[GBWI]]-Guide_Leicht[[#This Row],[GBBW]])*Guide_Leicht[[#This Row],[GBIH]]))*Guide_Leicht[[#This Row],[GBLE]])*$H$1/1000</f>
        <v>9.3599999999999989E-2</v>
      </c>
      <c r="F376">
        <v>50</v>
      </c>
      <c r="G376">
        <v>20</v>
      </c>
      <c r="H376">
        <v>15</v>
      </c>
      <c r="I376">
        <v>0</v>
      </c>
      <c r="J376">
        <v>3</v>
      </c>
      <c r="L376" s="40">
        <v>40</v>
      </c>
      <c r="M376">
        <v>30</v>
      </c>
      <c r="N376">
        <v>10</v>
      </c>
      <c r="O376">
        <f>(((Guide_Schwer[[#This Row],[GBWI]]*Guide_Schwer[[#This Row],[GBHE]])-((Guide_Schwer[[#This Row],[GBWI]]-Guide_Schwer[[#This Row],[GBBW]])*Guide_Schwer[[#This Row],[GBIH]]))*Guide_Schwer[[#This Row],[GBLE]])*$H$1/1000</f>
        <v>9.3599999999999989E-2</v>
      </c>
      <c r="P376">
        <v>50</v>
      </c>
      <c r="Q376">
        <v>20</v>
      </c>
      <c r="R376">
        <v>15</v>
      </c>
      <c r="S376">
        <v>0</v>
      </c>
      <c r="T376">
        <v>3</v>
      </c>
      <c r="V376" s="40">
        <v>40</v>
      </c>
      <c r="W376">
        <v>30</v>
      </c>
      <c r="X376">
        <v>17</v>
      </c>
      <c r="Y376">
        <f>IF(E498,((((Guide_DK[[#This Row],[GBWI]]*Guide_DK[[#This Row],[GBHE]])-((Guide_DK[[#This Row],[GBWI]]-Guide_DK[[#This Row],[GBBW]])*Guide_DK[[#This Row],[GBIH]]))*Guide_DK[[#This Row],[GBLE]])*$K$1/1000)*2,0)</f>
        <v>0</v>
      </c>
      <c r="Z376">
        <v>55</v>
      </c>
      <c r="AA376">
        <v>30</v>
      </c>
      <c r="AB376">
        <v>10</v>
      </c>
      <c r="AC376">
        <v>0</v>
      </c>
      <c r="AD376">
        <v>4</v>
      </c>
    </row>
    <row r="377" spans="2:36">
      <c r="B377" s="13">
        <v>50</v>
      </c>
      <c r="C377">
        <v>30</v>
      </c>
      <c r="D377">
        <v>10</v>
      </c>
      <c r="E377">
        <f>(((Guide_Leicht[[#This Row],[GBWI]]*Guide_Leicht[[#This Row],[GBHE]])-((Guide_Leicht[[#This Row],[GBWI]]-Guide_Leicht[[#This Row],[GBBW]])*Guide_Leicht[[#This Row],[GBIH]]))*Guide_Leicht[[#This Row],[GBLE]])*$H$1/1000</f>
        <v>9.3599999999999989E-2</v>
      </c>
      <c r="F377">
        <v>50</v>
      </c>
      <c r="G377">
        <v>20</v>
      </c>
      <c r="H377">
        <v>15</v>
      </c>
      <c r="I377">
        <v>0</v>
      </c>
      <c r="J377">
        <v>3</v>
      </c>
      <c r="L377" s="39">
        <v>50</v>
      </c>
      <c r="M377">
        <v>30</v>
      </c>
      <c r="N377">
        <v>10</v>
      </c>
      <c r="O377">
        <f>(((Guide_Schwer[[#This Row],[GBWI]]*Guide_Schwer[[#This Row],[GBHE]])-((Guide_Schwer[[#This Row],[GBWI]]-Guide_Schwer[[#This Row],[GBBW]])*Guide_Schwer[[#This Row],[GBIH]]))*Guide_Schwer[[#This Row],[GBLE]])*$H$1/1000</f>
        <v>9.3599999999999989E-2</v>
      </c>
      <c r="P377">
        <v>50</v>
      </c>
      <c r="Q377">
        <v>20</v>
      </c>
      <c r="R377">
        <v>15</v>
      </c>
      <c r="S377">
        <v>0</v>
      </c>
      <c r="T377">
        <v>3</v>
      </c>
      <c r="V377" s="39">
        <v>50</v>
      </c>
      <c r="W377">
        <v>30</v>
      </c>
      <c r="X377">
        <v>17</v>
      </c>
      <c r="Y377">
        <f>IF(E499,((((Guide_DK[[#This Row],[GBWI]]*Guide_DK[[#This Row],[GBHE]])-((Guide_DK[[#This Row],[GBWI]]-Guide_DK[[#This Row],[GBBW]])*Guide_DK[[#This Row],[GBIH]]))*Guide_DK[[#This Row],[GBLE]])*$K$1/1000)*2,0)</f>
        <v>0</v>
      </c>
      <c r="Z377">
        <v>55</v>
      </c>
      <c r="AA377">
        <v>30</v>
      </c>
      <c r="AB377">
        <v>10</v>
      </c>
      <c r="AC377">
        <v>0</v>
      </c>
      <c r="AD377">
        <v>4</v>
      </c>
    </row>
    <row r="378" spans="2:36">
      <c r="B378" s="11">
        <v>65</v>
      </c>
      <c r="C378">
        <v>30</v>
      </c>
      <c r="D378">
        <v>10</v>
      </c>
      <c r="E378">
        <f>(((Guide_Leicht[[#This Row],[GBWI]]*Guide_Leicht[[#This Row],[GBHE]])-((Guide_Leicht[[#This Row],[GBWI]]-Guide_Leicht[[#This Row],[GBBW]])*Guide_Leicht[[#This Row],[GBIH]]))*Guide_Leicht[[#This Row],[GBLE]])*$H$1/1000</f>
        <v>9.3599999999999989E-2</v>
      </c>
      <c r="F378">
        <v>50</v>
      </c>
      <c r="G378">
        <v>20</v>
      </c>
      <c r="H378">
        <v>15</v>
      </c>
      <c r="I378">
        <v>0</v>
      </c>
      <c r="J378">
        <v>3</v>
      </c>
      <c r="L378" s="40">
        <v>65</v>
      </c>
      <c r="M378">
        <v>30</v>
      </c>
      <c r="N378">
        <v>10</v>
      </c>
      <c r="O378">
        <f>(((Guide_Schwer[[#This Row],[GBWI]]*Guide_Schwer[[#This Row],[GBHE]])-((Guide_Schwer[[#This Row],[GBWI]]-Guide_Schwer[[#This Row],[GBBW]])*Guide_Schwer[[#This Row],[GBIH]]))*Guide_Schwer[[#This Row],[GBLE]])*$H$1/1000</f>
        <v>9.3599999999999989E-2</v>
      </c>
      <c r="P378">
        <v>50</v>
      </c>
      <c r="Q378">
        <v>20</v>
      </c>
      <c r="R378">
        <v>15</v>
      </c>
      <c r="S378">
        <v>0</v>
      </c>
      <c r="T378">
        <v>3</v>
      </c>
      <c r="V378" s="40">
        <v>65</v>
      </c>
      <c r="W378">
        <v>30</v>
      </c>
      <c r="X378">
        <v>17</v>
      </c>
      <c r="Y378">
        <f>IF(E500,((((Guide_DK[[#This Row],[GBWI]]*Guide_DK[[#This Row],[GBHE]])-((Guide_DK[[#This Row],[GBWI]]-Guide_DK[[#This Row],[GBBW]])*Guide_DK[[#This Row],[GBIH]]))*Guide_DK[[#This Row],[GBLE]])*$K$1/1000)*2,0)</f>
        <v>0</v>
      </c>
      <c r="Z378">
        <v>55</v>
      </c>
      <c r="AA378">
        <v>30</v>
      </c>
      <c r="AB378">
        <v>10</v>
      </c>
      <c r="AC378">
        <v>0</v>
      </c>
      <c r="AD378">
        <v>4</v>
      </c>
    </row>
    <row r="379" spans="2:36">
      <c r="B379" s="13">
        <v>80</v>
      </c>
      <c r="C379">
        <v>30</v>
      </c>
      <c r="D379">
        <v>10</v>
      </c>
      <c r="E379">
        <f>(((Guide_Leicht[[#This Row],[GBWI]]*Guide_Leicht[[#This Row],[GBHE]])-((Guide_Leicht[[#This Row],[GBWI]]-Guide_Leicht[[#This Row],[GBBW]])*Guide_Leicht[[#This Row],[GBIH]]))*Guide_Leicht[[#This Row],[GBLE]])*$H$1/1000</f>
        <v>9.3599999999999989E-2</v>
      </c>
      <c r="F379">
        <v>50</v>
      </c>
      <c r="G379">
        <v>20</v>
      </c>
      <c r="H379">
        <v>15</v>
      </c>
      <c r="I379">
        <v>0</v>
      </c>
      <c r="J379">
        <v>3</v>
      </c>
      <c r="L379" s="39">
        <v>80</v>
      </c>
      <c r="M379">
        <v>30</v>
      </c>
      <c r="N379">
        <v>10</v>
      </c>
      <c r="O379">
        <f>(((Guide_Schwer[[#This Row],[GBWI]]*Guide_Schwer[[#This Row],[GBHE]])-((Guide_Schwer[[#This Row],[GBWI]]-Guide_Schwer[[#This Row],[GBBW]])*Guide_Schwer[[#This Row],[GBIH]]))*Guide_Schwer[[#This Row],[GBLE]])*$H$1/1000</f>
        <v>9.3599999999999989E-2</v>
      </c>
      <c r="P379">
        <v>50</v>
      </c>
      <c r="Q379">
        <v>20</v>
      </c>
      <c r="R379">
        <v>15</v>
      </c>
      <c r="S379">
        <v>0</v>
      </c>
      <c r="T379">
        <v>3</v>
      </c>
      <c r="V379" s="39">
        <v>80</v>
      </c>
      <c r="W379">
        <v>30</v>
      </c>
      <c r="X379">
        <v>17</v>
      </c>
      <c r="Y379">
        <f>IF(E501,((((Guide_DK[[#This Row],[GBWI]]*Guide_DK[[#This Row],[GBHE]])-((Guide_DK[[#This Row],[GBWI]]-Guide_DK[[#This Row],[GBBW]])*Guide_DK[[#This Row],[GBIH]]))*Guide_DK[[#This Row],[GBLE]])*$K$1/1000)*2,0)</f>
        <v>0</v>
      </c>
      <c r="Z379">
        <v>55</v>
      </c>
      <c r="AA379">
        <v>30</v>
      </c>
      <c r="AB379">
        <v>10</v>
      </c>
      <c r="AC379">
        <v>0</v>
      </c>
      <c r="AD379">
        <v>4</v>
      </c>
    </row>
    <row r="380" spans="2:36">
      <c r="B380" s="11">
        <v>100</v>
      </c>
      <c r="C380">
        <v>30</v>
      </c>
      <c r="D380">
        <v>10</v>
      </c>
      <c r="E380">
        <f>(((Guide_Leicht[[#This Row],[GBWI]]*Guide_Leicht[[#This Row],[GBHE]])-((Guide_Leicht[[#This Row],[GBWI]]-Guide_Leicht[[#This Row],[GBBW]])*Guide_Leicht[[#This Row],[GBIH]]))*Guide_Leicht[[#This Row],[GBLE]])*$H$1/1000</f>
        <v>9.3599999999999989E-2</v>
      </c>
      <c r="F380">
        <v>50</v>
      </c>
      <c r="G380">
        <v>20</v>
      </c>
      <c r="H380">
        <v>15</v>
      </c>
      <c r="I380">
        <v>0</v>
      </c>
      <c r="J380">
        <v>3</v>
      </c>
      <c r="L380" s="40">
        <v>100</v>
      </c>
      <c r="M380">
        <v>30</v>
      </c>
      <c r="N380">
        <v>10</v>
      </c>
      <c r="O380">
        <f>(((Guide_Schwer[[#This Row],[GBWI]]*Guide_Schwer[[#This Row],[GBHE]])-((Guide_Schwer[[#This Row],[GBWI]]-Guide_Schwer[[#This Row],[GBBW]])*Guide_Schwer[[#This Row],[GBIH]]))*Guide_Schwer[[#This Row],[GBLE]])*$H$1/1000</f>
        <v>9.3599999999999989E-2</v>
      </c>
      <c r="P380">
        <v>50</v>
      </c>
      <c r="Q380">
        <v>20</v>
      </c>
      <c r="R380">
        <v>15</v>
      </c>
      <c r="S380">
        <v>0</v>
      </c>
      <c r="T380">
        <v>3</v>
      </c>
      <c r="V380" s="40">
        <v>100</v>
      </c>
      <c r="W380">
        <v>30</v>
      </c>
      <c r="X380">
        <v>17</v>
      </c>
      <c r="Y380">
        <f>IF(E502,((((Guide_DK[[#This Row],[GBWI]]*Guide_DK[[#This Row],[GBHE]])-((Guide_DK[[#This Row],[GBWI]]-Guide_DK[[#This Row],[GBBW]])*Guide_DK[[#This Row],[GBIH]]))*Guide_DK[[#This Row],[GBLE]])*$K$1/1000)*2,0)</f>
        <v>0</v>
      </c>
      <c r="Z380">
        <v>55</v>
      </c>
      <c r="AA380">
        <v>30</v>
      </c>
      <c r="AB380">
        <v>10</v>
      </c>
      <c r="AC380">
        <v>0</v>
      </c>
      <c r="AD380">
        <v>4</v>
      </c>
    </row>
    <row r="381" spans="2:36">
      <c r="B381" s="13">
        <v>125</v>
      </c>
      <c r="C381">
        <v>30</v>
      </c>
      <c r="D381">
        <v>10</v>
      </c>
      <c r="E381">
        <f>(((Guide_Leicht[[#This Row],[GBWI]]*Guide_Leicht[[#This Row],[GBHE]])-((Guide_Leicht[[#This Row],[GBWI]]-Guide_Leicht[[#This Row],[GBBW]])*Guide_Leicht[[#This Row],[GBIH]]))*Guide_Leicht[[#This Row],[GBLE]])*$H$1/1000</f>
        <v>9.3599999999999989E-2</v>
      </c>
      <c r="F381">
        <v>50</v>
      </c>
      <c r="G381">
        <v>20</v>
      </c>
      <c r="H381">
        <v>15</v>
      </c>
      <c r="I381">
        <v>0</v>
      </c>
      <c r="J381">
        <v>3</v>
      </c>
      <c r="L381" s="39">
        <v>125</v>
      </c>
      <c r="M381">
        <v>30</v>
      </c>
      <c r="N381">
        <v>10</v>
      </c>
      <c r="O381">
        <f>(((Guide_Schwer[[#This Row],[GBWI]]*Guide_Schwer[[#This Row],[GBHE]])-((Guide_Schwer[[#This Row],[GBWI]]-Guide_Schwer[[#This Row],[GBBW]])*Guide_Schwer[[#This Row],[GBIH]]))*Guide_Schwer[[#This Row],[GBLE]])*$H$1/1000</f>
        <v>9.3599999999999989E-2</v>
      </c>
      <c r="P381">
        <v>50</v>
      </c>
      <c r="Q381">
        <v>20</v>
      </c>
      <c r="R381">
        <v>15</v>
      </c>
      <c r="S381">
        <v>0</v>
      </c>
      <c r="T381">
        <v>3</v>
      </c>
      <c r="V381" s="39">
        <v>125</v>
      </c>
      <c r="W381">
        <v>30</v>
      </c>
      <c r="X381">
        <v>17</v>
      </c>
      <c r="Y381">
        <f>IF(E503,((((Guide_DK[[#This Row],[GBWI]]*Guide_DK[[#This Row],[GBHE]])-((Guide_DK[[#This Row],[GBWI]]-Guide_DK[[#This Row],[GBBW]])*Guide_DK[[#This Row],[GBIH]]))*Guide_DK[[#This Row],[GBLE]])*$K$1/1000)*2,0)</f>
        <v>0</v>
      </c>
      <c r="Z381">
        <v>55</v>
      </c>
      <c r="AA381">
        <v>30</v>
      </c>
      <c r="AB381">
        <v>10</v>
      </c>
      <c r="AC381">
        <v>0</v>
      </c>
      <c r="AD381">
        <v>4</v>
      </c>
    </row>
    <row r="382" spans="2:36">
      <c r="B382" s="11">
        <v>150</v>
      </c>
      <c r="C382">
        <v>30</v>
      </c>
      <c r="D382">
        <v>10</v>
      </c>
      <c r="E382">
        <f>(((Guide_Leicht[[#This Row],[GBWI]]*Guide_Leicht[[#This Row],[GBHE]])-((Guide_Leicht[[#This Row],[GBWI]]-Guide_Leicht[[#This Row],[GBBW]])*Guide_Leicht[[#This Row],[GBIH]]))*Guide_Leicht[[#This Row],[GBLE]])*$H$1/1000</f>
        <v>9.3599999999999989E-2</v>
      </c>
      <c r="F382">
        <v>50</v>
      </c>
      <c r="G382">
        <v>20</v>
      </c>
      <c r="H382">
        <v>15</v>
      </c>
      <c r="I382">
        <v>0</v>
      </c>
      <c r="J382">
        <v>3</v>
      </c>
      <c r="L382" s="40">
        <v>150</v>
      </c>
      <c r="M382">
        <v>30</v>
      </c>
      <c r="N382">
        <v>10</v>
      </c>
      <c r="O382">
        <f>(((Guide_Schwer[[#This Row],[GBWI]]*Guide_Schwer[[#This Row],[GBHE]])-((Guide_Schwer[[#This Row],[GBWI]]-Guide_Schwer[[#This Row],[GBBW]])*Guide_Schwer[[#This Row],[GBIH]]))*Guide_Schwer[[#This Row],[GBLE]])*$H$1/1000</f>
        <v>9.3599999999999989E-2</v>
      </c>
      <c r="P382">
        <v>50</v>
      </c>
      <c r="Q382">
        <v>20</v>
      </c>
      <c r="R382">
        <v>15</v>
      </c>
      <c r="S382">
        <v>0</v>
      </c>
      <c r="T382">
        <v>3</v>
      </c>
      <c r="V382" s="40">
        <v>150</v>
      </c>
      <c r="W382">
        <v>30</v>
      </c>
      <c r="X382">
        <v>17</v>
      </c>
      <c r="Y382">
        <f>IF(E504,((((Guide_DK[[#This Row],[GBWI]]*Guide_DK[[#This Row],[GBHE]])-((Guide_DK[[#This Row],[GBWI]]-Guide_DK[[#This Row],[GBBW]])*Guide_DK[[#This Row],[GBIH]]))*Guide_DK[[#This Row],[GBLE]])*$K$1/1000)*2,0)</f>
        <v>0</v>
      </c>
      <c r="Z382">
        <v>55</v>
      </c>
      <c r="AA382">
        <v>30</v>
      </c>
      <c r="AB382">
        <v>10</v>
      </c>
      <c r="AC382">
        <v>0</v>
      </c>
      <c r="AD382">
        <v>4</v>
      </c>
    </row>
    <row r="383" spans="2:36">
      <c r="B383" s="13">
        <v>200</v>
      </c>
      <c r="C383">
        <v>30</v>
      </c>
      <c r="D383">
        <v>10</v>
      </c>
      <c r="E383">
        <f>(((Guide_Leicht[[#This Row],[GBWI]]*Guide_Leicht[[#This Row],[GBHE]])-((Guide_Leicht[[#This Row],[GBWI]]-Guide_Leicht[[#This Row],[GBBW]])*Guide_Leicht[[#This Row],[GBIH]]))*Guide_Leicht[[#This Row],[GBLE]])*$H$1/1000</f>
        <v>9.3599999999999989E-2</v>
      </c>
      <c r="F383">
        <v>50</v>
      </c>
      <c r="G383">
        <v>20</v>
      </c>
      <c r="H383">
        <v>15</v>
      </c>
      <c r="I383">
        <v>0</v>
      </c>
      <c r="J383">
        <v>3</v>
      </c>
      <c r="L383" s="39">
        <v>200</v>
      </c>
      <c r="M383">
        <v>30</v>
      </c>
      <c r="N383">
        <v>10</v>
      </c>
      <c r="O383">
        <f>(((Guide_Schwer[[#This Row],[GBWI]]*Guide_Schwer[[#This Row],[GBHE]])-((Guide_Schwer[[#This Row],[GBWI]]-Guide_Schwer[[#This Row],[GBBW]])*Guide_Schwer[[#This Row],[GBIH]]))*Guide_Schwer[[#This Row],[GBLE]])*$H$1/1000</f>
        <v>9.3599999999999989E-2</v>
      </c>
      <c r="P383">
        <v>50</v>
      </c>
      <c r="Q383">
        <v>20</v>
      </c>
      <c r="R383">
        <v>15</v>
      </c>
      <c r="S383">
        <v>0</v>
      </c>
      <c r="T383">
        <v>3</v>
      </c>
      <c r="V383" s="39">
        <v>200</v>
      </c>
      <c r="W383">
        <v>30</v>
      </c>
      <c r="X383">
        <v>17</v>
      </c>
      <c r="Y383">
        <f>IF(E505,((((Guide_DK[[#This Row],[GBWI]]*Guide_DK[[#This Row],[GBHE]])-((Guide_DK[[#This Row],[GBWI]]-Guide_DK[[#This Row],[GBBW]])*Guide_DK[[#This Row],[GBIH]]))*Guide_DK[[#This Row],[GBLE]])*$K$1/1000)*2,0)</f>
        <v>0</v>
      </c>
      <c r="Z383">
        <v>55</v>
      </c>
      <c r="AA383">
        <v>30</v>
      </c>
      <c r="AB383">
        <v>10</v>
      </c>
      <c r="AC383">
        <v>0</v>
      </c>
      <c r="AD383">
        <v>4</v>
      </c>
    </row>
    <row r="384" spans="2:36">
      <c r="B384" s="11">
        <v>250</v>
      </c>
      <c r="C384">
        <v>30</v>
      </c>
      <c r="D384">
        <v>10</v>
      </c>
      <c r="E384">
        <f>(((Guide_Leicht[[#This Row],[GBWI]]*Guide_Leicht[[#This Row],[GBHE]])-((Guide_Leicht[[#This Row],[GBWI]]-Guide_Leicht[[#This Row],[GBBW]])*Guide_Leicht[[#This Row],[GBIH]]))*Guide_Leicht[[#This Row],[GBLE]])*$H$1/1000</f>
        <v>9.3599999999999989E-2</v>
      </c>
      <c r="F384">
        <v>50</v>
      </c>
      <c r="G384">
        <v>20</v>
      </c>
      <c r="H384">
        <v>15</v>
      </c>
      <c r="I384">
        <v>0</v>
      </c>
      <c r="J384">
        <v>3</v>
      </c>
      <c r="L384" s="40">
        <v>250</v>
      </c>
      <c r="M384">
        <v>30</v>
      </c>
      <c r="N384">
        <v>10</v>
      </c>
      <c r="O384">
        <f>(((Guide_Schwer[[#This Row],[GBWI]]*Guide_Schwer[[#This Row],[GBHE]])-((Guide_Schwer[[#This Row],[GBWI]]-Guide_Schwer[[#This Row],[GBBW]])*Guide_Schwer[[#This Row],[GBIH]]))*Guide_Schwer[[#This Row],[GBLE]])*$H$1/1000</f>
        <v>9.3599999999999989E-2</v>
      </c>
      <c r="P384">
        <v>50</v>
      </c>
      <c r="Q384">
        <v>20</v>
      </c>
      <c r="R384">
        <v>15</v>
      </c>
      <c r="S384">
        <v>0</v>
      </c>
      <c r="T384">
        <v>3</v>
      </c>
      <c r="V384" s="40">
        <v>250</v>
      </c>
      <c r="W384">
        <v>30</v>
      </c>
      <c r="X384">
        <v>17</v>
      </c>
      <c r="Y384">
        <f>IF(E506,((((Guide_DK[[#This Row],[GBWI]]*Guide_DK[[#This Row],[GBHE]])-((Guide_DK[[#This Row],[GBWI]]-Guide_DK[[#This Row],[GBBW]])*Guide_DK[[#This Row],[GBIH]]))*Guide_DK[[#This Row],[GBLE]])*$K$1/1000)*2,0)</f>
        <v>0</v>
      </c>
      <c r="Z384">
        <v>55</v>
      </c>
      <c r="AA384">
        <v>30</v>
      </c>
      <c r="AB384">
        <v>10</v>
      </c>
      <c r="AC384">
        <v>0</v>
      </c>
      <c r="AD384">
        <v>4</v>
      </c>
    </row>
    <row r="385" spans="2:31">
      <c r="B385" s="13">
        <v>300</v>
      </c>
      <c r="C385">
        <v>30</v>
      </c>
      <c r="D385">
        <v>10</v>
      </c>
      <c r="E385">
        <f>(((Guide_Leicht[[#This Row],[GBWI]]*Guide_Leicht[[#This Row],[GBHE]])-((Guide_Leicht[[#This Row],[GBWI]]-Guide_Leicht[[#This Row],[GBBW]])*Guide_Leicht[[#This Row],[GBIH]]))*Guide_Leicht[[#This Row],[GBLE]])*$H$1/1000</f>
        <v>9.3599999999999989E-2</v>
      </c>
      <c r="F385">
        <v>50</v>
      </c>
      <c r="G385">
        <v>20</v>
      </c>
      <c r="H385">
        <v>15</v>
      </c>
      <c r="I385">
        <v>0</v>
      </c>
      <c r="J385">
        <v>3</v>
      </c>
      <c r="L385" s="39">
        <v>300</v>
      </c>
      <c r="M385">
        <v>30</v>
      </c>
      <c r="N385">
        <v>10</v>
      </c>
      <c r="O385">
        <f>(((Guide_Schwer[[#This Row],[GBWI]]*Guide_Schwer[[#This Row],[GBHE]])-((Guide_Schwer[[#This Row],[GBWI]]-Guide_Schwer[[#This Row],[GBBW]])*Guide_Schwer[[#This Row],[GBIH]]))*Guide_Schwer[[#This Row],[GBLE]])*$H$1/1000</f>
        <v>9.3599999999999989E-2</v>
      </c>
      <c r="P385">
        <v>50</v>
      </c>
      <c r="Q385">
        <v>20</v>
      </c>
      <c r="R385">
        <v>15</v>
      </c>
      <c r="S385">
        <v>0</v>
      </c>
      <c r="T385">
        <v>3</v>
      </c>
      <c r="V385" s="39">
        <v>300</v>
      </c>
      <c r="W385">
        <v>50</v>
      </c>
      <c r="X385">
        <v>30</v>
      </c>
      <c r="Y385">
        <f>IF(E507,((((Guide_DK[[#This Row],[GBWI]]*Guide_DK[[#This Row],[GBHE]])-((Guide_DK[[#This Row],[GBWI]]-Guide_DK[[#This Row],[GBBW]])*Guide_DK[[#This Row],[GBIH]]))*Guide_DK[[#This Row],[GBLE]])*$K$1/1000)*2,0)</f>
        <v>0</v>
      </c>
      <c r="Z385">
        <v>80</v>
      </c>
      <c r="AA385">
        <v>45</v>
      </c>
      <c r="AB385">
        <v>15</v>
      </c>
      <c r="AC385">
        <v>0</v>
      </c>
      <c r="AD385">
        <v>7</v>
      </c>
    </row>
    <row r="386" spans="2:31">
      <c r="B386" s="11">
        <v>350</v>
      </c>
      <c r="C386">
        <v>30</v>
      </c>
      <c r="D386">
        <v>10</v>
      </c>
      <c r="E386">
        <f>(((Guide_Leicht[[#This Row],[GBWI]]*Guide_Leicht[[#This Row],[GBHE]])-((Guide_Leicht[[#This Row],[GBWI]]-Guide_Leicht[[#This Row],[GBBW]])*Guide_Leicht[[#This Row],[GBIH]]))*Guide_Leicht[[#This Row],[GBLE]])*$H$1/1000</f>
        <v>9.3599999999999989E-2</v>
      </c>
      <c r="F386">
        <v>50</v>
      </c>
      <c r="G386">
        <v>20</v>
      </c>
      <c r="H386">
        <v>15</v>
      </c>
      <c r="I386">
        <v>0</v>
      </c>
      <c r="J386">
        <v>3</v>
      </c>
      <c r="L386" s="40">
        <v>350</v>
      </c>
      <c r="M386">
        <v>30</v>
      </c>
      <c r="N386">
        <v>10</v>
      </c>
      <c r="O386">
        <f>(((Guide_Schwer[[#This Row],[GBWI]]*Guide_Schwer[[#This Row],[GBHE]])-((Guide_Schwer[[#This Row],[GBWI]]-Guide_Schwer[[#This Row],[GBBW]])*Guide_Schwer[[#This Row],[GBIH]]))*Guide_Schwer[[#This Row],[GBLE]])*$H$1/1000</f>
        <v>9.3599999999999989E-2</v>
      </c>
      <c r="P386">
        <v>50</v>
      </c>
      <c r="Q386">
        <v>20</v>
      </c>
      <c r="R386">
        <v>15</v>
      </c>
      <c r="S386">
        <v>0</v>
      </c>
      <c r="T386">
        <v>3</v>
      </c>
      <c r="V386" s="40">
        <v>350</v>
      </c>
      <c r="W386">
        <v>50</v>
      </c>
      <c r="X386">
        <v>30</v>
      </c>
      <c r="Y386">
        <f>IF(E508,((((Guide_DK[[#This Row],[GBWI]]*Guide_DK[[#This Row],[GBHE]])-((Guide_DK[[#This Row],[GBWI]]-Guide_DK[[#This Row],[GBBW]])*Guide_DK[[#This Row],[GBIH]]))*Guide_DK[[#This Row],[GBLE]])*$K$1/1000)*2,0)</f>
        <v>0</v>
      </c>
      <c r="Z386">
        <v>80</v>
      </c>
      <c r="AA386">
        <v>45</v>
      </c>
      <c r="AB386">
        <v>15</v>
      </c>
      <c r="AC386">
        <v>0</v>
      </c>
      <c r="AD386">
        <v>7</v>
      </c>
    </row>
    <row r="387" spans="2:31">
      <c r="B387" s="13">
        <v>400</v>
      </c>
      <c r="C387">
        <v>30</v>
      </c>
      <c r="D387">
        <v>10</v>
      </c>
      <c r="E387">
        <f>(((Guide_Leicht[[#This Row],[GBWI]]*Guide_Leicht[[#This Row],[GBHE]])-((Guide_Leicht[[#This Row],[GBWI]]-Guide_Leicht[[#This Row],[GBBW]])*Guide_Leicht[[#This Row],[GBIH]]))*Guide_Leicht[[#This Row],[GBLE]])*$H$1/1000</f>
        <v>0.16379999999999997</v>
      </c>
      <c r="F387">
        <v>50</v>
      </c>
      <c r="G387">
        <v>25</v>
      </c>
      <c r="H387">
        <v>20</v>
      </c>
      <c r="I387">
        <v>0</v>
      </c>
      <c r="J387">
        <v>3</v>
      </c>
      <c r="L387" s="39">
        <v>400</v>
      </c>
      <c r="M387">
        <v>30</v>
      </c>
      <c r="N387">
        <v>10</v>
      </c>
      <c r="O387">
        <f>(((Guide_Schwer[[#This Row],[GBWI]]*Guide_Schwer[[#This Row],[GBHE]])-((Guide_Schwer[[#This Row],[GBWI]]-Guide_Schwer[[#This Row],[GBBW]])*Guide_Schwer[[#This Row],[GBIH]]))*Guide_Schwer[[#This Row],[GBLE]])*$H$1/1000</f>
        <v>0.16379999999999997</v>
      </c>
      <c r="P387">
        <v>50</v>
      </c>
      <c r="Q387">
        <v>25</v>
      </c>
      <c r="R387">
        <v>20</v>
      </c>
      <c r="S387">
        <v>0</v>
      </c>
      <c r="T387">
        <v>3</v>
      </c>
      <c r="V387" s="39">
        <v>400</v>
      </c>
      <c r="W387">
        <v>50</v>
      </c>
      <c r="X387">
        <v>30</v>
      </c>
      <c r="Y387">
        <f>IF(E509,((((Guide_DK[[#This Row],[GBWI]]*Guide_DK[[#This Row],[GBHE]])-((Guide_DK[[#This Row],[GBWI]]-Guide_DK[[#This Row],[GBBW]])*Guide_DK[[#This Row],[GBIH]]))*Guide_DK[[#This Row],[GBLE]])*$K$1/1000)*2,0)</f>
        <v>0</v>
      </c>
      <c r="Z387">
        <v>80</v>
      </c>
      <c r="AA387">
        <v>45</v>
      </c>
      <c r="AB387">
        <v>15</v>
      </c>
      <c r="AC387">
        <v>0</v>
      </c>
      <c r="AD387">
        <v>7</v>
      </c>
    </row>
    <row r="388" spans="2:31">
      <c r="B388" s="11">
        <v>450</v>
      </c>
      <c r="C388">
        <v>30</v>
      </c>
      <c r="D388">
        <v>10</v>
      </c>
      <c r="E388">
        <f>(((Guide_Leicht[[#This Row],[GBWI]]*Guide_Leicht[[#This Row],[GBHE]])-((Guide_Leicht[[#This Row],[GBWI]]-Guide_Leicht[[#This Row],[GBBW]])*Guide_Leicht[[#This Row],[GBIH]]))*Guide_Leicht[[#This Row],[GBLE]])*$H$1/1000</f>
        <v>0.16379999999999997</v>
      </c>
      <c r="F388">
        <v>50</v>
      </c>
      <c r="G388">
        <v>25</v>
      </c>
      <c r="H388">
        <v>20</v>
      </c>
      <c r="I388">
        <v>0</v>
      </c>
      <c r="J388">
        <v>3</v>
      </c>
      <c r="L388" s="40">
        <v>450</v>
      </c>
      <c r="M388">
        <v>30</v>
      </c>
      <c r="N388">
        <v>10</v>
      </c>
      <c r="O388">
        <f>(((Guide_Schwer[[#This Row],[GBWI]]*Guide_Schwer[[#This Row],[GBHE]])-((Guide_Schwer[[#This Row],[GBWI]]-Guide_Schwer[[#This Row],[GBBW]])*Guide_Schwer[[#This Row],[GBIH]]))*Guide_Schwer[[#This Row],[GBLE]])*$H$1/1000</f>
        <v>0.16379999999999997</v>
      </c>
      <c r="P388">
        <v>50</v>
      </c>
      <c r="Q388">
        <v>25</v>
      </c>
      <c r="R388">
        <v>20</v>
      </c>
      <c r="S388">
        <v>0</v>
      </c>
      <c r="T388">
        <v>3</v>
      </c>
      <c r="V388" s="40">
        <v>450</v>
      </c>
      <c r="W388">
        <v>50</v>
      </c>
      <c r="X388">
        <v>30</v>
      </c>
      <c r="Y388">
        <f>IF(E510,((((Guide_DK[[#This Row],[GBWI]]*Guide_DK[[#This Row],[GBHE]])-((Guide_DK[[#This Row],[GBWI]]-Guide_DK[[#This Row],[GBBW]])*Guide_DK[[#This Row],[GBIH]]))*Guide_DK[[#This Row],[GBLE]])*$K$1/1000)*2,0)</f>
        <v>0</v>
      </c>
      <c r="Z388">
        <v>80</v>
      </c>
      <c r="AA388">
        <v>45</v>
      </c>
      <c r="AB388">
        <v>15</v>
      </c>
      <c r="AC388">
        <v>0</v>
      </c>
      <c r="AD388">
        <v>7</v>
      </c>
    </row>
    <row r="389" spans="2:31">
      <c r="B389" s="13">
        <v>500</v>
      </c>
      <c r="C389">
        <v>30</v>
      </c>
      <c r="D389">
        <v>10</v>
      </c>
      <c r="E389">
        <f>(((Guide_Leicht[[#This Row],[GBWI]]*Guide_Leicht[[#This Row],[GBHE]])-((Guide_Leicht[[#This Row],[GBWI]]-Guide_Leicht[[#This Row],[GBBW]])*Guide_Leicht[[#This Row],[GBIH]]))*Guide_Leicht[[#This Row],[GBLE]])*$H$1/1000</f>
        <v>0.16379999999999997</v>
      </c>
      <c r="F389">
        <v>50</v>
      </c>
      <c r="G389">
        <v>25</v>
      </c>
      <c r="H389">
        <v>20</v>
      </c>
      <c r="I389">
        <v>0</v>
      </c>
      <c r="J389">
        <v>3</v>
      </c>
      <c r="L389" s="39">
        <v>500</v>
      </c>
      <c r="M389">
        <v>30</v>
      </c>
      <c r="N389">
        <v>10</v>
      </c>
      <c r="O389">
        <f>(((Guide_Schwer[[#This Row],[GBWI]]*Guide_Schwer[[#This Row],[GBHE]])-((Guide_Schwer[[#This Row],[GBWI]]-Guide_Schwer[[#This Row],[GBBW]])*Guide_Schwer[[#This Row],[GBIH]]))*Guide_Schwer[[#This Row],[GBLE]])*$H$1/1000</f>
        <v>0.16379999999999997</v>
      </c>
      <c r="P389">
        <v>50</v>
      </c>
      <c r="Q389">
        <v>25</v>
      </c>
      <c r="R389">
        <v>20</v>
      </c>
      <c r="S389">
        <v>0</v>
      </c>
      <c r="T389">
        <v>3</v>
      </c>
      <c r="V389" s="39">
        <v>500</v>
      </c>
      <c r="W389">
        <v>50</v>
      </c>
      <c r="X389">
        <v>30</v>
      </c>
      <c r="Y389">
        <f>IF(E511,((((Guide_DK[[#This Row],[GBWI]]*Guide_DK[[#This Row],[GBHE]])-((Guide_DK[[#This Row],[GBWI]]-Guide_DK[[#This Row],[GBBW]])*Guide_DK[[#This Row],[GBIH]]))*Guide_DK[[#This Row],[GBLE]])*$K$1/1000)*2,0)</f>
        <v>0</v>
      </c>
      <c r="Z389">
        <v>80</v>
      </c>
      <c r="AA389">
        <v>45</v>
      </c>
      <c r="AB389">
        <v>15</v>
      </c>
      <c r="AC389">
        <v>0</v>
      </c>
      <c r="AD389">
        <v>7</v>
      </c>
    </row>
    <row r="390" spans="2:31">
      <c r="B390" s="11">
        <v>600</v>
      </c>
      <c r="C390">
        <v>30</v>
      </c>
      <c r="D390">
        <v>10</v>
      </c>
      <c r="E390">
        <f>(((Guide_Leicht[[#This Row],[GBWI]]*Guide_Leicht[[#This Row],[GBHE]])-((Guide_Leicht[[#This Row],[GBWI]]-Guide_Leicht[[#This Row],[GBBW]])*Guide_Leicht[[#This Row],[GBIH]]))*Guide_Leicht[[#This Row],[GBLE]])*$H$1/1000</f>
        <v>0.16379999999999997</v>
      </c>
      <c r="F390">
        <v>50</v>
      </c>
      <c r="G390">
        <v>25</v>
      </c>
      <c r="H390">
        <v>20</v>
      </c>
      <c r="I390">
        <v>0</v>
      </c>
      <c r="J390">
        <v>3</v>
      </c>
      <c r="L390" s="40">
        <v>600</v>
      </c>
      <c r="M390">
        <v>30</v>
      </c>
      <c r="N390">
        <v>10</v>
      </c>
      <c r="O390">
        <f>(((Guide_Schwer[[#This Row],[GBWI]]*Guide_Schwer[[#This Row],[GBHE]])-((Guide_Schwer[[#This Row],[GBWI]]-Guide_Schwer[[#This Row],[GBBW]])*Guide_Schwer[[#This Row],[GBIH]]))*Guide_Schwer[[#This Row],[GBLE]])*$H$1/1000</f>
        <v>0.16379999999999997</v>
      </c>
      <c r="P390">
        <v>50</v>
      </c>
      <c r="Q390">
        <v>25</v>
      </c>
      <c r="R390">
        <v>20</v>
      </c>
      <c r="S390">
        <v>0</v>
      </c>
      <c r="T390">
        <v>3</v>
      </c>
      <c r="V390" s="40">
        <v>600</v>
      </c>
      <c r="W390">
        <v>80</v>
      </c>
      <c r="X390">
        <v>30</v>
      </c>
      <c r="Y390">
        <f>IF(E512,((((Guide_DK[[#This Row],[GBWI]]*Guide_DK[[#This Row],[GBHE]])-((Guide_DK[[#This Row],[GBWI]]-Guide_DK[[#This Row],[GBBW]])*Guide_DK[[#This Row],[GBIH]]))*Guide_DK[[#This Row],[GBLE]])*$K$1/1000)*2,0)</f>
        <v>0</v>
      </c>
      <c r="Z390">
        <v>110</v>
      </c>
      <c r="AA390">
        <v>45</v>
      </c>
      <c r="AB390">
        <v>20</v>
      </c>
      <c r="AC390">
        <v>0</v>
      </c>
      <c r="AD390">
        <v>7</v>
      </c>
    </row>
    <row r="391" spans="2:31">
      <c r="B391" s="13">
        <v>700</v>
      </c>
      <c r="C391">
        <v>30</v>
      </c>
      <c r="D391">
        <v>10</v>
      </c>
      <c r="E391">
        <f>(((Guide_Leicht[[#This Row],[GBWI]]*Guide_Leicht[[#This Row],[GBHE]])-((Guide_Leicht[[#This Row],[GBWI]]-Guide_Leicht[[#This Row],[GBBW]])*Guide_Leicht[[#This Row],[GBIH]]))*Guide_Leicht[[#This Row],[GBLE]])*$H$1/1000</f>
        <v>0.16379999999999997</v>
      </c>
      <c r="F391">
        <v>50</v>
      </c>
      <c r="G391">
        <v>25</v>
      </c>
      <c r="H391">
        <v>20</v>
      </c>
      <c r="I391">
        <v>0</v>
      </c>
      <c r="J391">
        <v>3</v>
      </c>
      <c r="L391" s="39">
        <v>700</v>
      </c>
      <c r="M391">
        <v>30</v>
      </c>
      <c r="N391">
        <v>10</v>
      </c>
      <c r="O391">
        <f>(((Guide_Schwer[[#This Row],[GBWI]]*Guide_Schwer[[#This Row],[GBHE]])-((Guide_Schwer[[#This Row],[GBWI]]-Guide_Schwer[[#This Row],[GBBW]])*Guide_Schwer[[#This Row],[GBIH]]))*Guide_Schwer[[#This Row],[GBLE]])*$H$1/1000</f>
        <v>0.16379999999999997</v>
      </c>
      <c r="P391">
        <v>50</v>
      </c>
      <c r="Q391">
        <v>25</v>
      </c>
      <c r="R391">
        <v>20</v>
      </c>
      <c r="S391">
        <v>0</v>
      </c>
      <c r="T391">
        <v>3</v>
      </c>
      <c r="V391" s="39">
        <v>700</v>
      </c>
      <c r="W391">
        <v>80</v>
      </c>
      <c r="X391">
        <v>30</v>
      </c>
      <c r="Y391">
        <f>IF(E513,((((Guide_DK[[#This Row],[GBWI]]*Guide_DK[[#This Row],[GBHE]])-((Guide_DK[[#This Row],[GBWI]]-Guide_DK[[#This Row],[GBBW]])*Guide_DK[[#This Row],[GBIH]]))*Guide_DK[[#This Row],[GBLE]])*$K$1/1000)*2,0)</f>
        <v>0</v>
      </c>
      <c r="Z391">
        <v>110</v>
      </c>
      <c r="AA391">
        <v>45</v>
      </c>
      <c r="AB391">
        <v>20</v>
      </c>
      <c r="AC391">
        <v>0</v>
      </c>
      <c r="AD391">
        <v>7</v>
      </c>
    </row>
    <row r="392" spans="2:31">
      <c r="B392" s="11">
        <v>800</v>
      </c>
      <c r="C392">
        <v>40</v>
      </c>
      <c r="D392">
        <v>12</v>
      </c>
      <c r="E392">
        <f>(((Guide_Leicht[[#This Row],[GBWI]]*Guide_Leicht[[#This Row],[GBHE]])-((Guide_Leicht[[#This Row],[GBWI]]-Guide_Leicht[[#This Row],[GBBW]])*Guide_Leicht[[#This Row],[GBIH]]))*Guide_Leicht[[#This Row],[GBLE]])*$H$1/1000</f>
        <v>0.19656000000000001</v>
      </c>
      <c r="F392">
        <v>60</v>
      </c>
      <c r="G392">
        <v>25</v>
      </c>
      <c r="H392">
        <v>20</v>
      </c>
      <c r="I392">
        <v>0</v>
      </c>
      <c r="J392">
        <v>3</v>
      </c>
      <c r="L392" s="40">
        <v>800</v>
      </c>
      <c r="M392">
        <v>40</v>
      </c>
      <c r="N392">
        <v>12</v>
      </c>
      <c r="O392">
        <f>(((Guide_Schwer[[#This Row],[GBWI]]*Guide_Schwer[[#This Row],[GBHE]])-((Guide_Schwer[[#This Row],[GBWI]]-Guide_Schwer[[#This Row],[GBBW]])*Guide_Schwer[[#This Row],[GBIH]]))*Guide_Schwer[[#This Row],[GBLE]])*$H$1/1000</f>
        <v>0.19656000000000001</v>
      </c>
      <c r="P392">
        <v>60</v>
      </c>
      <c r="Q392">
        <v>25</v>
      </c>
      <c r="R392">
        <v>20</v>
      </c>
      <c r="S392">
        <v>0</v>
      </c>
      <c r="T392">
        <v>3</v>
      </c>
      <c r="V392" s="40">
        <v>800</v>
      </c>
      <c r="W392">
        <v>80</v>
      </c>
      <c r="X392">
        <v>30</v>
      </c>
      <c r="Y392">
        <f>IF(E514,((((Guide_DK[[#This Row],[GBWI]]*Guide_DK[[#This Row],[GBHE]])-((Guide_DK[[#This Row],[GBWI]]-Guide_DK[[#This Row],[GBBW]])*Guide_DK[[#This Row],[GBIH]]))*Guide_DK[[#This Row],[GBLE]])*$K$1/1000)*2,0)</f>
        <v>0</v>
      </c>
      <c r="Z392">
        <v>110</v>
      </c>
      <c r="AA392">
        <v>45</v>
      </c>
      <c r="AB392">
        <v>20</v>
      </c>
      <c r="AC392">
        <v>0</v>
      </c>
      <c r="AD392">
        <v>7</v>
      </c>
    </row>
    <row r="393" spans="2:31">
      <c r="B393" s="13">
        <v>900</v>
      </c>
      <c r="C393">
        <v>40</v>
      </c>
      <c r="D393">
        <v>12</v>
      </c>
      <c r="E393">
        <f>(((Guide_Leicht[[#This Row],[GBWI]]*Guide_Leicht[[#This Row],[GBHE]])-((Guide_Leicht[[#This Row],[GBWI]]-Guide_Leicht[[#This Row],[GBBW]])*Guide_Leicht[[#This Row],[GBIH]]))*Guide_Leicht[[#This Row],[GBLE]])*$H$1/1000</f>
        <v>0.19656000000000001</v>
      </c>
      <c r="F393">
        <v>60</v>
      </c>
      <c r="G393">
        <v>25</v>
      </c>
      <c r="H393">
        <v>20</v>
      </c>
      <c r="I393">
        <v>0</v>
      </c>
      <c r="J393">
        <v>3</v>
      </c>
      <c r="L393" s="39">
        <v>900</v>
      </c>
      <c r="M393">
        <v>40</v>
      </c>
      <c r="N393">
        <v>12</v>
      </c>
      <c r="O393">
        <f>(((Guide_Schwer[[#This Row],[GBWI]]*Guide_Schwer[[#This Row],[GBHE]])-((Guide_Schwer[[#This Row],[GBWI]]-Guide_Schwer[[#This Row],[GBBW]])*Guide_Schwer[[#This Row],[GBIH]]))*Guide_Schwer[[#This Row],[GBLE]])*$H$1/1000</f>
        <v>0.19656000000000001</v>
      </c>
      <c r="P393">
        <v>60</v>
      </c>
      <c r="Q393">
        <v>25</v>
      </c>
      <c r="R393">
        <v>20</v>
      </c>
      <c r="S393">
        <v>0</v>
      </c>
      <c r="T393">
        <v>3</v>
      </c>
      <c r="V393" s="39">
        <v>900</v>
      </c>
      <c r="W393">
        <v>80</v>
      </c>
      <c r="X393">
        <v>30</v>
      </c>
      <c r="Y393">
        <f>IF(E515,((((Guide_DK[[#This Row],[GBWI]]*Guide_DK[[#This Row],[GBHE]])-((Guide_DK[[#This Row],[GBWI]]-Guide_DK[[#This Row],[GBBW]])*Guide_DK[[#This Row],[GBIH]]))*Guide_DK[[#This Row],[GBLE]])*$K$1/1000)*2,0)</f>
        <v>0</v>
      </c>
      <c r="Z393">
        <v>110</v>
      </c>
      <c r="AA393">
        <v>45</v>
      </c>
      <c r="AB393">
        <v>20</v>
      </c>
      <c r="AC393">
        <v>0</v>
      </c>
      <c r="AD393">
        <v>7</v>
      </c>
    </row>
    <row r="394" spans="2:31">
      <c r="B394" s="11">
        <v>1000</v>
      </c>
      <c r="C394">
        <v>40</v>
      </c>
      <c r="D394">
        <v>12</v>
      </c>
      <c r="E394">
        <f>(((Guide_Leicht[[#This Row],[GBWI]]*Guide_Leicht[[#This Row],[GBHE]])-((Guide_Leicht[[#This Row],[GBWI]]-Guide_Leicht[[#This Row],[GBBW]])*Guide_Leicht[[#This Row],[GBIH]]))*Guide_Leicht[[#This Row],[GBLE]])*$H$1/1000</f>
        <v>0.19656000000000001</v>
      </c>
      <c r="F394">
        <v>60</v>
      </c>
      <c r="G394">
        <v>25</v>
      </c>
      <c r="H394">
        <v>20</v>
      </c>
      <c r="I394">
        <v>0</v>
      </c>
      <c r="J394">
        <v>3</v>
      </c>
      <c r="L394" s="40">
        <v>1000</v>
      </c>
      <c r="M394">
        <v>40</v>
      </c>
      <c r="N394">
        <v>12</v>
      </c>
      <c r="O394">
        <f>(((Guide_Schwer[[#This Row],[GBWI]]*Guide_Schwer[[#This Row],[GBHE]])-((Guide_Schwer[[#This Row],[GBWI]]-Guide_Schwer[[#This Row],[GBBW]])*Guide_Schwer[[#This Row],[GBIH]]))*Guide_Schwer[[#This Row],[GBLE]])*$H$1/1000</f>
        <v>0.19656000000000001</v>
      </c>
      <c r="P394">
        <v>60</v>
      </c>
      <c r="Q394">
        <v>25</v>
      </c>
      <c r="R394">
        <v>20</v>
      </c>
      <c r="S394">
        <v>0</v>
      </c>
      <c r="T394">
        <v>3</v>
      </c>
      <c r="V394" s="40">
        <v>1000</v>
      </c>
      <c r="W394">
        <v>80</v>
      </c>
      <c r="X394">
        <v>30</v>
      </c>
      <c r="Y394">
        <f>IF(E516,((((Guide_DK[[#This Row],[GBWI]]*Guide_DK[[#This Row],[GBHE]])-((Guide_DK[[#This Row],[GBWI]]-Guide_DK[[#This Row],[GBBW]])*Guide_DK[[#This Row],[GBIH]]))*Guide_DK[[#This Row],[GBLE]])*$K$1/1000)*2,0)</f>
        <v>0</v>
      </c>
      <c r="Z394">
        <v>110</v>
      </c>
      <c r="AA394">
        <v>45</v>
      </c>
      <c r="AB394">
        <v>20</v>
      </c>
      <c r="AC394">
        <v>0</v>
      </c>
      <c r="AD394">
        <v>7</v>
      </c>
    </row>
    <row r="395" spans="2:31">
      <c r="B395" s="13">
        <v>1200</v>
      </c>
      <c r="C395">
        <v>40</v>
      </c>
      <c r="D395">
        <v>12</v>
      </c>
      <c r="E395">
        <f>(((Guide_Leicht[[#This Row],[GBWI]]*Guide_Leicht[[#This Row],[GBHE]])-((Guide_Leicht[[#This Row],[GBWI]]-Guide_Leicht[[#This Row],[GBBW]])*Guide_Leicht[[#This Row],[GBIH]]))*Guide_Leicht[[#This Row],[GBLE]])*$H$1/1000</f>
        <v>0.19656000000000001</v>
      </c>
      <c r="F395">
        <v>60</v>
      </c>
      <c r="G395">
        <v>25</v>
      </c>
      <c r="H395">
        <v>20</v>
      </c>
      <c r="I395">
        <v>0</v>
      </c>
      <c r="J395">
        <v>3</v>
      </c>
      <c r="L395" s="39">
        <v>1200</v>
      </c>
      <c r="M395">
        <v>40</v>
      </c>
      <c r="N395">
        <v>12</v>
      </c>
      <c r="O395">
        <f>(((Guide_Schwer[[#This Row],[GBWI]]*Guide_Schwer[[#This Row],[GBHE]])-((Guide_Schwer[[#This Row],[GBWI]]-Guide_Schwer[[#This Row],[GBBW]])*Guide_Schwer[[#This Row],[GBIH]]))*Guide_Schwer[[#This Row],[GBLE]])*$H$1/1000</f>
        <v>0.19656000000000001</v>
      </c>
      <c r="P395">
        <v>60</v>
      </c>
      <c r="Q395">
        <v>25</v>
      </c>
      <c r="R395">
        <v>20</v>
      </c>
      <c r="S395">
        <v>0</v>
      </c>
      <c r="T395">
        <v>3</v>
      </c>
      <c r="V395" s="39">
        <v>1200</v>
      </c>
      <c r="W395">
        <v>80</v>
      </c>
      <c r="X395">
        <v>30</v>
      </c>
      <c r="Y395">
        <f>IF(E517,((((Guide_DK[[#This Row],[GBWI]]*Guide_DK[[#This Row],[GBHE]])-((Guide_DK[[#This Row],[GBWI]]-Guide_DK[[#This Row],[GBBW]])*Guide_DK[[#This Row],[GBIH]]))*Guide_DK[[#This Row],[GBLE]])*$K$1/1000)*2,0)</f>
        <v>0</v>
      </c>
      <c r="Z395">
        <v>110</v>
      </c>
      <c r="AA395">
        <v>45</v>
      </c>
      <c r="AB395">
        <v>20</v>
      </c>
      <c r="AC395">
        <v>0</v>
      </c>
      <c r="AD395">
        <v>7</v>
      </c>
    </row>
    <row r="397" spans="2:31">
      <c r="X397" s="51" t="s">
        <v>257</v>
      </c>
      <c r="Y397" s="51" t="s">
        <v>258</v>
      </c>
      <c r="Z397" s="51"/>
      <c r="AA397" s="51" t="s">
        <v>260</v>
      </c>
      <c r="AB397" s="51" t="s">
        <v>261</v>
      </c>
      <c r="AC397" s="51" t="s">
        <v>262</v>
      </c>
      <c r="AD397" s="51" t="s">
        <v>263</v>
      </c>
      <c r="AE397" s="51" t="s">
        <v>264</v>
      </c>
    </row>
    <row r="398" spans="2:31">
      <c r="B398" t="s">
        <v>256</v>
      </c>
      <c r="C398" s="55" t="s">
        <v>422</v>
      </c>
      <c r="E398" t="s">
        <v>780</v>
      </c>
      <c r="L398" t="s">
        <v>772</v>
      </c>
      <c r="O398" t="s">
        <v>793</v>
      </c>
      <c r="X398" s="23" t="s">
        <v>163</v>
      </c>
      <c r="Y398" s="23" t="s">
        <v>164</v>
      </c>
      <c r="Z398" s="23" t="s">
        <v>165</v>
      </c>
      <c r="AA398" s="23" t="s">
        <v>166</v>
      </c>
      <c r="AB398" s="23" t="s">
        <v>167</v>
      </c>
      <c r="AC398" s="23" t="s">
        <v>168</v>
      </c>
      <c r="AD398" s="23" t="s">
        <v>169</v>
      </c>
      <c r="AE398" s="23" t="s">
        <v>170</v>
      </c>
    </row>
    <row r="399" spans="2:31">
      <c r="B399" t="s">
        <v>89</v>
      </c>
      <c r="C399" s="55" t="s">
        <v>257</v>
      </c>
      <c r="D399" t="s">
        <v>258</v>
      </c>
      <c r="E399" t="s">
        <v>259</v>
      </c>
      <c r="F399" t="s">
        <v>260</v>
      </c>
      <c r="G399" t="s">
        <v>261</v>
      </c>
      <c r="H399" t="s">
        <v>262</v>
      </c>
      <c r="I399" t="s">
        <v>263</v>
      </c>
      <c r="J399" t="s">
        <v>264</v>
      </c>
      <c r="L399" s="41" t="s">
        <v>89</v>
      </c>
      <c r="M399" s="15" t="s">
        <v>257</v>
      </c>
      <c r="N399" t="s">
        <v>258</v>
      </c>
      <c r="O399" t="s">
        <v>259</v>
      </c>
      <c r="P399" t="s">
        <v>260</v>
      </c>
      <c r="Q399" t="s">
        <v>261</v>
      </c>
      <c r="R399" t="s">
        <v>262</v>
      </c>
      <c r="S399" t="s">
        <v>263</v>
      </c>
      <c r="T399" t="s">
        <v>264</v>
      </c>
    </row>
    <row r="400" spans="2:31">
      <c r="B400">
        <f t="shared" ref="B400" si="66">IF($F$1="leicht",B372,IF($F$1="schwer",L372))</f>
        <v>15</v>
      </c>
      <c r="C400">
        <f>IF($U400="Csteel",Guide_CSteel[[#This Row],[GBBW]],IF($F$1="leicht",C372,IF($F$1="schwer",M372)))</f>
        <v>30</v>
      </c>
      <c r="D400">
        <f>IF($U400="Csteel",Guide_CSteel[[#This Row],[GBIH]],IF($F$1="leicht",D372,IF($F$1="schwer",N372)))</f>
        <v>10</v>
      </c>
      <c r="E400">
        <f>IF(S202,IF($U400="Csteel",Guide_CSteel[[#This Row],[GMAS]],IF($F$1="leicht",E372,IF($F$1="schwer",O372)))*2,0)</f>
        <v>0</v>
      </c>
      <c r="F400">
        <f>IF($U400="Csteel",Guide_CSteel[[#This Row],[GBWI]],IF($F$1="leicht",F372,IF($F$1="schwer",P372)))</f>
        <v>50</v>
      </c>
      <c r="G400">
        <f>IF($U400="Csteel",Guide_CSteel[[#This Row],[GBHE]],IF($F$1="leicht",G372,IF($F$1="schwer",Q372)))</f>
        <v>20</v>
      </c>
      <c r="H400">
        <f>IF($U400="Csteel",Guide_CSteel[[#This Row],[GBLE]],IF($F$1="leicht",H372,IF($F$1="schwer",R372)))</f>
        <v>15</v>
      </c>
      <c r="I400">
        <f>IF($U400="Csteel",Guide_CSteel[[#This Row],[GBTH]],IF($F$1="leicht",I372,IF($F$1="schwer",S372)))</f>
        <v>0</v>
      </c>
      <c r="J400">
        <f>IF($U400="Csteel",Guide_CSteel[[#This Row],[GBDS]],IF($F$1="leicht",J372,IF($F$1="schwer",T372)))</f>
        <v>3</v>
      </c>
      <c r="L400" s="40">
        <v>15</v>
      </c>
      <c r="M400">
        <v>30</v>
      </c>
      <c r="N400">
        <v>10</v>
      </c>
      <c r="O400">
        <f>(((Guide_CSteel[[#This Row],[GBWI]]*Guide_CSteel[[#This Row],[GBHE]])-((Guide_CSteel[[#This Row],[GBWI]]-Guide_CSteel[[#This Row],[GBBW]])*Guide_CSteel[[#This Row],[GBIH]]))*Guide_CSteel[[#This Row],[GBLE]])*$H$1/1000</f>
        <v>9.3599999999999989E-2</v>
      </c>
      <c r="P400">
        <v>50</v>
      </c>
      <c r="Q400">
        <v>20</v>
      </c>
      <c r="R400">
        <v>15</v>
      </c>
      <c r="S400">
        <v>0</v>
      </c>
      <c r="T400">
        <v>3</v>
      </c>
      <c r="U400" t="str" cm="1">
        <f t="array" ref="U400:U423">IF(Prim_Supp[Ext]&lt;&gt;0,"Csteel","")</f>
        <v/>
      </c>
    </row>
    <row r="401" spans="2:21">
      <c r="B401">
        <f t="shared" ref="B401:B423" si="67">IF($F$1="leicht",B373,IF($F$1="schwer",L373))</f>
        <v>20</v>
      </c>
      <c r="C401">
        <f>IF($U401="Csteel",Guide_CSteel[[#This Row],[GBBW]],IF($F$1="leicht",C373,IF($F$1="schwer",M373)))</f>
        <v>30</v>
      </c>
      <c r="D401">
        <f>IF($U401="Csteel",Guide_CSteel[[#This Row],[GBIH]],IF($F$1="leicht",D373,IF($F$1="schwer",N373)))</f>
        <v>10</v>
      </c>
      <c r="E401">
        <f>IF(S203,IF($U401="Csteel",Guide_CSteel[[#This Row],[GMAS]],IF($F$1="leicht",E373,IF($F$1="schwer",O373)))*2,0)</f>
        <v>0</v>
      </c>
      <c r="F401">
        <f>IF($U401="Csteel",Guide_CSteel[[#This Row],[GBWI]],IF($F$1="leicht",F373,IF($F$1="schwer",P373)))</f>
        <v>50</v>
      </c>
      <c r="G401">
        <f>IF($U401="Csteel",Guide_CSteel[[#This Row],[GBHE]],IF($F$1="leicht",G373,IF($F$1="schwer",Q373)))</f>
        <v>20</v>
      </c>
      <c r="H401">
        <f>IF($U401="Csteel",Guide_CSteel[[#This Row],[GBLE]],IF($F$1="leicht",H373,IF($F$1="schwer",R373)))</f>
        <v>15</v>
      </c>
      <c r="I401">
        <f>IF($U401="Csteel",Guide_CSteel[[#This Row],[GBTH]],IF($F$1="leicht",I373,IF($F$1="schwer",S373)))</f>
        <v>0</v>
      </c>
      <c r="J401">
        <f>IF($U401="Csteel",Guide_CSteel[[#This Row],[GBDS]],IF($F$1="leicht",J373,IF($F$1="schwer",T373)))</f>
        <v>3</v>
      </c>
      <c r="L401" s="39">
        <v>20</v>
      </c>
      <c r="M401">
        <v>30</v>
      </c>
      <c r="N401">
        <v>10</v>
      </c>
      <c r="O401">
        <f>(((Guide_CSteel[[#This Row],[GBWI]]*Guide_CSteel[[#This Row],[GBHE]])-((Guide_CSteel[[#This Row],[GBWI]]-Guide_CSteel[[#This Row],[GBBW]])*Guide_CSteel[[#This Row],[GBIH]]))*Guide_CSteel[[#This Row],[GBLE]])*$H$1/1000</f>
        <v>9.3599999999999989E-2</v>
      </c>
      <c r="P401">
        <v>50</v>
      </c>
      <c r="Q401">
        <v>20</v>
      </c>
      <c r="R401">
        <v>15</v>
      </c>
      <c r="S401">
        <v>0</v>
      </c>
      <c r="T401">
        <v>3</v>
      </c>
      <c r="U401" t="str">
        <v/>
      </c>
    </row>
    <row r="402" spans="2:21">
      <c r="B402">
        <f t="shared" si="67"/>
        <v>25</v>
      </c>
      <c r="C402">
        <f>IF($U402="Csteel",Guide_CSteel[[#This Row],[GBBW]],IF($F$1="leicht",C374,IF($F$1="schwer",M374)))</f>
        <v>30</v>
      </c>
      <c r="D402">
        <f>IF($U402="Csteel",Guide_CSteel[[#This Row],[GBIH]],IF($F$1="leicht",D374,IF($F$1="schwer",N374)))</f>
        <v>10</v>
      </c>
      <c r="E402">
        <f>IF(S204,IF($U402="Csteel",Guide_CSteel[[#This Row],[GMAS]],IF($F$1="leicht",E374,IF($F$1="schwer",O374)))*2,0)</f>
        <v>0</v>
      </c>
      <c r="F402">
        <f>IF($U402="Csteel",Guide_CSteel[[#This Row],[GBWI]],IF($F$1="leicht",F374,IF($F$1="schwer",P374)))</f>
        <v>50</v>
      </c>
      <c r="G402">
        <f>IF($U402="Csteel",Guide_CSteel[[#This Row],[GBHE]],IF($F$1="leicht",G374,IF($F$1="schwer",Q374)))</f>
        <v>20</v>
      </c>
      <c r="H402">
        <f>IF($U402="Csteel",Guide_CSteel[[#This Row],[GBLE]],IF($F$1="leicht",H374,IF($F$1="schwer",R374)))</f>
        <v>15</v>
      </c>
      <c r="I402">
        <f>IF($U402="Csteel",Guide_CSteel[[#This Row],[GBTH]],IF($F$1="leicht",I374,IF($F$1="schwer",S374)))</f>
        <v>0</v>
      </c>
      <c r="J402">
        <f>IF($U402="Csteel",Guide_CSteel[[#This Row],[GBDS]],IF($F$1="leicht",J374,IF($F$1="schwer",T374)))</f>
        <v>3</v>
      </c>
      <c r="L402" s="40">
        <v>25</v>
      </c>
      <c r="M402">
        <v>30</v>
      </c>
      <c r="N402">
        <v>10</v>
      </c>
      <c r="O402">
        <f>(((Guide_CSteel[[#This Row],[GBWI]]*Guide_CSteel[[#This Row],[GBHE]])-((Guide_CSteel[[#This Row],[GBWI]]-Guide_CSteel[[#This Row],[GBBW]])*Guide_CSteel[[#This Row],[GBIH]]))*Guide_CSteel[[#This Row],[GBLE]])*$H$1/1000</f>
        <v>9.3599999999999989E-2</v>
      </c>
      <c r="P402">
        <v>50</v>
      </c>
      <c r="Q402">
        <v>20</v>
      </c>
      <c r="R402">
        <v>15</v>
      </c>
      <c r="S402">
        <v>0</v>
      </c>
      <c r="T402">
        <v>3</v>
      </c>
      <c r="U402" t="str">
        <v/>
      </c>
    </row>
    <row r="403" spans="2:21">
      <c r="B403">
        <f t="shared" si="67"/>
        <v>32</v>
      </c>
      <c r="C403">
        <f>IF($U403="Csteel",Guide_CSteel[[#This Row],[GBBW]],IF($F$1="leicht",C375,IF($F$1="schwer",M375)))</f>
        <v>30</v>
      </c>
      <c r="D403">
        <f>IF($U403="Csteel",Guide_CSteel[[#This Row],[GBIH]],IF($F$1="leicht",D375,IF($F$1="schwer",N375)))</f>
        <v>10</v>
      </c>
      <c r="E403">
        <f>IF(S205,IF($U403="Csteel",Guide_CSteel[[#This Row],[GMAS]],IF($F$1="leicht",E375,IF($F$1="schwer",O375)))*2,0)</f>
        <v>0</v>
      </c>
      <c r="F403">
        <f>IF($U403="Csteel",Guide_CSteel[[#This Row],[GBWI]],IF($F$1="leicht",F375,IF($F$1="schwer",P375)))</f>
        <v>50</v>
      </c>
      <c r="G403">
        <f>IF($U403="Csteel",Guide_CSteel[[#This Row],[GBHE]],IF($F$1="leicht",G375,IF($F$1="schwer",Q375)))</f>
        <v>20</v>
      </c>
      <c r="H403">
        <f>IF($U403="Csteel",Guide_CSteel[[#This Row],[GBLE]],IF($F$1="leicht",H375,IF($F$1="schwer",R375)))</f>
        <v>15</v>
      </c>
      <c r="I403">
        <f>IF($U403="Csteel",Guide_CSteel[[#This Row],[GBTH]],IF($F$1="leicht",I375,IF($F$1="schwer",S375)))</f>
        <v>0</v>
      </c>
      <c r="J403">
        <f>IF($U403="Csteel",Guide_CSteel[[#This Row],[GBDS]],IF($F$1="leicht",J375,IF($F$1="schwer",T375)))</f>
        <v>3</v>
      </c>
      <c r="L403" s="39">
        <v>32</v>
      </c>
      <c r="M403">
        <v>30</v>
      </c>
      <c r="N403">
        <v>10</v>
      </c>
      <c r="O403">
        <f>(((Guide_CSteel[[#This Row],[GBWI]]*Guide_CSteel[[#This Row],[GBHE]])-((Guide_CSteel[[#This Row],[GBWI]]-Guide_CSteel[[#This Row],[GBBW]])*Guide_CSteel[[#This Row],[GBIH]]))*Guide_CSteel[[#This Row],[GBLE]])*$H$1/1000</f>
        <v>9.3599999999999989E-2</v>
      </c>
      <c r="P403">
        <v>50</v>
      </c>
      <c r="Q403">
        <v>20</v>
      </c>
      <c r="R403">
        <v>15</v>
      </c>
      <c r="S403">
        <v>0</v>
      </c>
      <c r="T403">
        <v>3</v>
      </c>
      <c r="U403" t="str">
        <v/>
      </c>
    </row>
    <row r="404" spans="2:21">
      <c r="B404">
        <f t="shared" si="67"/>
        <v>40</v>
      </c>
      <c r="C404">
        <f>IF($U404="Csteel",Guide_CSteel[[#This Row],[GBBW]],IF($F$1="leicht",C376,IF($F$1="schwer",M376)))</f>
        <v>30</v>
      </c>
      <c r="D404">
        <f>IF($U404="Csteel",Guide_CSteel[[#This Row],[GBIH]],IF($F$1="leicht",D376,IF($F$1="schwer",N376)))</f>
        <v>10</v>
      </c>
      <c r="E404">
        <f>IF(S206,IF($U404="Csteel",Guide_CSteel[[#This Row],[GMAS]],IF($F$1="leicht",E376,IF($F$1="schwer",O376)))*2,0)</f>
        <v>0</v>
      </c>
      <c r="F404">
        <f>IF($U404="Csteel",Guide_CSteel[[#This Row],[GBWI]],IF($F$1="leicht",F376,IF($F$1="schwer",P376)))</f>
        <v>50</v>
      </c>
      <c r="G404">
        <f>IF($U404="Csteel",Guide_CSteel[[#This Row],[GBHE]],IF($F$1="leicht",G376,IF($F$1="schwer",Q376)))</f>
        <v>20</v>
      </c>
      <c r="H404">
        <f>IF($U404="Csteel",Guide_CSteel[[#This Row],[GBLE]],IF($F$1="leicht",H376,IF($F$1="schwer",R376)))</f>
        <v>15</v>
      </c>
      <c r="I404">
        <f>IF($U404="Csteel",Guide_CSteel[[#This Row],[GBTH]],IF($F$1="leicht",I376,IF($F$1="schwer",S376)))</f>
        <v>0</v>
      </c>
      <c r="J404">
        <f>IF($U404="Csteel",Guide_CSteel[[#This Row],[GBDS]],IF($F$1="leicht",J376,IF($F$1="schwer",T376)))</f>
        <v>3</v>
      </c>
      <c r="L404" s="40">
        <v>40</v>
      </c>
      <c r="M404">
        <v>30</v>
      </c>
      <c r="N404">
        <v>10</v>
      </c>
      <c r="O404">
        <f>(((Guide_CSteel[[#This Row],[GBWI]]*Guide_CSteel[[#This Row],[GBHE]])-((Guide_CSteel[[#This Row],[GBWI]]-Guide_CSteel[[#This Row],[GBBW]])*Guide_CSteel[[#This Row],[GBIH]]))*Guide_CSteel[[#This Row],[GBLE]])*$H$1/1000</f>
        <v>9.3599999999999989E-2</v>
      </c>
      <c r="P404">
        <v>50</v>
      </c>
      <c r="Q404">
        <v>20</v>
      </c>
      <c r="R404">
        <v>15</v>
      </c>
      <c r="S404">
        <v>0</v>
      </c>
      <c r="T404">
        <v>3</v>
      </c>
      <c r="U404" t="str">
        <v/>
      </c>
    </row>
    <row r="405" spans="2:21">
      <c r="B405">
        <f t="shared" si="67"/>
        <v>50</v>
      </c>
      <c r="C405">
        <f>IF($U405="Csteel",Guide_CSteel[[#This Row],[GBBW]],IF($F$1="leicht",C377,IF($F$1="schwer",M377)))</f>
        <v>30</v>
      </c>
      <c r="D405">
        <f>IF($U405="Csteel",Guide_CSteel[[#This Row],[GBIH]],IF($F$1="leicht",D377,IF($F$1="schwer",N377)))</f>
        <v>10</v>
      </c>
      <c r="E405">
        <f>IF(S207,IF($U405="Csteel",Guide_CSteel[[#This Row],[GMAS]],IF($F$1="leicht",E377,IF($F$1="schwer",O377)))*2,0)</f>
        <v>0</v>
      </c>
      <c r="F405">
        <f>IF($U405="Csteel",Guide_CSteel[[#This Row],[GBWI]],IF($F$1="leicht",F377,IF($F$1="schwer",P377)))</f>
        <v>50</v>
      </c>
      <c r="G405">
        <f>IF($U405="Csteel",Guide_CSteel[[#This Row],[GBHE]],IF($F$1="leicht",G377,IF($F$1="schwer",Q377)))</f>
        <v>20</v>
      </c>
      <c r="H405">
        <f>IF($U405="Csteel",Guide_CSteel[[#This Row],[GBLE]],IF($F$1="leicht",H377,IF($F$1="schwer",R377)))</f>
        <v>15</v>
      </c>
      <c r="I405">
        <f>IF($U405="Csteel",Guide_CSteel[[#This Row],[GBTH]],IF($F$1="leicht",I377,IF($F$1="schwer",S377)))</f>
        <v>0</v>
      </c>
      <c r="J405">
        <f>IF($U405="Csteel",Guide_CSteel[[#This Row],[GBDS]],IF($F$1="leicht",J377,IF($F$1="schwer",T377)))</f>
        <v>3</v>
      </c>
      <c r="L405" s="39">
        <v>50</v>
      </c>
      <c r="M405">
        <v>30</v>
      </c>
      <c r="N405">
        <v>10</v>
      </c>
      <c r="O405">
        <f>(((Guide_CSteel[[#This Row],[GBWI]]*Guide_CSteel[[#This Row],[GBHE]])-((Guide_CSteel[[#This Row],[GBWI]]-Guide_CSteel[[#This Row],[GBBW]])*Guide_CSteel[[#This Row],[GBIH]]))*Guide_CSteel[[#This Row],[GBLE]])*$H$1/1000</f>
        <v>9.3599999999999989E-2</v>
      </c>
      <c r="P405">
        <v>50</v>
      </c>
      <c r="Q405">
        <v>20</v>
      </c>
      <c r="R405">
        <v>15</v>
      </c>
      <c r="S405">
        <v>0</v>
      </c>
      <c r="T405">
        <v>3</v>
      </c>
      <c r="U405" t="str">
        <v/>
      </c>
    </row>
    <row r="406" spans="2:21">
      <c r="B406">
        <f t="shared" si="67"/>
        <v>65</v>
      </c>
      <c r="C406">
        <f>IF($U406="Csteel",Guide_CSteel[[#This Row],[GBBW]],IF($F$1="leicht",C378,IF($F$1="schwer",M378)))</f>
        <v>30</v>
      </c>
      <c r="D406">
        <f>IF($U406="Csteel",Guide_CSteel[[#This Row],[GBIH]],IF($F$1="leicht",D378,IF($F$1="schwer",N378)))</f>
        <v>10</v>
      </c>
      <c r="E406">
        <f>IF(S208,IF($U406="Csteel",Guide_CSteel[[#This Row],[GMAS]],IF($F$1="leicht",E378,IF($F$1="schwer",O378)))*2,0)</f>
        <v>0</v>
      </c>
      <c r="F406">
        <f>IF($U406="Csteel",Guide_CSteel[[#This Row],[GBWI]],IF($F$1="leicht",F378,IF($F$1="schwer",P378)))</f>
        <v>50</v>
      </c>
      <c r="G406">
        <f>IF($U406="Csteel",Guide_CSteel[[#This Row],[GBHE]],IF($F$1="leicht",G378,IF($F$1="schwer",Q378)))</f>
        <v>20</v>
      </c>
      <c r="H406">
        <f>IF($U406="Csteel",Guide_CSteel[[#This Row],[GBLE]],IF($F$1="leicht",H378,IF($F$1="schwer",R378)))</f>
        <v>15</v>
      </c>
      <c r="I406">
        <f>IF($U406="Csteel",Guide_CSteel[[#This Row],[GBTH]],IF($F$1="leicht",I378,IF($F$1="schwer",S378)))</f>
        <v>0</v>
      </c>
      <c r="J406">
        <f>IF($U406="Csteel",Guide_CSteel[[#This Row],[GBDS]],IF($F$1="leicht",J378,IF($F$1="schwer",T378)))</f>
        <v>3</v>
      </c>
      <c r="L406" s="40">
        <v>65</v>
      </c>
      <c r="M406">
        <v>30</v>
      </c>
      <c r="N406">
        <v>10</v>
      </c>
      <c r="O406">
        <f>(((Guide_CSteel[[#This Row],[GBWI]]*Guide_CSteel[[#This Row],[GBHE]])-((Guide_CSteel[[#This Row],[GBWI]]-Guide_CSteel[[#This Row],[GBBW]])*Guide_CSteel[[#This Row],[GBIH]]))*Guide_CSteel[[#This Row],[GBLE]])*$H$1/1000</f>
        <v>9.3599999999999989E-2</v>
      </c>
      <c r="P406">
        <v>50</v>
      </c>
      <c r="Q406">
        <v>20</v>
      </c>
      <c r="R406">
        <v>15</v>
      </c>
      <c r="S406">
        <v>0</v>
      </c>
      <c r="T406">
        <v>3</v>
      </c>
      <c r="U406" t="str">
        <v/>
      </c>
    </row>
    <row r="407" spans="2:21">
      <c r="B407">
        <f t="shared" si="67"/>
        <v>80</v>
      </c>
      <c r="C407">
        <f>IF($U407="Csteel",Guide_CSteel[[#This Row],[GBBW]],IF($F$1="leicht",C379,IF($F$1="schwer",M379)))</f>
        <v>30</v>
      </c>
      <c r="D407">
        <f>IF($U407="Csteel",Guide_CSteel[[#This Row],[GBIH]],IF($F$1="leicht",D379,IF($F$1="schwer",N379)))</f>
        <v>10</v>
      </c>
      <c r="E407">
        <f>IF(S209,IF($U407="Csteel",Guide_CSteel[[#This Row],[GMAS]],IF($F$1="leicht",E379,IF($F$1="schwer",O379)))*2,0)</f>
        <v>0</v>
      </c>
      <c r="F407">
        <f>IF($U407="Csteel",Guide_CSteel[[#This Row],[GBWI]],IF($F$1="leicht",F379,IF($F$1="schwer",P379)))</f>
        <v>50</v>
      </c>
      <c r="G407">
        <f>IF($U407="Csteel",Guide_CSteel[[#This Row],[GBHE]],IF($F$1="leicht",G379,IF($F$1="schwer",Q379)))</f>
        <v>20</v>
      </c>
      <c r="H407">
        <f>IF($U407="Csteel",Guide_CSteel[[#This Row],[GBLE]],IF($F$1="leicht",H379,IF($F$1="schwer",R379)))</f>
        <v>15</v>
      </c>
      <c r="I407">
        <f>IF($U407="Csteel",Guide_CSteel[[#This Row],[GBTH]],IF($F$1="leicht",I379,IF($F$1="schwer",S379)))</f>
        <v>0</v>
      </c>
      <c r="J407">
        <f>IF($U407="Csteel",Guide_CSteel[[#This Row],[GBDS]],IF($F$1="leicht",J379,IF($F$1="schwer",T379)))</f>
        <v>3</v>
      </c>
      <c r="L407" s="39">
        <v>80</v>
      </c>
      <c r="M407">
        <v>30</v>
      </c>
      <c r="N407">
        <v>10</v>
      </c>
      <c r="O407">
        <f>(((Guide_CSteel[[#This Row],[GBWI]]*Guide_CSteel[[#This Row],[GBHE]])-((Guide_CSteel[[#This Row],[GBWI]]-Guide_CSteel[[#This Row],[GBBW]])*Guide_CSteel[[#This Row],[GBIH]]))*Guide_CSteel[[#This Row],[GBLE]])*$H$1/1000</f>
        <v>9.3599999999999989E-2</v>
      </c>
      <c r="P407">
        <v>50</v>
      </c>
      <c r="Q407">
        <v>20</v>
      </c>
      <c r="R407">
        <v>15</v>
      </c>
      <c r="S407">
        <v>0</v>
      </c>
      <c r="T407">
        <v>3</v>
      </c>
      <c r="U407" t="str">
        <v/>
      </c>
    </row>
    <row r="408" spans="2:21">
      <c r="B408">
        <f t="shared" si="67"/>
        <v>100</v>
      </c>
      <c r="C408">
        <f>IF($U408="Csteel",Guide_CSteel[[#This Row],[GBBW]],IF($F$1="leicht",C380,IF($F$1="schwer",M380)))</f>
        <v>30</v>
      </c>
      <c r="D408">
        <f>IF($U408="Csteel",Guide_CSteel[[#This Row],[GBIH]],IF($F$1="leicht",D380,IF($F$1="schwer",N380)))</f>
        <v>10</v>
      </c>
      <c r="E408">
        <f>IF(S210,IF($U408="Csteel",Guide_CSteel[[#This Row],[GMAS]],IF($F$1="leicht",E380,IF($F$1="schwer",O380)))*2,0)</f>
        <v>0</v>
      </c>
      <c r="F408">
        <f>IF($U408="Csteel",Guide_CSteel[[#This Row],[GBWI]],IF($F$1="leicht",F380,IF($F$1="schwer",P380)))</f>
        <v>50</v>
      </c>
      <c r="G408">
        <f>IF($U408="Csteel",Guide_CSteel[[#This Row],[GBHE]],IF($F$1="leicht",G380,IF($F$1="schwer",Q380)))</f>
        <v>20</v>
      </c>
      <c r="H408">
        <f>IF($U408="Csteel",Guide_CSteel[[#This Row],[GBLE]],IF($F$1="leicht",H380,IF($F$1="schwer",R380)))</f>
        <v>15</v>
      </c>
      <c r="I408">
        <f>IF($U408="Csteel",Guide_CSteel[[#This Row],[GBTH]],IF($F$1="leicht",I380,IF($F$1="schwer",S380)))</f>
        <v>0</v>
      </c>
      <c r="J408">
        <f>IF($U408="Csteel",Guide_CSteel[[#This Row],[GBDS]],IF($F$1="leicht",J380,IF($F$1="schwer",T380)))</f>
        <v>3</v>
      </c>
      <c r="L408" s="40">
        <v>100</v>
      </c>
      <c r="M408">
        <v>30</v>
      </c>
      <c r="N408">
        <v>10</v>
      </c>
      <c r="O408">
        <f>(((Guide_CSteel[[#This Row],[GBWI]]*Guide_CSteel[[#This Row],[GBHE]])-((Guide_CSteel[[#This Row],[GBWI]]-Guide_CSteel[[#This Row],[GBBW]])*Guide_CSteel[[#This Row],[GBIH]]))*Guide_CSteel[[#This Row],[GBLE]])*$H$1/1000</f>
        <v>9.3599999999999989E-2</v>
      </c>
      <c r="P408">
        <v>50</v>
      </c>
      <c r="Q408">
        <v>20</v>
      </c>
      <c r="R408">
        <v>15</v>
      </c>
      <c r="S408">
        <v>0</v>
      </c>
      <c r="T408">
        <v>3</v>
      </c>
      <c r="U408" t="str">
        <v>Csteel</v>
      </c>
    </row>
    <row r="409" spans="2:21">
      <c r="B409">
        <f t="shared" si="67"/>
        <v>125</v>
      </c>
      <c r="C409">
        <f>IF($U409="Csteel",Guide_CSteel[[#This Row],[GBBW]],IF($F$1="leicht",C381,IF($F$1="schwer",M381)))</f>
        <v>30</v>
      </c>
      <c r="D409">
        <f>IF($U409="Csteel",Guide_CSteel[[#This Row],[GBIH]],IF($F$1="leicht",D381,IF($F$1="schwer",N381)))</f>
        <v>10</v>
      </c>
      <c r="E409">
        <f>IF(S211,IF($U409="Csteel",Guide_CSteel[[#This Row],[GMAS]],IF($F$1="leicht",E381,IF($F$1="schwer",O381)))*2,0)</f>
        <v>0</v>
      </c>
      <c r="F409">
        <f>IF($U409="Csteel",Guide_CSteel[[#This Row],[GBWI]],IF($F$1="leicht",F381,IF($F$1="schwer",P381)))</f>
        <v>50</v>
      </c>
      <c r="G409">
        <f>IF($U409="Csteel",Guide_CSteel[[#This Row],[GBHE]],IF($F$1="leicht",G381,IF($F$1="schwer",Q381)))</f>
        <v>20</v>
      </c>
      <c r="H409">
        <f>IF($U409="Csteel",Guide_CSteel[[#This Row],[GBLE]],IF($F$1="leicht",H381,IF($F$1="schwer",R381)))</f>
        <v>15</v>
      </c>
      <c r="I409">
        <f>IF($U409="Csteel",Guide_CSteel[[#This Row],[GBTH]],IF($F$1="leicht",I381,IF($F$1="schwer",S381)))</f>
        <v>0</v>
      </c>
      <c r="J409">
        <f>IF($U409="Csteel",Guide_CSteel[[#This Row],[GBDS]],IF($F$1="leicht",J381,IF($F$1="schwer",T381)))</f>
        <v>3</v>
      </c>
      <c r="L409" s="39">
        <v>125</v>
      </c>
      <c r="M409">
        <v>30</v>
      </c>
      <c r="N409">
        <v>10</v>
      </c>
      <c r="O409">
        <f>(((Guide_CSteel[[#This Row],[GBWI]]*Guide_CSteel[[#This Row],[GBHE]])-((Guide_CSteel[[#This Row],[GBWI]]-Guide_CSteel[[#This Row],[GBBW]])*Guide_CSteel[[#This Row],[GBIH]]))*Guide_CSteel[[#This Row],[GBLE]])*$H$1/1000</f>
        <v>9.3599999999999989E-2</v>
      </c>
      <c r="P409">
        <v>50</v>
      </c>
      <c r="Q409">
        <v>20</v>
      </c>
      <c r="R409">
        <v>15</v>
      </c>
      <c r="S409">
        <v>0</v>
      </c>
      <c r="T409">
        <v>3</v>
      </c>
      <c r="U409" t="str">
        <v>Csteel</v>
      </c>
    </row>
    <row r="410" spans="2:21">
      <c r="B410">
        <f t="shared" si="67"/>
        <v>150</v>
      </c>
      <c r="C410">
        <f>IF($U410="Csteel",Guide_CSteel[[#This Row],[GBBW]],IF($F$1="leicht",C382,IF($F$1="schwer",M382)))</f>
        <v>30</v>
      </c>
      <c r="D410">
        <f>IF($U410="Csteel",Guide_CSteel[[#This Row],[GBIH]],IF($F$1="leicht",D382,IF($F$1="schwer",N382)))</f>
        <v>10</v>
      </c>
      <c r="E410">
        <f>IF(S212,IF($U410="Csteel",Guide_CSteel[[#This Row],[GMAS]],IF($F$1="leicht",E382,IF($F$1="schwer",O382)))*2,0)</f>
        <v>0</v>
      </c>
      <c r="F410">
        <f>IF($U410="Csteel",Guide_CSteel[[#This Row],[GBWI]],IF($F$1="leicht",F382,IF($F$1="schwer",P382)))</f>
        <v>50</v>
      </c>
      <c r="G410">
        <f>IF($U410="Csteel",Guide_CSteel[[#This Row],[GBHE]],IF($F$1="leicht",G382,IF($F$1="schwer",Q382)))</f>
        <v>20</v>
      </c>
      <c r="H410">
        <f>IF($U410="Csteel",Guide_CSteel[[#This Row],[GBLE]],IF($F$1="leicht",H382,IF($F$1="schwer",R382)))</f>
        <v>15</v>
      </c>
      <c r="I410">
        <f>IF($U410="Csteel",Guide_CSteel[[#This Row],[GBTH]],IF($F$1="leicht",I382,IF($F$1="schwer",S382)))</f>
        <v>0</v>
      </c>
      <c r="J410">
        <f>IF($U410="Csteel",Guide_CSteel[[#This Row],[GBDS]],IF($F$1="leicht",J382,IF($F$1="schwer",T382)))</f>
        <v>3</v>
      </c>
      <c r="L410" s="40">
        <v>150</v>
      </c>
      <c r="M410">
        <v>30</v>
      </c>
      <c r="N410">
        <v>10</v>
      </c>
      <c r="O410">
        <f>(((Guide_CSteel[[#This Row],[GBWI]]*Guide_CSteel[[#This Row],[GBHE]])-((Guide_CSteel[[#This Row],[GBWI]]-Guide_CSteel[[#This Row],[GBBW]])*Guide_CSteel[[#This Row],[GBIH]]))*Guide_CSteel[[#This Row],[GBLE]])*$H$1/1000</f>
        <v>9.3599999999999989E-2</v>
      </c>
      <c r="P410">
        <v>50</v>
      </c>
      <c r="Q410">
        <v>20</v>
      </c>
      <c r="R410">
        <v>15</v>
      </c>
      <c r="S410">
        <v>0</v>
      </c>
      <c r="T410">
        <v>3</v>
      </c>
      <c r="U410" t="str">
        <v>Csteel</v>
      </c>
    </row>
    <row r="411" spans="2:21">
      <c r="B411">
        <f t="shared" si="67"/>
        <v>200</v>
      </c>
      <c r="C411">
        <f>IF($U411="Csteel",Guide_CSteel[[#This Row],[GBBW]],IF($F$1="leicht",C383,IF($F$1="schwer",M383)))</f>
        <v>30</v>
      </c>
      <c r="D411">
        <f>IF($U411="Csteel",Guide_CSteel[[#This Row],[GBIH]],IF($F$1="leicht",D383,IF($F$1="schwer",N383)))</f>
        <v>10</v>
      </c>
      <c r="E411">
        <f>IF(S213,IF($U411="Csteel",Guide_CSteel[[#This Row],[GMAS]],IF($F$1="leicht",E383,IF($F$1="schwer",O383)))*2,0)</f>
        <v>0</v>
      </c>
      <c r="F411">
        <f>IF($U411="Csteel",Guide_CSteel[[#This Row],[GBWI]],IF($F$1="leicht",F383,IF($F$1="schwer",P383)))</f>
        <v>50</v>
      </c>
      <c r="G411">
        <f>IF($U411="Csteel",Guide_CSteel[[#This Row],[GBHE]],IF($F$1="leicht",G383,IF($F$1="schwer",Q383)))</f>
        <v>20</v>
      </c>
      <c r="H411">
        <f>IF($U411="Csteel",Guide_CSteel[[#This Row],[GBLE]],IF($F$1="leicht",H383,IF($F$1="schwer",R383)))</f>
        <v>15</v>
      </c>
      <c r="I411">
        <f>IF($U411="Csteel",Guide_CSteel[[#This Row],[GBTH]],IF($F$1="leicht",I383,IF($F$1="schwer",S383)))</f>
        <v>0</v>
      </c>
      <c r="J411">
        <f>IF($U411="Csteel",Guide_CSteel[[#This Row],[GBDS]],IF($F$1="leicht",J383,IF($F$1="schwer",T383)))</f>
        <v>3</v>
      </c>
      <c r="L411" s="39">
        <v>200</v>
      </c>
      <c r="M411">
        <v>30</v>
      </c>
      <c r="N411">
        <v>10</v>
      </c>
      <c r="O411">
        <f>(((Guide_CSteel[[#This Row],[GBWI]]*Guide_CSteel[[#This Row],[GBHE]])-((Guide_CSteel[[#This Row],[GBWI]]-Guide_CSteel[[#This Row],[GBBW]])*Guide_CSteel[[#This Row],[GBIH]]))*Guide_CSteel[[#This Row],[GBLE]])*$H$1/1000</f>
        <v>9.3599999999999989E-2</v>
      </c>
      <c r="P411">
        <v>50</v>
      </c>
      <c r="Q411">
        <v>20</v>
      </c>
      <c r="R411">
        <v>15</v>
      </c>
      <c r="S411">
        <v>0</v>
      </c>
      <c r="T411">
        <v>3</v>
      </c>
      <c r="U411" t="str">
        <v>Csteel</v>
      </c>
    </row>
    <row r="412" spans="2:21">
      <c r="B412">
        <f t="shared" si="67"/>
        <v>250</v>
      </c>
      <c r="C412">
        <f>IF($U412="Csteel",Guide_CSteel[[#This Row],[GBBW]],IF($F$1="leicht",C384,IF($F$1="schwer",M384)))</f>
        <v>30</v>
      </c>
      <c r="D412">
        <f>IF($U412="Csteel",Guide_CSteel[[#This Row],[GBIH]],IF($F$1="leicht",D384,IF($F$1="schwer",N384)))</f>
        <v>10</v>
      </c>
      <c r="E412">
        <f>IF(S214,IF($U412="Csteel",Guide_CSteel[[#This Row],[GMAS]],IF($F$1="leicht",E384,IF($F$1="schwer",O384)))*2,0)</f>
        <v>0</v>
      </c>
      <c r="F412">
        <f>IF($U412="Csteel",Guide_CSteel[[#This Row],[GBWI]],IF($F$1="leicht",F384,IF($F$1="schwer",P384)))</f>
        <v>50</v>
      </c>
      <c r="G412">
        <f>IF($U412="Csteel",Guide_CSteel[[#This Row],[GBHE]],IF($F$1="leicht",G384,IF($F$1="schwer",Q384)))</f>
        <v>20</v>
      </c>
      <c r="H412">
        <f>IF($U412="Csteel",Guide_CSteel[[#This Row],[GBLE]],IF($F$1="leicht",H384,IF($F$1="schwer",R384)))</f>
        <v>15</v>
      </c>
      <c r="I412">
        <f>IF($U412="Csteel",Guide_CSteel[[#This Row],[GBTH]],IF($F$1="leicht",I384,IF($F$1="schwer",S384)))</f>
        <v>0</v>
      </c>
      <c r="J412">
        <f>IF($U412="Csteel",Guide_CSteel[[#This Row],[GBDS]],IF($F$1="leicht",J384,IF($F$1="schwer",T384)))</f>
        <v>3</v>
      </c>
      <c r="L412" s="40">
        <v>250</v>
      </c>
      <c r="M412">
        <v>30</v>
      </c>
      <c r="N412">
        <v>10</v>
      </c>
      <c r="O412">
        <f>(((Guide_CSteel[[#This Row],[GBWI]]*Guide_CSteel[[#This Row],[GBHE]])-((Guide_CSteel[[#This Row],[GBWI]]-Guide_CSteel[[#This Row],[GBBW]])*Guide_CSteel[[#This Row],[GBIH]]))*Guide_CSteel[[#This Row],[GBLE]])*$H$1/1000</f>
        <v>9.3599999999999989E-2</v>
      </c>
      <c r="P412">
        <v>50</v>
      </c>
      <c r="Q412">
        <v>20</v>
      </c>
      <c r="R412">
        <v>15</v>
      </c>
      <c r="S412">
        <v>0</v>
      </c>
      <c r="T412">
        <v>3</v>
      </c>
      <c r="U412" t="str">
        <v>Csteel</v>
      </c>
    </row>
    <row r="413" spans="2:21">
      <c r="B413">
        <f t="shared" si="67"/>
        <v>300</v>
      </c>
      <c r="C413">
        <f>IF($U413="Csteel",Guide_CSteel[[#This Row],[GBBW]],IF($F$1="leicht",C385,IF($F$1="schwer",M385)))</f>
        <v>30</v>
      </c>
      <c r="D413">
        <f>IF($U413="Csteel",Guide_CSteel[[#This Row],[GBIH]],IF($F$1="leicht",D385,IF($F$1="schwer",N385)))</f>
        <v>10</v>
      </c>
      <c r="E413">
        <f>IF(S215,IF($U413="Csteel",Guide_CSteel[[#This Row],[GMAS]],IF($F$1="leicht",E385,IF($F$1="schwer",O385)))*2,0)</f>
        <v>0</v>
      </c>
      <c r="F413">
        <f>IF($U413="Csteel",Guide_CSteel[[#This Row],[GBWI]],IF($F$1="leicht",F385,IF($F$1="schwer",P385)))</f>
        <v>50</v>
      </c>
      <c r="G413">
        <f>IF($U413="Csteel",Guide_CSteel[[#This Row],[GBHE]],IF($F$1="leicht",G385,IF($F$1="schwer",Q385)))</f>
        <v>20</v>
      </c>
      <c r="H413">
        <f>IF($U413="Csteel",Guide_CSteel[[#This Row],[GBLE]],IF($F$1="leicht",H385,IF($F$1="schwer",R385)))</f>
        <v>15</v>
      </c>
      <c r="I413">
        <f>IF($U413="Csteel",Guide_CSteel[[#This Row],[GBTH]],IF($F$1="leicht",I385,IF($F$1="schwer",S385)))</f>
        <v>0</v>
      </c>
      <c r="J413">
        <f>IF($U413="Csteel",Guide_CSteel[[#This Row],[GBDS]],IF($F$1="leicht",J385,IF($F$1="schwer",T385)))</f>
        <v>3</v>
      </c>
      <c r="L413" s="39">
        <v>300</v>
      </c>
      <c r="M413">
        <v>30</v>
      </c>
      <c r="N413">
        <v>10</v>
      </c>
      <c r="O413">
        <f>(((Guide_CSteel[[#This Row],[GBWI]]*Guide_CSteel[[#This Row],[GBHE]])-((Guide_CSteel[[#This Row],[GBWI]]-Guide_CSteel[[#This Row],[GBBW]])*Guide_CSteel[[#This Row],[GBIH]]))*Guide_CSteel[[#This Row],[GBLE]])*$H$1/1000</f>
        <v>9.3599999999999989E-2</v>
      </c>
      <c r="P413">
        <v>50</v>
      </c>
      <c r="Q413">
        <v>20</v>
      </c>
      <c r="R413">
        <v>15</v>
      </c>
      <c r="S413">
        <v>0</v>
      </c>
      <c r="T413">
        <v>3</v>
      </c>
      <c r="U413" t="str">
        <v>Csteel</v>
      </c>
    </row>
    <row r="414" spans="2:21">
      <c r="B414">
        <f t="shared" si="67"/>
        <v>350</v>
      </c>
      <c r="C414">
        <f>IF($U414="Csteel",Guide_CSteel[[#This Row],[GBBW]],IF($F$1="leicht",C386,IF($F$1="schwer",M386)))</f>
        <v>30</v>
      </c>
      <c r="D414">
        <f>IF($U414="Csteel",Guide_CSteel[[#This Row],[GBIH]],IF($F$1="leicht",D386,IF($F$1="schwer",N386)))</f>
        <v>10</v>
      </c>
      <c r="E414">
        <f>IF(S216,IF($U414="Csteel",Guide_CSteel[[#This Row],[GMAS]],IF($F$1="leicht",E386,IF($F$1="schwer",O386)))*2,0)</f>
        <v>0</v>
      </c>
      <c r="F414">
        <f>IF($U414="Csteel",Guide_CSteel[[#This Row],[GBWI]],IF($F$1="leicht",F386,IF($F$1="schwer",P386)))</f>
        <v>50</v>
      </c>
      <c r="G414">
        <f>IF($U414="Csteel",Guide_CSteel[[#This Row],[GBHE]],IF($F$1="leicht",G386,IF($F$1="schwer",Q386)))</f>
        <v>20</v>
      </c>
      <c r="H414">
        <f>IF($U414="Csteel",Guide_CSteel[[#This Row],[GBLE]],IF($F$1="leicht",H386,IF($F$1="schwer",R386)))</f>
        <v>15</v>
      </c>
      <c r="I414">
        <f>IF($U414="Csteel",Guide_CSteel[[#This Row],[GBTH]],IF($F$1="leicht",I386,IF($F$1="schwer",S386)))</f>
        <v>0</v>
      </c>
      <c r="J414">
        <f>IF($U414="Csteel",Guide_CSteel[[#This Row],[GBDS]],IF($F$1="leicht",J386,IF($F$1="schwer",T386)))</f>
        <v>3</v>
      </c>
      <c r="L414" s="40">
        <v>350</v>
      </c>
      <c r="M414">
        <v>30</v>
      </c>
      <c r="N414">
        <v>10</v>
      </c>
      <c r="O414">
        <f>(((Guide_CSteel[[#This Row],[GBWI]]*Guide_CSteel[[#This Row],[GBHE]])-((Guide_CSteel[[#This Row],[GBWI]]-Guide_CSteel[[#This Row],[GBBW]])*Guide_CSteel[[#This Row],[GBIH]]))*Guide_CSteel[[#This Row],[GBLE]])*$H$1/1000</f>
        <v>9.3599999999999989E-2</v>
      </c>
      <c r="P414">
        <v>50</v>
      </c>
      <c r="Q414">
        <v>20</v>
      </c>
      <c r="R414">
        <v>15</v>
      </c>
      <c r="S414">
        <v>0</v>
      </c>
      <c r="T414">
        <v>3</v>
      </c>
      <c r="U414" t="str">
        <v>Csteel</v>
      </c>
    </row>
    <row r="415" spans="2:21">
      <c r="B415">
        <f t="shared" si="67"/>
        <v>400</v>
      </c>
      <c r="C415">
        <f>IF($U415="Csteel",Guide_CSteel[[#This Row],[GBBW]],IF($F$1="leicht",C387,IF($F$1="schwer",M387)))</f>
        <v>30</v>
      </c>
      <c r="D415">
        <f>IF($U415="Csteel",Guide_CSteel[[#This Row],[GBIH]],IF($F$1="leicht",D387,IF($F$1="schwer",N387)))</f>
        <v>13</v>
      </c>
      <c r="E415">
        <f>IF(S217,IF($U415="Csteel",Guide_CSteel[[#This Row],[GMAS]],IF($F$1="leicht",E387,IF($F$1="schwer",O387)))*2,0)</f>
        <v>0</v>
      </c>
      <c r="F415">
        <f>IF($U415="Csteel",Guide_CSteel[[#This Row],[GBWI]],IF($F$1="leicht",F387,IF($F$1="schwer",P387)))</f>
        <v>50</v>
      </c>
      <c r="G415">
        <f>IF($U415="Csteel",Guide_CSteel[[#This Row],[GBHE]],IF($F$1="leicht",G387,IF($F$1="schwer",Q387)))</f>
        <v>25</v>
      </c>
      <c r="H415">
        <f>IF($U415="Csteel",Guide_CSteel[[#This Row],[GBLE]],IF($F$1="leicht",H387,IF($F$1="schwer",R387)))</f>
        <v>20</v>
      </c>
      <c r="I415">
        <f>IF($U415="Csteel",Guide_CSteel[[#This Row],[GBTH]],IF($F$1="leicht",I387,IF($F$1="schwer",S387)))</f>
        <v>0</v>
      </c>
      <c r="J415">
        <f>IF($U415="Csteel",Guide_CSteel[[#This Row],[GBDS]],IF($F$1="leicht",J387,IF($F$1="schwer",T387)))</f>
        <v>3</v>
      </c>
      <c r="L415" s="39">
        <v>400</v>
      </c>
      <c r="M415">
        <v>30</v>
      </c>
      <c r="N415">
        <v>13</v>
      </c>
      <c r="O415">
        <f>(((Guide_CSteel[[#This Row],[GBWI]]*Guide_CSteel[[#This Row],[GBHE]])-((Guide_CSteel[[#This Row],[GBWI]]-Guide_CSteel[[#This Row],[GBBW]])*Guide_CSteel[[#This Row],[GBIH]]))*Guide_CSteel[[#This Row],[GBLE]])*$H$1/1000</f>
        <v>0.15443999999999999</v>
      </c>
      <c r="P415">
        <v>50</v>
      </c>
      <c r="Q415">
        <v>25</v>
      </c>
      <c r="R415">
        <v>20</v>
      </c>
      <c r="S415">
        <v>0</v>
      </c>
      <c r="T415">
        <v>3</v>
      </c>
      <c r="U415" t="str">
        <v>Csteel</v>
      </c>
    </row>
    <row r="416" spans="2:21">
      <c r="B416">
        <f t="shared" si="67"/>
        <v>450</v>
      </c>
      <c r="C416">
        <f>IF($U416="Csteel",Guide_CSteel[[#This Row],[GBBW]],IF($F$1="leicht",C388,IF($F$1="schwer",M388)))</f>
        <v>30</v>
      </c>
      <c r="D416">
        <f>IF($U416="Csteel",Guide_CSteel[[#This Row],[GBIH]],IF($F$1="leicht",D388,IF($F$1="schwer",N388)))</f>
        <v>13</v>
      </c>
      <c r="E416">
        <f>IF(S218,IF($U416="Csteel",Guide_CSteel[[#This Row],[GMAS]],IF($F$1="leicht",E388,IF($F$1="schwer",O388)))*2,0)</f>
        <v>0</v>
      </c>
      <c r="F416">
        <f>IF($U416="Csteel",Guide_CSteel[[#This Row],[GBWI]],IF($F$1="leicht",F388,IF($F$1="schwer",P388)))</f>
        <v>50</v>
      </c>
      <c r="G416">
        <f>IF($U416="Csteel",Guide_CSteel[[#This Row],[GBHE]],IF($F$1="leicht",G388,IF($F$1="schwer",Q388)))</f>
        <v>25</v>
      </c>
      <c r="H416">
        <f>IF($U416="Csteel",Guide_CSteel[[#This Row],[GBLE]],IF($F$1="leicht",H388,IF($F$1="schwer",R388)))</f>
        <v>20</v>
      </c>
      <c r="I416">
        <f>IF($U416="Csteel",Guide_CSteel[[#This Row],[GBTH]],IF($F$1="leicht",I388,IF($F$1="schwer",S388)))</f>
        <v>0</v>
      </c>
      <c r="J416">
        <f>IF($U416="Csteel",Guide_CSteel[[#This Row],[GBDS]],IF($F$1="leicht",J388,IF($F$1="schwer",T388)))</f>
        <v>3</v>
      </c>
      <c r="L416" s="40">
        <v>450</v>
      </c>
      <c r="M416">
        <v>30</v>
      </c>
      <c r="N416">
        <v>13</v>
      </c>
      <c r="O416">
        <f>(((Guide_CSteel[[#This Row],[GBWI]]*Guide_CSteel[[#This Row],[GBHE]])-((Guide_CSteel[[#This Row],[GBWI]]-Guide_CSteel[[#This Row],[GBBW]])*Guide_CSteel[[#This Row],[GBIH]]))*Guide_CSteel[[#This Row],[GBLE]])*$H$1/1000</f>
        <v>0.15443999999999999</v>
      </c>
      <c r="P416">
        <v>50</v>
      </c>
      <c r="Q416">
        <v>25</v>
      </c>
      <c r="R416">
        <v>20</v>
      </c>
      <c r="S416">
        <v>0</v>
      </c>
      <c r="T416">
        <v>3</v>
      </c>
      <c r="U416" t="str">
        <v>Csteel</v>
      </c>
    </row>
    <row r="417" spans="2:21">
      <c r="B417">
        <f t="shared" si="67"/>
        <v>500</v>
      </c>
      <c r="C417">
        <f>IF($U417="Csteel",Guide_CSteel[[#This Row],[GBBW]],IF($F$1="leicht",C389,IF($F$1="schwer",M389)))</f>
        <v>30</v>
      </c>
      <c r="D417">
        <f>IF($U417="Csteel",Guide_CSteel[[#This Row],[GBIH]],IF($F$1="leicht",D389,IF($F$1="schwer",N389)))</f>
        <v>13</v>
      </c>
      <c r="E417">
        <f>IF(S219,IF($U417="Csteel",Guide_CSteel[[#This Row],[GMAS]],IF($F$1="leicht",E389,IF($F$1="schwer",O389)))*2,0)</f>
        <v>0</v>
      </c>
      <c r="F417">
        <f>IF($U417="Csteel",Guide_CSteel[[#This Row],[GBWI]],IF($F$1="leicht",F389,IF($F$1="schwer",P389)))</f>
        <v>50</v>
      </c>
      <c r="G417">
        <f>IF($U417="Csteel",Guide_CSteel[[#This Row],[GBHE]],IF($F$1="leicht",G389,IF($F$1="schwer",Q389)))</f>
        <v>25</v>
      </c>
      <c r="H417">
        <f>IF($U417="Csteel",Guide_CSteel[[#This Row],[GBLE]],IF($F$1="leicht",H389,IF($F$1="schwer",R389)))</f>
        <v>20</v>
      </c>
      <c r="I417">
        <f>IF($U417="Csteel",Guide_CSteel[[#This Row],[GBTH]],IF($F$1="leicht",I389,IF($F$1="schwer",S389)))</f>
        <v>0</v>
      </c>
      <c r="J417">
        <f>IF($U417="Csteel",Guide_CSteel[[#This Row],[GBDS]],IF($F$1="leicht",J389,IF($F$1="schwer",T389)))</f>
        <v>3</v>
      </c>
      <c r="L417" s="39">
        <v>500</v>
      </c>
      <c r="M417">
        <v>30</v>
      </c>
      <c r="N417">
        <v>13</v>
      </c>
      <c r="O417">
        <f>(((Guide_CSteel[[#This Row],[GBWI]]*Guide_CSteel[[#This Row],[GBHE]])-((Guide_CSteel[[#This Row],[GBWI]]-Guide_CSteel[[#This Row],[GBBW]])*Guide_CSteel[[#This Row],[GBIH]]))*Guide_CSteel[[#This Row],[GBLE]])*$H$1/1000</f>
        <v>0.15443999999999999</v>
      </c>
      <c r="P417">
        <v>50</v>
      </c>
      <c r="Q417">
        <v>25</v>
      </c>
      <c r="R417">
        <v>20</v>
      </c>
      <c r="S417">
        <v>0</v>
      </c>
      <c r="T417">
        <v>3</v>
      </c>
      <c r="U417" t="str">
        <v>Csteel</v>
      </c>
    </row>
    <row r="418" spans="2:21">
      <c r="B418">
        <f t="shared" si="67"/>
        <v>600</v>
      </c>
      <c r="C418">
        <f>IF($U418="Csteel",Guide_CSteel[[#This Row],[GBBW]],IF($F$1="leicht",C390,IF($F$1="schwer",M390)))</f>
        <v>30</v>
      </c>
      <c r="D418">
        <f>IF($U418="Csteel",Guide_CSteel[[#This Row],[GBIH]],IF($F$1="leicht",D390,IF($F$1="schwer",N390)))</f>
        <v>13</v>
      </c>
      <c r="E418">
        <f>IF(S220,IF($U418="Csteel",Guide_CSteel[[#This Row],[GMAS]],IF($F$1="leicht",E390,IF($F$1="schwer",O390)))*2,0)</f>
        <v>0</v>
      </c>
      <c r="F418">
        <f>IF($U418="Csteel",Guide_CSteel[[#This Row],[GBWI]],IF($F$1="leicht",F390,IF($F$1="schwer",P390)))</f>
        <v>50</v>
      </c>
      <c r="G418">
        <f>IF($U418="Csteel",Guide_CSteel[[#This Row],[GBHE]],IF($F$1="leicht",G390,IF($F$1="schwer",Q390)))</f>
        <v>25</v>
      </c>
      <c r="H418">
        <f>IF($U418="Csteel",Guide_CSteel[[#This Row],[GBLE]],IF($F$1="leicht",H390,IF($F$1="schwer",R390)))</f>
        <v>20</v>
      </c>
      <c r="I418">
        <f>IF($U418="Csteel",Guide_CSteel[[#This Row],[GBTH]],IF($F$1="leicht",I390,IF($F$1="schwer",S390)))</f>
        <v>0</v>
      </c>
      <c r="J418">
        <f>IF($U418="Csteel",Guide_CSteel[[#This Row],[GBDS]],IF($F$1="leicht",J390,IF($F$1="schwer",T390)))</f>
        <v>3</v>
      </c>
      <c r="L418" s="40">
        <v>600</v>
      </c>
      <c r="M418">
        <v>30</v>
      </c>
      <c r="N418">
        <v>13</v>
      </c>
      <c r="O418">
        <f>(((Guide_CSteel[[#This Row],[GBWI]]*Guide_CSteel[[#This Row],[GBHE]])-((Guide_CSteel[[#This Row],[GBWI]]-Guide_CSteel[[#This Row],[GBBW]])*Guide_CSteel[[#This Row],[GBIH]]))*Guide_CSteel[[#This Row],[GBLE]])*$H$1/1000</f>
        <v>0.15443999999999999</v>
      </c>
      <c r="P418">
        <v>50</v>
      </c>
      <c r="Q418">
        <v>25</v>
      </c>
      <c r="R418">
        <v>20</v>
      </c>
      <c r="S418">
        <v>0</v>
      </c>
      <c r="T418">
        <v>3</v>
      </c>
      <c r="U418" t="str">
        <v>Csteel</v>
      </c>
    </row>
    <row r="419" spans="2:21">
      <c r="B419">
        <f t="shared" si="67"/>
        <v>700</v>
      </c>
      <c r="C419">
        <f>IF($U419="Csteel",Guide_CSteel[[#This Row],[GBBW]],IF($F$1="leicht",C391,IF($F$1="schwer",M391)))</f>
        <v>30</v>
      </c>
      <c r="D419">
        <f>IF($U419="Csteel",Guide_CSteel[[#This Row],[GBIH]],IF($F$1="leicht",D391,IF($F$1="schwer",N391)))</f>
        <v>13</v>
      </c>
      <c r="E419">
        <f>IF(S221,IF($U419="Csteel",Guide_CSteel[[#This Row],[GMAS]],IF($F$1="leicht",E391,IF($F$1="schwer",O391)))*2,0)</f>
        <v>0</v>
      </c>
      <c r="F419">
        <f>IF($U419="Csteel",Guide_CSteel[[#This Row],[GBWI]],IF($F$1="leicht",F391,IF($F$1="schwer",P391)))</f>
        <v>50</v>
      </c>
      <c r="G419">
        <f>IF($U419="Csteel",Guide_CSteel[[#This Row],[GBHE]],IF($F$1="leicht",G391,IF($F$1="schwer",Q391)))</f>
        <v>25</v>
      </c>
      <c r="H419">
        <f>IF($U419="Csteel",Guide_CSteel[[#This Row],[GBLE]],IF($F$1="leicht",H391,IF($F$1="schwer",R391)))</f>
        <v>20</v>
      </c>
      <c r="I419">
        <f>IF($U419="Csteel",Guide_CSteel[[#This Row],[GBTH]],IF($F$1="leicht",I391,IF($F$1="schwer",S391)))</f>
        <v>0</v>
      </c>
      <c r="J419">
        <f>IF($U419="Csteel",Guide_CSteel[[#This Row],[GBDS]],IF($F$1="leicht",J391,IF($F$1="schwer",T391)))</f>
        <v>3</v>
      </c>
      <c r="L419" s="39">
        <v>700</v>
      </c>
      <c r="M419">
        <v>30</v>
      </c>
      <c r="N419">
        <v>13</v>
      </c>
      <c r="O419">
        <f>(((Guide_CSteel[[#This Row],[GBWI]]*Guide_CSteel[[#This Row],[GBHE]])-((Guide_CSteel[[#This Row],[GBWI]]-Guide_CSteel[[#This Row],[GBBW]])*Guide_CSteel[[#This Row],[GBIH]]))*Guide_CSteel[[#This Row],[GBLE]])*$H$1/1000</f>
        <v>0.15443999999999999</v>
      </c>
      <c r="P419">
        <v>50</v>
      </c>
      <c r="Q419">
        <v>25</v>
      </c>
      <c r="R419">
        <v>20</v>
      </c>
      <c r="S419">
        <v>0</v>
      </c>
      <c r="T419">
        <v>3</v>
      </c>
      <c r="U419" t="str">
        <v>Csteel</v>
      </c>
    </row>
    <row r="420" spans="2:21">
      <c r="B420">
        <f t="shared" si="67"/>
        <v>800</v>
      </c>
      <c r="C420">
        <f>IF($U420="Csteel",Guide_CSteel[[#This Row],[GBBW]],IF($F$1="leicht",C392,IF($F$1="schwer",M392)))</f>
        <v>30</v>
      </c>
      <c r="D420">
        <f>IF($U420="Csteel",Guide_CSteel[[#This Row],[GBIH]],IF($F$1="leicht",D392,IF($F$1="schwer",N392)))</f>
        <v>18</v>
      </c>
      <c r="E420">
        <f>IF(S222,IF($U420="Csteel",Guide_CSteel[[#This Row],[GMAS]],IF($F$1="leicht",E392,IF($F$1="schwer",O392)))*2,0)</f>
        <v>0</v>
      </c>
      <c r="F420">
        <f>IF($U420="Csteel",Guide_CSteel[[#This Row],[GBWI]],IF($F$1="leicht",F392,IF($F$1="schwer",P392)))</f>
        <v>60</v>
      </c>
      <c r="G420">
        <f>IF($U420="Csteel",Guide_CSteel[[#This Row],[GBHE]],IF($F$1="leicht",G392,IF($F$1="schwer",Q392)))</f>
        <v>30</v>
      </c>
      <c r="H420">
        <f>IF($U420="Csteel",Guide_CSteel[[#This Row],[GBLE]],IF($F$1="leicht",H392,IF($F$1="schwer",R392)))</f>
        <v>20</v>
      </c>
      <c r="I420">
        <f>IF($U420="Csteel",Guide_CSteel[[#This Row],[GBTH]],IF($F$1="leicht",I392,IF($F$1="schwer",S392)))</f>
        <v>0</v>
      </c>
      <c r="J420">
        <f>IF($U420="Csteel",Guide_CSteel[[#This Row],[GBDS]],IF($F$1="leicht",J392,IF($F$1="schwer",T392)))</f>
        <v>3</v>
      </c>
      <c r="L420" s="40">
        <v>800</v>
      </c>
      <c r="M420">
        <v>30</v>
      </c>
      <c r="N420">
        <v>18</v>
      </c>
      <c r="O420">
        <f>(((Guide_CSteel[[#This Row],[GBWI]]*Guide_CSteel[[#This Row],[GBHE]])-((Guide_CSteel[[#This Row],[GBWI]]-Guide_CSteel[[#This Row],[GBBW]])*Guide_CSteel[[#This Row],[GBIH]]))*Guide_CSteel[[#This Row],[GBLE]])*$H$1/1000</f>
        <v>0.19656000000000001</v>
      </c>
      <c r="P420">
        <v>60</v>
      </c>
      <c r="Q420">
        <v>30</v>
      </c>
      <c r="R420">
        <v>20</v>
      </c>
      <c r="S420">
        <v>0</v>
      </c>
      <c r="T420">
        <v>3</v>
      </c>
      <c r="U420" t="str">
        <v>Csteel</v>
      </c>
    </row>
    <row r="421" spans="2:21">
      <c r="B421">
        <f t="shared" si="67"/>
        <v>900</v>
      </c>
      <c r="C421">
        <f>IF($U421="Csteel",Guide_CSteel[[#This Row],[GBBW]],IF($F$1="leicht",C393,IF($F$1="schwer",M393)))</f>
        <v>30</v>
      </c>
      <c r="D421">
        <f>IF($U421="Csteel",Guide_CSteel[[#This Row],[GBIH]],IF($F$1="leicht",D393,IF($F$1="schwer",N393)))</f>
        <v>18</v>
      </c>
      <c r="E421">
        <f>IF(S223,IF($U421="Csteel",Guide_CSteel[[#This Row],[GMAS]],IF($F$1="leicht",E393,IF($F$1="schwer",O393)))*2,0)</f>
        <v>0</v>
      </c>
      <c r="F421">
        <f>IF($U421="Csteel",Guide_CSteel[[#This Row],[GBWI]],IF($F$1="leicht",F393,IF($F$1="schwer",P393)))</f>
        <v>60</v>
      </c>
      <c r="G421">
        <f>IF($U421="Csteel",Guide_CSteel[[#This Row],[GBHE]],IF($F$1="leicht",G393,IF($F$1="schwer",Q393)))</f>
        <v>30</v>
      </c>
      <c r="H421">
        <f>IF($U421="Csteel",Guide_CSteel[[#This Row],[GBLE]],IF($F$1="leicht",H393,IF($F$1="schwer",R393)))</f>
        <v>20</v>
      </c>
      <c r="I421">
        <f>IF($U421="Csteel",Guide_CSteel[[#This Row],[GBTH]],IF($F$1="leicht",I393,IF($F$1="schwer",S393)))</f>
        <v>0</v>
      </c>
      <c r="J421">
        <f>IF($U421="Csteel",Guide_CSteel[[#This Row],[GBDS]],IF($F$1="leicht",J393,IF($F$1="schwer",T393)))</f>
        <v>3</v>
      </c>
      <c r="L421" s="39">
        <v>900</v>
      </c>
      <c r="M421">
        <v>30</v>
      </c>
      <c r="N421">
        <v>18</v>
      </c>
      <c r="O421">
        <f>(((Guide_CSteel[[#This Row],[GBWI]]*Guide_CSteel[[#This Row],[GBHE]])-((Guide_CSteel[[#This Row],[GBWI]]-Guide_CSteel[[#This Row],[GBBW]])*Guide_CSteel[[#This Row],[GBIH]]))*Guide_CSteel[[#This Row],[GBLE]])*$H$1/1000</f>
        <v>0.19656000000000001</v>
      </c>
      <c r="P421">
        <v>60</v>
      </c>
      <c r="Q421">
        <v>30</v>
      </c>
      <c r="R421">
        <v>20</v>
      </c>
      <c r="S421">
        <v>0</v>
      </c>
      <c r="T421">
        <v>3</v>
      </c>
      <c r="U421" t="str">
        <v>Csteel</v>
      </c>
    </row>
    <row r="422" spans="2:21">
      <c r="B422">
        <f t="shared" si="67"/>
        <v>1000</v>
      </c>
      <c r="C422">
        <f>IF($U422="Csteel",Guide_CSteel[[#This Row],[GBBW]],IF($F$1="leicht",C394,IF($F$1="schwer",M394)))</f>
        <v>30</v>
      </c>
      <c r="D422">
        <f>IF($U422="Csteel",Guide_CSteel[[#This Row],[GBIH]],IF($F$1="leicht",D394,IF($F$1="schwer",N394)))</f>
        <v>18</v>
      </c>
      <c r="E422">
        <f>IF(S224,IF($U422="Csteel",Guide_CSteel[[#This Row],[GMAS]],IF($F$1="leicht",E394,IF($F$1="schwer",O394)))*2,0)</f>
        <v>0</v>
      </c>
      <c r="F422">
        <f>IF($U422="Csteel",Guide_CSteel[[#This Row],[GBWI]],IF($F$1="leicht",F394,IF($F$1="schwer",P394)))</f>
        <v>60</v>
      </c>
      <c r="G422">
        <f>IF($U422="Csteel",Guide_CSteel[[#This Row],[GBHE]],IF($F$1="leicht",G394,IF($F$1="schwer",Q394)))</f>
        <v>30</v>
      </c>
      <c r="H422">
        <f>IF($U422="Csteel",Guide_CSteel[[#This Row],[GBLE]],IF($F$1="leicht",H394,IF($F$1="schwer",R394)))</f>
        <v>20</v>
      </c>
      <c r="I422">
        <f>IF($U422="Csteel",Guide_CSteel[[#This Row],[GBTH]],IF($F$1="leicht",I394,IF($F$1="schwer",S394)))</f>
        <v>0</v>
      </c>
      <c r="J422">
        <f>IF($U422="Csteel",Guide_CSteel[[#This Row],[GBDS]],IF($F$1="leicht",J394,IF($F$1="schwer",T394)))</f>
        <v>3</v>
      </c>
      <c r="L422" s="40">
        <v>1000</v>
      </c>
      <c r="M422">
        <v>30</v>
      </c>
      <c r="N422">
        <v>18</v>
      </c>
      <c r="O422">
        <f>(((Guide_CSteel[[#This Row],[GBWI]]*Guide_CSteel[[#This Row],[GBHE]])-((Guide_CSteel[[#This Row],[GBWI]]-Guide_CSteel[[#This Row],[GBBW]])*Guide_CSteel[[#This Row],[GBIH]]))*Guide_CSteel[[#This Row],[GBLE]])*$H$1/1000</f>
        <v>0.19656000000000001</v>
      </c>
      <c r="P422">
        <v>60</v>
      </c>
      <c r="Q422">
        <v>30</v>
      </c>
      <c r="R422">
        <v>20</v>
      </c>
      <c r="S422">
        <v>0</v>
      </c>
      <c r="T422">
        <v>3</v>
      </c>
      <c r="U422" t="str">
        <v>Csteel</v>
      </c>
    </row>
    <row r="423" spans="2:21">
      <c r="B423">
        <f t="shared" si="67"/>
        <v>1200</v>
      </c>
      <c r="C423">
        <f>IF($U423="Csteel",Guide_CSteel[[#This Row],[GBBW]],IF($F$1="leicht",C395,IF($F$1="schwer",M395)))</f>
        <v>30</v>
      </c>
      <c r="D423">
        <f>IF($U423="Csteel",Guide_CSteel[[#This Row],[GBIH]],IF($F$1="leicht",D395,IF($F$1="schwer",N395)))</f>
        <v>18</v>
      </c>
      <c r="E423">
        <f>IF(S225,IF($U423="Csteel",Guide_CSteel[[#This Row],[GMAS]],IF($F$1="leicht",E395,IF($F$1="schwer",O395)))*2,0)</f>
        <v>0</v>
      </c>
      <c r="F423">
        <f>IF($U423="Csteel",Guide_CSteel[[#This Row],[GBWI]],IF($F$1="leicht",F395,IF($F$1="schwer",P395)))</f>
        <v>60</v>
      </c>
      <c r="G423">
        <f>IF($U423="Csteel",Guide_CSteel[[#This Row],[GBHE]],IF($F$1="leicht",G395,IF($F$1="schwer",Q395)))</f>
        <v>30</v>
      </c>
      <c r="H423">
        <f>IF($U423="Csteel",Guide_CSteel[[#This Row],[GBLE]],IF($F$1="leicht",H395,IF($F$1="schwer",R395)))</f>
        <v>20</v>
      </c>
      <c r="I423">
        <f>IF($U423="Csteel",Guide_CSteel[[#This Row],[GBTH]],IF($F$1="leicht",I395,IF($F$1="schwer",S395)))</f>
        <v>0</v>
      </c>
      <c r="J423">
        <f>IF($U423="Csteel",Guide_CSteel[[#This Row],[GBDS]],IF($F$1="leicht",J395,IF($F$1="schwer",T395)))</f>
        <v>3</v>
      </c>
      <c r="L423" s="39">
        <v>1200</v>
      </c>
      <c r="M423">
        <v>30</v>
      </c>
      <c r="N423">
        <v>18</v>
      </c>
      <c r="O423">
        <f>(((Guide_CSteel[[#This Row],[GBWI]]*Guide_CSteel[[#This Row],[GBHE]])-((Guide_CSteel[[#This Row],[GBWI]]-Guide_CSteel[[#This Row],[GBBW]])*Guide_CSteel[[#This Row],[GBIH]]))*Guide_CSteel[[#This Row],[GBLE]])*$H$1/1000</f>
        <v>0.19656000000000001</v>
      </c>
      <c r="P423">
        <v>60</v>
      </c>
      <c r="Q423">
        <v>30</v>
      </c>
      <c r="R423">
        <v>20</v>
      </c>
      <c r="S423">
        <v>0</v>
      </c>
      <c r="T423">
        <v>3</v>
      </c>
      <c r="U423" t="str">
        <v>Csteel</v>
      </c>
    </row>
    <row r="426" spans="2:21">
      <c r="B426" t="s">
        <v>306</v>
      </c>
      <c r="C426" t="s">
        <v>323</v>
      </c>
      <c r="H426" t="s">
        <v>436</v>
      </c>
      <c r="I426" t="s">
        <v>440</v>
      </c>
      <c r="J426" t="s">
        <v>441</v>
      </c>
      <c r="L426" t="s">
        <v>438</v>
      </c>
      <c r="N426" s="67" t="s">
        <v>442</v>
      </c>
      <c r="O426" s="67" t="s">
        <v>443</v>
      </c>
      <c r="P426" s="67" t="s">
        <v>443</v>
      </c>
    </row>
    <row r="427" spans="2:21">
      <c r="B427" s="17" t="s">
        <v>89</v>
      </c>
      <c r="C427" s="17" t="s">
        <v>118</v>
      </c>
      <c r="D427" s="17" t="s">
        <v>109</v>
      </c>
      <c r="E427" s="17" t="s">
        <v>286</v>
      </c>
      <c r="F427" s="17" t="s">
        <v>287</v>
      </c>
      <c r="G427" s="33"/>
      <c r="H427" s="17" t="s">
        <v>89</v>
      </c>
      <c r="I427" s="17" t="s">
        <v>277</v>
      </c>
      <c r="J427" s="17" t="s">
        <v>437</v>
      </c>
      <c r="L427" t="s">
        <v>89</v>
      </c>
      <c r="M427" t="s">
        <v>21</v>
      </c>
      <c r="N427" t="s">
        <v>24</v>
      </c>
      <c r="O427" t="s">
        <v>360</v>
      </c>
      <c r="P427" t="s">
        <v>23</v>
      </c>
      <c r="Q427" s="68" t="s">
        <v>444</v>
      </c>
      <c r="R427" s="68" t="s">
        <v>446</v>
      </c>
      <c r="S427" s="68" t="s">
        <v>445</v>
      </c>
      <c r="T427" t="s">
        <v>447</v>
      </c>
      <c r="U427" t="s">
        <v>448</v>
      </c>
    </row>
    <row r="428" spans="2:21">
      <c r="B428" s="11">
        <v>15</v>
      </c>
      <c r="C428" s="22">
        <v>0</v>
      </c>
      <c r="D428" s="22">
        <v>0</v>
      </c>
      <c r="E428" s="22">
        <v>0</v>
      </c>
      <c r="F428" s="22">
        <v>0</v>
      </c>
      <c r="H428" s="11">
        <v>15</v>
      </c>
      <c r="I428" s="22">
        <v>0</v>
      </c>
      <c r="J428" s="22">
        <v>0</v>
      </c>
      <c r="L428">
        <v>15</v>
      </c>
      <c r="M428">
        <f t="shared" ref="M428:M451" si="68">L288</f>
        <v>135</v>
      </c>
      <c r="N428">
        <f>IF(DK_Final_CL[[#This Row],[DN]]&lt;&gt;450,M288+Fill_Plate[[#This Row],[THK]],0)</f>
        <v>135</v>
      </c>
      <c r="O428">
        <f>IF(DK_Final_CL[[#This Row],[DN]]&lt;&gt;450,M288+Sliding_Plate[[#This Row],[THK_PLT]]+Sliding_Plate[[#This Row],[THK_SHOE]],0)</f>
        <v>135</v>
      </c>
      <c r="P428">
        <f>IF(DK_Final_CL[[#This Row],[DN]]&lt;&gt;450,M288+Sliding_Plate[[#This Row],[THK_PLT]]+Sliding_Plate[[#This Row],[THK_SHOE]],0)</f>
        <v>135</v>
      </c>
      <c r="Q428" s="68">
        <f>DK_Final_CL[[#This Row],[FP]]-DK_Final_CL[[#This Row],[PFP]]</f>
        <v>0</v>
      </c>
      <c r="R428" s="68">
        <f>DK_Final_CL[[#This Row],[FP]]-DK_Final_CL[[#This Row],[GB]]</f>
        <v>0</v>
      </c>
      <c r="S428" s="68">
        <f>DK_Final_CL[[#This Row],[FP]]-DK_Final_CL[[#This Row],[GS]]</f>
        <v>0</v>
      </c>
      <c r="T428" s="68">
        <f>IF($D$1="PFP",DK_Final_CL[[#This Row],[PFP]],IF($D$1="FP",DK_Final_CL[[#This Row],[FP]],IF($D$1="GB",DK_Final_CL[[#This Row],[GB]],IF($D$1="GS",DK_Final_CL[[#This Row],[GS]]))))</f>
        <v>135</v>
      </c>
      <c r="U428" s="68">
        <f>MAX(DK_Final_CL[[#This Row],[FP]:[GS]])</f>
        <v>135</v>
      </c>
    </row>
    <row r="429" spans="2:21">
      <c r="B429" s="13">
        <v>20</v>
      </c>
      <c r="C429" s="22">
        <v>0</v>
      </c>
      <c r="D429" s="22">
        <v>0</v>
      </c>
      <c r="E429" s="22">
        <v>0</v>
      </c>
      <c r="F429" s="22">
        <v>0</v>
      </c>
      <c r="H429" s="13">
        <v>20</v>
      </c>
      <c r="I429" s="22">
        <v>0</v>
      </c>
      <c r="J429" s="22">
        <v>0</v>
      </c>
      <c r="L429">
        <v>20</v>
      </c>
      <c r="M429">
        <f t="shared" si="68"/>
        <v>138.5</v>
      </c>
      <c r="N429">
        <f>IF(DK_Final_CL[[#This Row],[DN]]&lt;&gt;450,M289+Fill_Plate[[#This Row],[THK]],0)</f>
        <v>138.5</v>
      </c>
      <c r="O429">
        <f>IF(DK_Final_CL[[#This Row],[DN]]&lt;&gt;450,M289+Sliding_Plate[[#This Row],[THK_PLT]]+Sliding_Plate[[#This Row],[THK_SHOE]],0)</f>
        <v>138.5</v>
      </c>
      <c r="P429">
        <f>IF(DK_Final_CL[[#This Row],[DN]]&lt;&gt;450,M289+Sliding_Plate[[#This Row],[THK_PLT]]+Sliding_Plate[[#This Row],[THK_SHOE]],0)</f>
        <v>138.5</v>
      </c>
      <c r="Q429" s="68">
        <f>DK_Final_CL[[#This Row],[FP]]-DK_Final_CL[[#This Row],[PFP]]</f>
        <v>0</v>
      </c>
      <c r="R429" s="68">
        <f>DK_Final_CL[[#This Row],[FP]]-DK_Final_CL[[#This Row],[GB]]</f>
        <v>0</v>
      </c>
      <c r="S429" s="68">
        <f>DK_Final_CL[[#This Row],[FP]]-DK_Final_CL[[#This Row],[GS]]</f>
        <v>0</v>
      </c>
      <c r="T429" s="68">
        <f>IF($D$1="PFP",DK_Final_CL[[#This Row],[PFP]],IF($D$1="FP",DK_Final_CL[[#This Row],[FP]],IF($D$1="GB",DK_Final_CL[[#This Row],[GB]],IF($D$1="GS",DK_Final_CL[[#This Row],[GS]]))))</f>
        <v>138.5</v>
      </c>
      <c r="U429" s="68">
        <f>MAX(DK_Final_CL[[#This Row],[FP]:[GS]])</f>
        <v>138.5</v>
      </c>
    </row>
    <row r="430" spans="2:21">
      <c r="B430" s="11">
        <v>25</v>
      </c>
      <c r="C430" s="22">
        <v>0</v>
      </c>
      <c r="D430" s="22">
        <v>0</v>
      </c>
      <c r="E430" s="22">
        <v>0</v>
      </c>
      <c r="F430" s="22">
        <v>0</v>
      </c>
      <c r="H430" s="11">
        <v>25</v>
      </c>
      <c r="I430" s="22">
        <v>0</v>
      </c>
      <c r="J430" s="22">
        <v>0</v>
      </c>
      <c r="L430">
        <v>25</v>
      </c>
      <c r="M430">
        <f t="shared" si="68"/>
        <v>142</v>
      </c>
      <c r="N430">
        <f>IF(DK_Final_CL[[#This Row],[DN]]&lt;&gt;450,M290+Fill_Plate[[#This Row],[THK]],0)</f>
        <v>142</v>
      </c>
      <c r="O430">
        <f>IF(DK_Final_CL[[#This Row],[DN]]&lt;&gt;450,M290+Sliding_Plate[[#This Row],[THK_PLT]]+Sliding_Plate[[#This Row],[THK_SHOE]],0)</f>
        <v>142</v>
      </c>
      <c r="P430">
        <f>IF(DK_Final_CL[[#This Row],[DN]]&lt;&gt;450,M290+Sliding_Plate[[#This Row],[THK_PLT]]+Sliding_Plate[[#This Row],[THK_SHOE]],0)</f>
        <v>142</v>
      </c>
      <c r="Q430" s="68">
        <f>DK_Final_CL[[#This Row],[FP]]-DK_Final_CL[[#This Row],[PFP]]</f>
        <v>0</v>
      </c>
      <c r="R430" s="68">
        <f>DK_Final_CL[[#This Row],[FP]]-DK_Final_CL[[#This Row],[GB]]</f>
        <v>0</v>
      </c>
      <c r="S430" s="68">
        <f>DK_Final_CL[[#This Row],[FP]]-DK_Final_CL[[#This Row],[GS]]</f>
        <v>0</v>
      </c>
      <c r="T430" s="68">
        <f>IF($D$1="PFP",DK_Final_CL[[#This Row],[PFP]],IF($D$1="FP",DK_Final_CL[[#This Row],[FP]],IF($D$1="GB",DK_Final_CL[[#This Row],[GB]],IF($D$1="GS",DK_Final_CL[[#This Row],[GS]]))))</f>
        <v>142</v>
      </c>
      <c r="U430" s="68">
        <f>MAX(DK_Final_CL[[#This Row],[FP]:[GS]])</f>
        <v>142</v>
      </c>
    </row>
    <row r="431" spans="2:21">
      <c r="B431" s="13">
        <v>32</v>
      </c>
      <c r="C431" s="22">
        <v>0</v>
      </c>
      <c r="D431" s="22">
        <v>0</v>
      </c>
      <c r="E431" s="22">
        <v>0</v>
      </c>
      <c r="F431" s="22">
        <v>0</v>
      </c>
      <c r="H431" s="13">
        <v>32</v>
      </c>
      <c r="I431" s="22">
        <v>0</v>
      </c>
      <c r="J431" s="22">
        <v>0</v>
      </c>
      <c r="L431">
        <v>32</v>
      </c>
      <c r="M431">
        <f t="shared" si="68"/>
        <v>146.5</v>
      </c>
      <c r="N431">
        <f>IF(DK_Final_CL[[#This Row],[DN]]&lt;&gt;450,M291+Fill_Plate[[#This Row],[THK]],0)</f>
        <v>146.5</v>
      </c>
      <c r="O431">
        <f>IF(DK_Final_CL[[#This Row],[DN]]&lt;&gt;450,M291+Sliding_Plate[[#This Row],[THK_PLT]]+Sliding_Plate[[#This Row],[THK_SHOE]],0)</f>
        <v>146.5</v>
      </c>
      <c r="P431">
        <f>IF(DK_Final_CL[[#This Row],[DN]]&lt;&gt;450,M291+Sliding_Plate[[#This Row],[THK_PLT]]+Sliding_Plate[[#This Row],[THK_SHOE]],0)</f>
        <v>146.5</v>
      </c>
      <c r="Q431" s="68">
        <f>DK_Final_CL[[#This Row],[FP]]-DK_Final_CL[[#This Row],[PFP]]</f>
        <v>0</v>
      </c>
      <c r="R431" s="68">
        <f>DK_Final_CL[[#This Row],[FP]]-DK_Final_CL[[#This Row],[GB]]</f>
        <v>0</v>
      </c>
      <c r="S431" s="68">
        <f>DK_Final_CL[[#This Row],[FP]]-DK_Final_CL[[#This Row],[GS]]</f>
        <v>0</v>
      </c>
      <c r="T431" s="68">
        <f>IF($D$1="PFP",DK_Final_CL[[#This Row],[PFP]],IF($D$1="FP",DK_Final_CL[[#This Row],[FP]],IF($D$1="GB",DK_Final_CL[[#This Row],[GB]],IF($D$1="GS",DK_Final_CL[[#This Row],[GS]]))))</f>
        <v>146.5</v>
      </c>
      <c r="U431" s="68">
        <f>MAX(DK_Final_CL[[#This Row],[FP]:[GS]])</f>
        <v>146.5</v>
      </c>
    </row>
    <row r="432" spans="2:21">
      <c r="B432" s="11">
        <v>40</v>
      </c>
      <c r="C432" s="22">
        <v>0</v>
      </c>
      <c r="D432" s="22">
        <v>0</v>
      </c>
      <c r="E432" s="22">
        <v>0</v>
      </c>
      <c r="F432" s="22">
        <v>0</v>
      </c>
      <c r="H432" s="11">
        <v>40</v>
      </c>
      <c r="I432" s="22">
        <v>0</v>
      </c>
      <c r="J432" s="22">
        <v>0</v>
      </c>
      <c r="L432">
        <v>40</v>
      </c>
      <c r="M432">
        <f t="shared" si="68"/>
        <v>149.5</v>
      </c>
      <c r="N432">
        <f>IF(DK_Final_CL[[#This Row],[DN]]&lt;&gt;450,M292+Fill_Plate[[#This Row],[THK]],0)</f>
        <v>149.5</v>
      </c>
      <c r="O432">
        <f>IF(DK_Final_CL[[#This Row],[DN]]&lt;&gt;450,M292+Sliding_Plate[[#This Row],[THK_PLT]]+Sliding_Plate[[#This Row],[THK_SHOE]],0)</f>
        <v>149.5</v>
      </c>
      <c r="P432">
        <f>IF(DK_Final_CL[[#This Row],[DN]]&lt;&gt;450,M292+Sliding_Plate[[#This Row],[THK_PLT]]+Sliding_Plate[[#This Row],[THK_SHOE]],0)</f>
        <v>149.5</v>
      </c>
      <c r="Q432" s="68">
        <f>DK_Final_CL[[#This Row],[FP]]-DK_Final_CL[[#This Row],[PFP]]</f>
        <v>0</v>
      </c>
      <c r="R432" s="68">
        <f>DK_Final_CL[[#This Row],[FP]]-DK_Final_CL[[#This Row],[GB]]</f>
        <v>0</v>
      </c>
      <c r="S432" s="68">
        <f>DK_Final_CL[[#This Row],[FP]]-DK_Final_CL[[#This Row],[GS]]</f>
        <v>0</v>
      </c>
      <c r="T432" s="68">
        <f>IF($D$1="PFP",DK_Final_CL[[#This Row],[PFP]],IF($D$1="FP",DK_Final_CL[[#This Row],[FP]],IF($D$1="GB",DK_Final_CL[[#This Row],[GB]],IF($D$1="GS",DK_Final_CL[[#This Row],[GS]]))))</f>
        <v>149.5</v>
      </c>
      <c r="U432" s="68">
        <f>MAX(DK_Final_CL[[#This Row],[FP]:[GS]])</f>
        <v>149.5</v>
      </c>
    </row>
    <row r="433" spans="2:21">
      <c r="B433" s="13">
        <v>50</v>
      </c>
      <c r="C433" s="22">
        <v>0</v>
      </c>
      <c r="D433" s="22">
        <v>0</v>
      </c>
      <c r="E433" s="22">
        <v>0</v>
      </c>
      <c r="F433" s="22">
        <v>0</v>
      </c>
      <c r="H433" s="13">
        <v>50</v>
      </c>
      <c r="I433" s="22">
        <v>0</v>
      </c>
      <c r="J433" s="22">
        <v>0</v>
      </c>
      <c r="L433">
        <v>50</v>
      </c>
      <c r="M433">
        <f t="shared" si="68"/>
        <v>156.5</v>
      </c>
      <c r="N433">
        <f>IF(DK_Final_CL[[#This Row],[DN]]&lt;&gt;450,M293+Fill_Plate[[#This Row],[THK]],0)</f>
        <v>156.5</v>
      </c>
      <c r="O433">
        <f>IF(DK_Final_CL[[#This Row],[DN]]&lt;&gt;450,M293+Sliding_Plate[[#This Row],[THK_PLT]]+Sliding_Plate[[#This Row],[THK_SHOE]],0)</f>
        <v>156.5</v>
      </c>
      <c r="P433">
        <f>IF(DK_Final_CL[[#This Row],[DN]]&lt;&gt;450,M293+Sliding_Plate[[#This Row],[THK_PLT]]+Sliding_Plate[[#This Row],[THK_SHOE]],0)</f>
        <v>156.5</v>
      </c>
      <c r="Q433" s="68">
        <f>DK_Final_CL[[#This Row],[FP]]-DK_Final_CL[[#This Row],[PFP]]</f>
        <v>0</v>
      </c>
      <c r="R433" s="68">
        <f>DK_Final_CL[[#This Row],[FP]]-DK_Final_CL[[#This Row],[GB]]</f>
        <v>0</v>
      </c>
      <c r="S433" s="68">
        <f>DK_Final_CL[[#This Row],[FP]]-DK_Final_CL[[#This Row],[GS]]</f>
        <v>0</v>
      </c>
      <c r="T433" s="68">
        <f>IF($D$1="PFP",DK_Final_CL[[#This Row],[PFP]],IF($D$1="FP",DK_Final_CL[[#This Row],[FP]],IF($D$1="GB",DK_Final_CL[[#This Row],[GB]],IF($D$1="GS",DK_Final_CL[[#This Row],[GS]]))))</f>
        <v>156.5</v>
      </c>
      <c r="U433" s="68">
        <f>MAX(DK_Final_CL[[#This Row],[FP]:[GS]])</f>
        <v>156.5</v>
      </c>
    </row>
    <row r="434" spans="2:21">
      <c r="B434" s="11">
        <v>65</v>
      </c>
      <c r="C434" s="22">
        <v>0</v>
      </c>
      <c r="D434" s="22">
        <v>0</v>
      </c>
      <c r="E434" s="22">
        <v>0</v>
      </c>
      <c r="F434" s="22">
        <v>0</v>
      </c>
      <c r="H434" s="11">
        <v>65</v>
      </c>
      <c r="I434" s="22">
        <v>0</v>
      </c>
      <c r="J434" s="22">
        <v>0</v>
      </c>
      <c r="L434">
        <v>65</v>
      </c>
      <c r="M434">
        <f t="shared" si="68"/>
        <v>164.5</v>
      </c>
      <c r="N434">
        <f>IF(DK_Final_CL[[#This Row],[DN]]&lt;&gt;450,M294+Fill_Plate[[#This Row],[THK]],0)</f>
        <v>164.5</v>
      </c>
      <c r="O434">
        <f>IF(DK_Final_CL[[#This Row],[DN]]&lt;&gt;450,M294+Sliding_Plate[[#This Row],[THK_PLT]]+Sliding_Plate[[#This Row],[THK_SHOE]],0)</f>
        <v>164.5</v>
      </c>
      <c r="P434">
        <f>IF(DK_Final_CL[[#This Row],[DN]]&lt;&gt;450,M294+Sliding_Plate[[#This Row],[THK_PLT]]+Sliding_Plate[[#This Row],[THK_SHOE]],0)</f>
        <v>164.5</v>
      </c>
      <c r="Q434" s="68">
        <f>DK_Final_CL[[#This Row],[FP]]-DK_Final_CL[[#This Row],[PFP]]</f>
        <v>0</v>
      </c>
      <c r="R434" s="68">
        <f>DK_Final_CL[[#This Row],[FP]]-DK_Final_CL[[#This Row],[GB]]</f>
        <v>0</v>
      </c>
      <c r="S434" s="68">
        <f>DK_Final_CL[[#This Row],[FP]]-DK_Final_CL[[#This Row],[GS]]</f>
        <v>0</v>
      </c>
      <c r="T434" s="68">
        <f>IF($D$1="PFP",DK_Final_CL[[#This Row],[PFP]],IF($D$1="FP",DK_Final_CL[[#This Row],[FP]],IF($D$1="GB",DK_Final_CL[[#This Row],[GB]],IF($D$1="GS",DK_Final_CL[[#This Row],[GS]]))))</f>
        <v>164.5</v>
      </c>
      <c r="U434" s="68">
        <f>MAX(DK_Final_CL[[#This Row],[FP]:[GS]])</f>
        <v>164.5</v>
      </c>
    </row>
    <row r="435" spans="2:21">
      <c r="B435" s="13">
        <v>80</v>
      </c>
      <c r="C435" s="22">
        <v>0</v>
      </c>
      <c r="D435" s="22">
        <v>0</v>
      </c>
      <c r="E435" s="22">
        <v>0</v>
      </c>
      <c r="F435" s="22">
        <v>0</v>
      </c>
      <c r="H435" s="13">
        <v>80</v>
      </c>
      <c r="I435" s="22">
        <v>0</v>
      </c>
      <c r="J435" s="22">
        <v>0</v>
      </c>
      <c r="L435">
        <v>80</v>
      </c>
      <c r="M435">
        <f t="shared" si="68"/>
        <v>170.5</v>
      </c>
      <c r="N435">
        <f>IF(DK_Final_CL[[#This Row],[DN]]&lt;&gt;450,M295+Fill_Plate[[#This Row],[THK]],0)</f>
        <v>170.5</v>
      </c>
      <c r="O435">
        <f>IF(DK_Final_CL[[#This Row],[DN]]&lt;&gt;450,M295+Sliding_Plate[[#This Row],[THK_PLT]]+Sliding_Plate[[#This Row],[THK_SHOE]],0)</f>
        <v>170.5</v>
      </c>
      <c r="P435">
        <f>IF(DK_Final_CL[[#This Row],[DN]]&lt;&gt;450,M295+Sliding_Plate[[#This Row],[THK_PLT]]+Sliding_Plate[[#This Row],[THK_SHOE]],0)</f>
        <v>170.5</v>
      </c>
      <c r="Q435" s="68">
        <f>DK_Final_CL[[#This Row],[FP]]-DK_Final_CL[[#This Row],[PFP]]</f>
        <v>0</v>
      </c>
      <c r="R435" s="68">
        <f>DK_Final_CL[[#This Row],[FP]]-DK_Final_CL[[#This Row],[GB]]</f>
        <v>0</v>
      </c>
      <c r="S435" s="68">
        <f>DK_Final_CL[[#This Row],[FP]]-DK_Final_CL[[#This Row],[GS]]</f>
        <v>0</v>
      </c>
      <c r="T435" s="68">
        <f>IF($D$1="PFP",DK_Final_CL[[#This Row],[PFP]],IF($D$1="FP",DK_Final_CL[[#This Row],[FP]],IF($D$1="GB",DK_Final_CL[[#This Row],[GB]],IF($D$1="GS",DK_Final_CL[[#This Row],[GS]]))))</f>
        <v>170.5</v>
      </c>
      <c r="U435" s="68">
        <f>MAX(DK_Final_CL[[#This Row],[FP]:[GS]])</f>
        <v>170.5</v>
      </c>
    </row>
    <row r="436" spans="2:21">
      <c r="B436" s="11">
        <v>100</v>
      </c>
      <c r="C436" s="22">
        <v>0</v>
      </c>
      <c r="D436" s="22">
        <v>0</v>
      </c>
      <c r="E436" s="22">
        <v>0</v>
      </c>
      <c r="F436" s="22">
        <v>0</v>
      </c>
      <c r="H436" s="11">
        <v>100</v>
      </c>
      <c r="I436" s="22">
        <v>0</v>
      </c>
      <c r="J436" s="22">
        <v>0</v>
      </c>
      <c r="L436">
        <v>100</v>
      </c>
      <c r="M436">
        <f t="shared" si="68"/>
        <v>185.5</v>
      </c>
      <c r="N436">
        <f>IF(DK_Final_CL[[#This Row],[DN]]&lt;&gt;450,M296+Fill_Plate[[#This Row],[THK]],0)</f>
        <v>185.5</v>
      </c>
      <c r="O436">
        <f>IF(DK_Final_CL[[#This Row],[DN]]&lt;&gt;450,M296+Sliding_Plate[[#This Row],[THK_PLT]]+Sliding_Plate[[#This Row],[THK_SHOE]],0)</f>
        <v>185.5</v>
      </c>
      <c r="P436">
        <f>IF(DK_Final_CL[[#This Row],[DN]]&lt;&gt;450,M296+Sliding_Plate[[#This Row],[THK_PLT]]+Sliding_Plate[[#This Row],[THK_SHOE]],0)</f>
        <v>185.5</v>
      </c>
      <c r="Q436" s="68">
        <f>DK_Final_CL[[#This Row],[FP]]-DK_Final_CL[[#This Row],[PFP]]</f>
        <v>0</v>
      </c>
      <c r="R436" s="68">
        <f>DK_Final_CL[[#This Row],[FP]]-DK_Final_CL[[#This Row],[GB]]</f>
        <v>0</v>
      </c>
      <c r="S436" s="68">
        <f>DK_Final_CL[[#This Row],[FP]]-DK_Final_CL[[#This Row],[GS]]</f>
        <v>0</v>
      </c>
      <c r="T436" s="68">
        <f>IF($D$1="PFP",DK_Final_CL[[#This Row],[PFP]],IF($D$1="FP",DK_Final_CL[[#This Row],[FP]],IF($D$1="GB",DK_Final_CL[[#This Row],[GB]],IF($D$1="GS",DK_Final_CL[[#This Row],[GS]]))))</f>
        <v>185.5</v>
      </c>
      <c r="U436" s="68">
        <f>MAX(DK_Final_CL[[#This Row],[FP]:[GS]])</f>
        <v>185.5</v>
      </c>
    </row>
    <row r="437" spans="2:21">
      <c r="B437" s="13">
        <v>125</v>
      </c>
      <c r="C437" s="22">
        <v>0</v>
      </c>
      <c r="D437" s="22">
        <v>0</v>
      </c>
      <c r="E437" s="22">
        <v>0</v>
      </c>
      <c r="F437" s="22">
        <v>0</v>
      </c>
      <c r="H437" s="13">
        <v>125</v>
      </c>
      <c r="I437" s="22">
        <v>0</v>
      </c>
      <c r="J437" s="22">
        <v>0</v>
      </c>
      <c r="L437">
        <v>125</v>
      </c>
      <c r="M437">
        <f t="shared" si="68"/>
        <v>230</v>
      </c>
      <c r="N437">
        <f>IF(DK_Final_CL[[#This Row],[DN]]&lt;&gt;450,M297+Fill_Plate[[#This Row],[THK]],0)</f>
        <v>230</v>
      </c>
      <c r="O437">
        <f>IF(DK_Final_CL[[#This Row],[DN]]&lt;&gt;450,M297+Sliding_Plate[[#This Row],[THK_PLT]]+Sliding_Plate[[#This Row],[THK_SHOE]],0)</f>
        <v>230</v>
      </c>
      <c r="P437">
        <f>IF(DK_Final_CL[[#This Row],[DN]]&lt;&gt;450,M297+Sliding_Plate[[#This Row],[THK_PLT]]+Sliding_Plate[[#This Row],[THK_SHOE]],0)</f>
        <v>230</v>
      </c>
      <c r="Q437" s="68">
        <f>DK_Final_CL[[#This Row],[FP]]-DK_Final_CL[[#This Row],[PFP]]</f>
        <v>0</v>
      </c>
      <c r="R437" s="68">
        <f>DK_Final_CL[[#This Row],[FP]]-DK_Final_CL[[#This Row],[GB]]</f>
        <v>0</v>
      </c>
      <c r="S437" s="68">
        <f>DK_Final_CL[[#This Row],[FP]]-DK_Final_CL[[#This Row],[GS]]</f>
        <v>0</v>
      </c>
      <c r="T437" s="68">
        <f>IF($D$1="PFP",DK_Final_CL[[#This Row],[PFP]],IF($D$1="FP",DK_Final_CL[[#This Row],[FP]],IF($D$1="GB",DK_Final_CL[[#This Row],[GB]],IF($D$1="GS",DK_Final_CL[[#This Row],[GS]]))))</f>
        <v>230</v>
      </c>
      <c r="U437" s="68">
        <f>MAX(DK_Final_CL[[#This Row],[FP]:[GS]])</f>
        <v>230</v>
      </c>
    </row>
    <row r="438" spans="2:21">
      <c r="B438" s="11">
        <v>150</v>
      </c>
      <c r="C438" s="22">
        <v>0</v>
      </c>
      <c r="D438" s="22">
        <v>0</v>
      </c>
      <c r="E438" s="22">
        <v>0</v>
      </c>
      <c r="F438" s="22">
        <v>0</v>
      </c>
      <c r="H438" s="11">
        <v>150</v>
      </c>
      <c r="I438" s="22">
        <v>0</v>
      </c>
      <c r="J438" s="22">
        <v>0</v>
      </c>
      <c r="L438">
        <v>150</v>
      </c>
      <c r="M438">
        <f t="shared" si="68"/>
        <v>245</v>
      </c>
      <c r="N438">
        <f>IF(DK_Final_CL[[#This Row],[DN]]&lt;&gt;450,M298+Fill_Plate[[#This Row],[THK]],0)</f>
        <v>245</v>
      </c>
      <c r="O438">
        <f>IF(DK_Final_CL[[#This Row],[DN]]&lt;&gt;450,M298+Sliding_Plate[[#This Row],[THK_PLT]]+Sliding_Plate[[#This Row],[THK_SHOE]],0)</f>
        <v>245</v>
      </c>
      <c r="P438">
        <f>IF(DK_Final_CL[[#This Row],[DN]]&lt;&gt;450,M298+Sliding_Plate[[#This Row],[THK_PLT]]+Sliding_Plate[[#This Row],[THK_SHOE]],0)</f>
        <v>245</v>
      </c>
      <c r="Q438" s="68">
        <f>DK_Final_CL[[#This Row],[FP]]-DK_Final_CL[[#This Row],[PFP]]</f>
        <v>0</v>
      </c>
      <c r="R438" s="68">
        <f>DK_Final_CL[[#This Row],[FP]]-DK_Final_CL[[#This Row],[GB]]</f>
        <v>0</v>
      </c>
      <c r="S438" s="68">
        <f>DK_Final_CL[[#This Row],[FP]]-DK_Final_CL[[#This Row],[GS]]</f>
        <v>0</v>
      </c>
      <c r="T438" s="68">
        <f>IF($D$1="PFP",DK_Final_CL[[#This Row],[PFP]],IF($D$1="FP",DK_Final_CL[[#This Row],[FP]],IF($D$1="GB",DK_Final_CL[[#This Row],[GB]],IF($D$1="GS",DK_Final_CL[[#This Row],[GS]]))))</f>
        <v>245</v>
      </c>
      <c r="U438" s="68">
        <f>MAX(DK_Final_CL[[#This Row],[FP]:[GS]])</f>
        <v>245</v>
      </c>
    </row>
    <row r="439" spans="2:21">
      <c r="B439" s="13">
        <v>200</v>
      </c>
      <c r="C439" s="22">
        <v>0</v>
      </c>
      <c r="D439" s="22">
        <v>0</v>
      </c>
      <c r="E439" s="22">
        <v>0</v>
      </c>
      <c r="F439" s="22">
        <v>0</v>
      </c>
      <c r="H439" s="13">
        <v>200</v>
      </c>
      <c r="I439" s="22">
        <v>0</v>
      </c>
      <c r="J439" s="22">
        <v>0</v>
      </c>
      <c r="L439">
        <v>200</v>
      </c>
      <c r="M439">
        <f t="shared" si="68"/>
        <v>270</v>
      </c>
      <c r="N439">
        <f>IF(DK_Final_CL[[#This Row],[DN]]&lt;&gt;450,M299+Fill_Plate[[#This Row],[THK]],0)</f>
        <v>270</v>
      </c>
      <c r="O439">
        <f>IF(DK_Final_CL[[#This Row],[DN]]&lt;&gt;450,M299+Sliding_Plate[[#This Row],[THK_PLT]]+Sliding_Plate[[#This Row],[THK_SHOE]],0)</f>
        <v>270</v>
      </c>
      <c r="P439">
        <f>IF(DK_Final_CL[[#This Row],[DN]]&lt;&gt;450,M299+Sliding_Plate[[#This Row],[THK_PLT]]+Sliding_Plate[[#This Row],[THK_SHOE]],0)</f>
        <v>270</v>
      </c>
      <c r="Q439" s="68">
        <f>DK_Final_CL[[#This Row],[FP]]-DK_Final_CL[[#This Row],[PFP]]</f>
        <v>0</v>
      </c>
      <c r="R439" s="68">
        <f>DK_Final_CL[[#This Row],[FP]]-DK_Final_CL[[#This Row],[GB]]</f>
        <v>0</v>
      </c>
      <c r="S439" s="68">
        <f>DK_Final_CL[[#This Row],[FP]]-DK_Final_CL[[#This Row],[GS]]</f>
        <v>0</v>
      </c>
      <c r="T439" s="68">
        <f>IF($D$1="PFP",DK_Final_CL[[#This Row],[PFP]],IF($D$1="FP",DK_Final_CL[[#This Row],[FP]],IF($D$1="GB",DK_Final_CL[[#This Row],[GB]],IF($D$1="GS",DK_Final_CL[[#This Row],[GS]]))))</f>
        <v>270</v>
      </c>
      <c r="U439" s="68">
        <f>MAX(DK_Final_CL[[#This Row],[FP]:[GS]])</f>
        <v>270</v>
      </c>
    </row>
    <row r="440" spans="2:21">
      <c r="B440" s="11">
        <v>250</v>
      </c>
      <c r="C440" s="22">
        <v>0</v>
      </c>
      <c r="D440" s="22">
        <v>0</v>
      </c>
      <c r="E440" s="22">
        <v>0</v>
      </c>
      <c r="F440" s="22">
        <v>0</v>
      </c>
      <c r="H440" s="11">
        <v>250</v>
      </c>
      <c r="I440" s="22">
        <v>0</v>
      </c>
      <c r="J440" s="22">
        <v>0</v>
      </c>
      <c r="L440">
        <v>250</v>
      </c>
      <c r="M440">
        <f t="shared" si="68"/>
        <v>297</v>
      </c>
      <c r="N440">
        <f>IF(DK_Final_CL[[#This Row],[DN]]&lt;&gt;450,M300+Fill_Plate[[#This Row],[THK]],0)</f>
        <v>297</v>
      </c>
      <c r="O440">
        <f>IF(DK_Final_CL[[#This Row],[DN]]&lt;&gt;450,M300+Sliding_Plate[[#This Row],[THK_PLT]]+Sliding_Plate[[#This Row],[THK_SHOE]],0)</f>
        <v>297</v>
      </c>
      <c r="P440">
        <f>IF(DK_Final_CL[[#This Row],[DN]]&lt;&gt;450,M300+Sliding_Plate[[#This Row],[THK_PLT]]+Sliding_Plate[[#This Row],[THK_SHOE]],0)</f>
        <v>297</v>
      </c>
      <c r="Q440" s="68">
        <f>DK_Final_CL[[#This Row],[FP]]-DK_Final_CL[[#This Row],[PFP]]</f>
        <v>0</v>
      </c>
      <c r="R440" s="68">
        <f>DK_Final_CL[[#This Row],[FP]]-DK_Final_CL[[#This Row],[GB]]</f>
        <v>0</v>
      </c>
      <c r="S440" s="68">
        <f>DK_Final_CL[[#This Row],[FP]]-DK_Final_CL[[#This Row],[GS]]</f>
        <v>0</v>
      </c>
      <c r="T440" s="68">
        <f>IF($D$1="PFP",DK_Final_CL[[#This Row],[PFP]],IF($D$1="FP",DK_Final_CL[[#This Row],[FP]],IF($D$1="GB",DK_Final_CL[[#This Row],[GB]],IF($D$1="GS",DK_Final_CL[[#This Row],[GS]]))))</f>
        <v>297</v>
      </c>
      <c r="U440" s="68">
        <f>MAX(DK_Final_CL[[#This Row],[FP]:[GS]])</f>
        <v>297</v>
      </c>
    </row>
    <row r="441" spans="2:21">
      <c r="B441" s="13">
        <v>300</v>
      </c>
      <c r="C441" s="13">
        <v>100</v>
      </c>
      <c r="D441" s="13">
        <v>100</v>
      </c>
      <c r="E441" s="13">
        <v>12</v>
      </c>
      <c r="F441" s="13">
        <v>1</v>
      </c>
      <c r="H441" s="13">
        <v>300</v>
      </c>
      <c r="I441" s="13">
        <v>13</v>
      </c>
      <c r="J441" s="22">
        <v>0</v>
      </c>
      <c r="L441">
        <v>300</v>
      </c>
      <c r="M441">
        <f t="shared" si="68"/>
        <v>322</v>
      </c>
      <c r="N441">
        <f>IF(DK_Final_CL[[#This Row],[DN]]&lt;&gt;450,M301+Fill_Plate[[#This Row],[THK]],0)</f>
        <v>322</v>
      </c>
      <c r="O441">
        <f>IF(DK_Final_CL[[#This Row],[DN]]&lt;&gt;450,M301+Sliding_Plate[[#This Row],[THK_PLT]]+Sliding_Plate[[#This Row],[THK_SHOE]],0)</f>
        <v>322</v>
      </c>
      <c r="P441">
        <f>IF(DK_Final_CL[[#This Row],[DN]]&lt;&gt;450,M301+Sliding_Plate[[#This Row],[THK_PLT]]+Sliding_Plate[[#This Row],[THK_SHOE]],0)</f>
        <v>322</v>
      </c>
      <c r="Q441" s="68">
        <f>DK_Final_CL[[#This Row],[FP]]-DK_Final_CL[[#This Row],[PFP]]</f>
        <v>0</v>
      </c>
      <c r="R441" s="68">
        <f>DK_Final_CL[[#This Row],[FP]]-DK_Final_CL[[#This Row],[GB]]</f>
        <v>0</v>
      </c>
      <c r="S441" s="68">
        <f>DK_Final_CL[[#This Row],[FP]]-DK_Final_CL[[#This Row],[GS]]</f>
        <v>0</v>
      </c>
      <c r="T441" s="68">
        <f>IF($D$1="PFP",DK_Final_CL[[#This Row],[PFP]],IF($D$1="FP",DK_Final_CL[[#This Row],[FP]],IF($D$1="GB",DK_Final_CL[[#This Row],[GB]],IF($D$1="GS",DK_Final_CL[[#This Row],[GS]]))))</f>
        <v>322</v>
      </c>
      <c r="U441" s="68">
        <f>MAX(DK_Final_CL[[#This Row],[FP]:[GS]])</f>
        <v>322</v>
      </c>
    </row>
    <row r="442" spans="2:21">
      <c r="B442" s="11">
        <v>350</v>
      </c>
      <c r="C442" s="13">
        <v>100</v>
      </c>
      <c r="D442" s="13">
        <v>100</v>
      </c>
      <c r="E442" s="13">
        <v>12</v>
      </c>
      <c r="F442" s="13">
        <v>1</v>
      </c>
      <c r="H442" s="11">
        <v>350</v>
      </c>
      <c r="I442" s="13">
        <v>13</v>
      </c>
      <c r="J442" s="22">
        <v>0</v>
      </c>
      <c r="L442">
        <v>350</v>
      </c>
      <c r="M442">
        <f t="shared" si="68"/>
        <v>338</v>
      </c>
      <c r="N442">
        <f>IF(DK_Final_CL[[#This Row],[DN]]&lt;&gt;450,M302+Fill_Plate[[#This Row],[THK]],0)</f>
        <v>338</v>
      </c>
      <c r="O442">
        <f>IF(DK_Final_CL[[#This Row],[DN]]&lt;&gt;450,M302+Sliding_Plate[[#This Row],[THK_PLT]]+Sliding_Plate[[#This Row],[THK_SHOE]],0)</f>
        <v>338</v>
      </c>
      <c r="P442">
        <f>IF(DK_Final_CL[[#This Row],[DN]]&lt;&gt;450,M302+Sliding_Plate[[#This Row],[THK_PLT]]+Sliding_Plate[[#This Row],[THK_SHOE]],0)</f>
        <v>338</v>
      </c>
      <c r="Q442" s="68">
        <f>DK_Final_CL[[#This Row],[FP]]-DK_Final_CL[[#This Row],[PFP]]</f>
        <v>0</v>
      </c>
      <c r="R442" s="68">
        <f>DK_Final_CL[[#This Row],[FP]]-DK_Final_CL[[#This Row],[GB]]</f>
        <v>0</v>
      </c>
      <c r="S442" s="68">
        <f>DK_Final_CL[[#This Row],[FP]]-DK_Final_CL[[#This Row],[GS]]</f>
        <v>0</v>
      </c>
      <c r="T442" s="68">
        <f>IF($D$1="PFP",DK_Final_CL[[#This Row],[PFP]],IF($D$1="FP",DK_Final_CL[[#This Row],[FP]],IF($D$1="GB",DK_Final_CL[[#This Row],[GB]],IF($D$1="GS",DK_Final_CL[[#This Row],[GS]]))))</f>
        <v>338</v>
      </c>
      <c r="U442" s="68">
        <f>MAX(DK_Final_CL[[#This Row],[FP]:[GS]])</f>
        <v>338</v>
      </c>
    </row>
    <row r="443" spans="2:21">
      <c r="B443" s="13">
        <v>400</v>
      </c>
      <c r="C443" s="13">
        <v>100</v>
      </c>
      <c r="D443" s="13">
        <v>100</v>
      </c>
      <c r="E443" s="13">
        <v>12</v>
      </c>
      <c r="F443" s="13">
        <v>1</v>
      </c>
      <c r="H443" s="13">
        <v>400</v>
      </c>
      <c r="I443" s="13">
        <v>13</v>
      </c>
      <c r="J443" s="22">
        <v>0</v>
      </c>
      <c r="L443">
        <v>400</v>
      </c>
      <c r="M443">
        <f t="shared" si="68"/>
        <v>364</v>
      </c>
      <c r="N443">
        <f>IF(DK_Final_CL[[#This Row],[DN]]&lt;&gt;450,M303+Fill_Plate[[#This Row],[THK]],0)</f>
        <v>364</v>
      </c>
      <c r="O443">
        <f>IF(DK_Final_CL[[#This Row],[DN]]&lt;&gt;450,M303+Sliding_Plate[[#This Row],[THK_PLT]]+Sliding_Plate[[#This Row],[THK_SHOE]],0)</f>
        <v>364</v>
      </c>
      <c r="P443">
        <f>IF(DK_Final_CL[[#This Row],[DN]]&lt;&gt;450,M303+Sliding_Plate[[#This Row],[THK_PLT]]+Sliding_Plate[[#This Row],[THK_SHOE]],0)</f>
        <v>364</v>
      </c>
      <c r="Q443" s="68">
        <f>DK_Final_CL[[#This Row],[FP]]-DK_Final_CL[[#This Row],[PFP]]</f>
        <v>0</v>
      </c>
      <c r="R443" s="68">
        <f>DK_Final_CL[[#This Row],[FP]]-DK_Final_CL[[#This Row],[GB]]</f>
        <v>0</v>
      </c>
      <c r="S443" s="68">
        <f>DK_Final_CL[[#This Row],[FP]]-DK_Final_CL[[#This Row],[GS]]</f>
        <v>0</v>
      </c>
      <c r="T443" s="68">
        <f>IF($D$1="PFP",DK_Final_CL[[#This Row],[PFP]],IF($D$1="FP",DK_Final_CL[[#This Row],[FP]],IF($D$1="GB",DK_Final_CL[[#This Row],[GB]],IF($D$1="GS",DK_Final_CL[[#This Row],[GS]]))))</f>
        <v>364</v>
      </c>
      <c r="U443" s="68">
        <f>MAX(DK_Final_CL[[#This Row],[FP]:[GS]])</f>
        <v>364</v>
      </c>
    </row>
    <row r="444" spans="2:21">
      <c r="B444" s="11">
        <v>450</v>
      </c>
      <c r="C444" s="13">
        <v>100</v>
      </c>
      <c r="D444" s="13">
        <v>100</v>
      </c>
      <c r="E444" s="13">
        <v>12</v>
      </c>
      <c r="F444" s="13">
        <v>1</v>
      </c>
      <c r="H444" s="11">
        <v>450</v>
      </c>
      <c r="I444" s="13">
        <v>13</v>
      </c>
      <c r="J444" s="22">
        <v>0</v>
      </c>
      <c r="L444">
        <v>450</v>
      </c>
      <c r="M444">
        <f t="shared" si="68"/>
        <v>0</v>
      </c>
      <c r="N444">
        <f>IF(DK_Final_CL[[#This Row],[DN]]&lt;&gt;450,M304+Fill_Plate[[#This Row],[THK]],0)</f>
        <v>0</v>
      </c>
      <c r="O444">
        <f>IF(DK_Final_CL[[#This Row],[DN]]&lt;&gt;450,M304+Sliding_Plate[[#This Row],[THK_PLT]]+Sliding_Plate[[#This Row],[THK_SHOE]],0)</f>
        <v>0</v>
      </c>
      <c r="P444">
        <f>IF(DK_Final_CL[[#This Row],[DN]]&lt;&gt;450,M304+Sliding_Plate[[#This Row],[THK_PLT]]+Sliding_Plate[[#This Row],[THK_SHOE]],0)</f>
        <v>0</v>
      </c>
      <c r="Q444" s="68">
        <f>DK_Final_CL[[#This Row],[FP]]-DK_Final_CL[[#This Row],[PFP]]</f>
        <v>0</v>
      </c>
      <c r="R444" s="68">
        <f>DK_Final_CL[[#This Row],[FP]]-DK_Final_CL[[#This Row],[GB]]</f>
        <v>0</v>
      </c>
      <c r="S444" s="68">
        <f>DK_Final_CL[[#This Row],[FP]]-DK_Final_CL[[#This Row],[GS]]</f>
        <v>0</v>
      </c>
      <c r="T444" s="68">
        <f>IF($D$1="PFP",DK_Final_CL[[#This Row],[PFP]],IF($D$1="FP",DK_Final_CL[[#This Row],[FP]],IF($D$1="GB",DK_Final_CL[[#This Row],[GB]],IF($D$1="GS",DK_Final_CL[[#This Row],[GS]]))))</f>
        <v>0</v>
      </c>
      <c r="U444" s="68">
        <f>MAX(DK_Final_CL[[#This Row],[FP]:[GS]])</f>
        <v>0</v>
      </c>
    </row>
    <row r="445" spans="2:21">
      <c r="B445" s="13">
        <v>500</v>
      </c>
      <c r="C445" s="13">
        <v>100</v>
      </c>
      <c r="D445" s="13">
        <v>100</v>
      </c>
      <c r="E445" s="13">
        <v>12</v>
      </c>
      <c r="F445" s="13">
        <v>1</v>
      </c>
      <c r="H445" s="13">
        <v>500</v>
      </c>
      <c r="I445" s="13">
        <v>13</v>
      </c>
      <c r="J445" s="22">
        <v>0</v>
      </c>
      <c r="L445">
        <v>500</v>
      </c>
      <c r="M445">
        <f t="shared" si="68"/>
        <v>414</v>
      </c>
      <c r="N445">
        <f>IF(DK_Final_CL[[#This Row],[DN]]&lt;&gt;450,M305+Fill_Plate[[#This Row],[THK]],0)</f>
        <v>414</v>
      </c>
      <c r="O445">
        <f>IF(DK_Final_CL[[#This Row],[DN]]&lt;&gt;450,M305+Sliding_Plate[[#This Row],[THK_PLT]]+Sliding_Plate[[#This Row],[THK_SHOE]],0)</f>
        <v>414</v>
      </c>
      <c r="P445">
        <f>IF(DK_Final_CL[[#This Row],[DN]]&lt;&gt;450,M305+Sliding_Plate[[#This Row],[THK_PLT]]+Sliding_Plate[[#This Row],[THK_SHOE]],0)</f>
        <v>414</v>
      </c>
      <c r="Q445" s="68">
        <f>DK_Final_CL[[#This Row],[FP]]-DK_Final_CL[[#This Row],[PFP]]</f>
        <v>0</v>
      </c>
      <c r="R445" s="68">
        <f>DK_Final_CL[[#This Row],[FP]]-DK_Final_CL[[#This Row],[GB]]</f>
        <v>0</v>
      </c>
      <c r="S445" s="68">
        <f>DK_Final_CL[[#This Row],[FP]]-DK_Final_CL[[#This Row],[GS]]</f>
        <v>0</v>
      </c>
      <c r="T445" s="68">
        <f>IF($D$1="PFP",DK_Final_CL[[#This Row],[PFP]],IF($D$1="FP",DK_Final_CL[[#This Row],[FP]],IF($D$1="GB",DK_Final_CL[[#This Row],[GB]],IF($D$1="GS",DK_Final_CL[[#This Row],[GS]]))))</f>
        <v>414</v>
      </c>
      <c r="U445" s="68">
        <f>MAX(DK_Final_CL[[#This Row],[FP]:[GS]])</f>
        <v>414</v>
      </c>
    </row>
    <row r="446" spans="2:21">
      <c r="B446" s="11">
        <v>600</v>
      </c>
      <c r="C446" s="13">
        <v>150</v>
      </c>
      <c r="D446" s="13">
        <v>100</v>
      </c>
      <c r="E446" s="13">
        <v>12</v>
      </c>
      <c r="F446" s="13">
        <v>1</v>
      </c>
      <c r="H446" s="11">
        <v>600</v>
      </c>
      <c r="I446" s="13">
        <v>13</v>
      </c>
      <c r="J446" s="22">
        <v>0</v>
      </c>
      <c r="L446">
        <v>600</v>
      </c>
      <c r="M446">
        <f t="shared" si="68"/>
        <v>465</v>
      </c>
      <c r="N446">
        <f>IF(DK_Final_CL[[#This Row],[DN]]&lt;&gt;450,M306+Fill_Plate[[#This Row],[THK]],0)</f>
        <v>465</v>
      </c>
      <c r="O446">
        <f>IF(DK_Final_CL[[#This Row],[DN]]&lt;&gt;450,M306+Sliding_Plate[[#This Row],[THK_PLT]]+Sliding_Plate[[#This Row],[THK_SHOE]],0)</f>
        <v>465</v>
      </c>
      <c r="P446">
        <f>IF(DK_Final_CL[[#This Row],[DN]]&lt;&gt;450,M306+Sliding_Plate[[#This Row],[THK_PLT]]+Sliding_Plate[[#This Row],[THK_SHOE]],0)</f>
        <v>465</v>
      </c>
      <c r="Q446" s="68">
        <f>DK_Final_CL[[#This Row],[FP]]-DK_Final_CL[[#This Row],[PFP]]</f>
        <v>0</v>
      </c>
      <c r="R446" s="68">
        <f>DK_Final_CL[[#This Row],[FP]]-DK_Final_CL[[#This Row],[GB]]</f>
        <v>0</v>
      </c>
      <c r="S446" s="68">
        <f>DK_Final_CL[[#This Row],[FP]]-DK_Final_CL[[#This Row],[GS]]</f>
        <v>0</v>
      </c>
      <c r="T446" s="68">
        <f>IF($D$1="PFP",DK_Final_CL[[#This Row],[PFP]],IF($D$1="FP",DK_Final_CL[[#This Row],[FP]],IF($D$1="GB",DK_Final_CL[[#This Row],[GB]],IF($D$1="GS",DK_Final_CL[[#This Row],[GS]]))))</f>
        <v>465</v>
      </c>
      <c r="U446" s="68">
        <f>MAX(DK_Final_CL[[#This Row],[FP]:[GS]])</f>
        <v>465</v>
      </c>
    </row>
    <row r="447" spans="2:21">
      <c r="B447" s="13">
        <v>700</v>
      </c>
      <c r="C447" s="13">
        <v>150</v>
      </c>
      <c r="D447" s="13">
        <v>100</v>
      </c>
      <c r="E447" s="13">
        <v>12</v>
      </c>
      <c r="F447" s="13">
        <v>1</v>
      </c>
      <c r="H447" s="13">
        <v>700</v>
      </c>
      <c r="I447" s="13">
        <v>13</v>
      </c>
      <c r="J447" s="22">
        <v>0</v>
      </c>
      <c r="L447">
        <v>700</v>
      </c>
      <c r="M447">
        <f t="shared" si="68"/>
        <v>515.5</v>
      </c>
      <c r="N447">
        <f>IF(DK_Final_CL[[#This Row],[DN]]&lt;&gt;450,M307+Fill_Plate[[#This Row],[THK]],0)</f>
        <v>515.5</v>
      </c>
      <c r="O447">
        <f>IF(DK_Final_CL[[#This Row],[DN]]&lt;&gt;450,M307+Sliding_Plate[[#This Row],[THK_PLT]]+Sliding_Plate[[#This Row],[THK_SHOE]],0)</f>
        <v>515.5</v>
      </c>
      <c r="P447">
        <f>IF(DK_Final_CL[[#This Row],[DN]]&lt;&gt;450,M307+Sliding_Plate[[#This Row],[THK_PLT]]+Sliding_Plate[[#This Row],[THK_SHOE]],0)</f>
        <v>515.5</v>
      </c>
      <c r="Q447" s="68">
        <f>DK_Final_CL[[#This Row],[FP]]-DK_Final_CL[[#This Row],[PFP]]</f>
        <v>0</v>
      </c>
      <c r="R447" s="68">
        <f>DK_Final_CL[[#This Row],[FP]]-DK_Final_CL[[#This Row],[GB]]</f>
        <v>0</v>
      </c>
      <c r="S447" s="68">
        <f>DK_Final_CL[[#This Row],[FP]]-DK_Final_CL[[#This Row],[GS]]</f>
        <v>0</v>
      </c>
      <c r="T447" s="68">
        <f>IF($D$1="PFP",DK_Final_CL[[#This Row],[PFP]],IF($D$1="FP",DK_Final_CL[[#This Row],[FP]],IF($D$1="GB",DK_Final_CL[[#This Row],[GB]],IF($D$1="GS",DK_Final_CL[[#This Row],[GS]]))))</f>
        <v>515.5</v>
      </c>
      <c r="U447" s="68">
        <f>MAX(DK_Final_CL[[#This Row],[FP]:[GS]])</f>
        <v>515.5</v>
      </c>
    </row>
    <row r="448" spans="2:21">
      <c r="B448" s="11">
        <v>800</v>
      </c>
      <c r="C448" s="13">
        <v>200</v>
      </c>
      <c r="D448" s="13">
        <v>150</v>
      </c>
      <c r="E448" s="13">
        <v>12</v>
      </c>
      <c r="F448" s="13">
        <v>1</v>
      </c>
      <c r="H448" s="11">
        <v>800</v>
      </c>
      <c r="I448" s="13">
        <v>13</v>
      </c>
      <c r="J448" s="22">
        <v>0</v>
      </c>
      <c r="L448">
        <v>800</v>
      </c>
      <c r="M448">
        <f t="shared" si="68"/>
        <v>566.5</v>
      </c>
      <c r="N448">
        <f>IF(DK_Final_CL[[#This Row],[DN]]&lt;&gt;450,M308+Fill_Plate[[#This Row],[THK]],0)</f>
        <v>566.5</v>
      </c>
      <c r="O448">
        <f>IF(DK_Final_CL[[#This Row],[DN]]&lt;&gt;450,M308+Sliding_Plate[[#This Row],[THK_PLT]]+Sliding_Plate[[#This Row],[THK_SHOE]],0)</f>
        <v>566.5</v>
      </c>
      <c r="P448">
        <f>IF(DK_Final_CL[[#This Row],[DN]]&lt;&gt;450,M308+Sliding_Plate[[#This Row],[THK_PLT]]+Sliding_Plate[[#This Row],[THK_SHOE]],0)</f>
        <v>566.5</v>
      </c>
      <c r="Q448" s="68">
        <f>DK_Final_CL[[#This Row],[FP]]-DK_Final_CL[[#This Row],[PFP]]</f>
        <v>0</v>
      </c>
      <c r="R448" s="68">
        <f>DK_Final_CL[[#This Row],[FP]]-DK_Final_CL[[#This Row],[GB]]</f>
        <v>0</v>
      </c>
      <c r="S448" s="68">
        <f>DK_Final_CL[[#This Row],[FP]]-DK_Final_CL[[#This Row],[GS]]</f>
        <v>0</v>
      </c>
      <c r="T448" s="68">
        <f>IF($D$1="PFP",DK_Final_CL[[#This Row],[PFP]],IF($D$1="FP",DK_Final_CL[[#This Row],[FP]],IF($D$1="GB",DK_Final_CL[[#This Row],[GB]],IF($D$1="GS",DK_Final_CL[[#This Row],[GS]]))))</f>
        <v>566.5</v>
      </c>
      <c r="U448" s="68">
        <f>MAX(DK_Final_CL[[#This Row],[FP]:[GS]])</f>
        <v>566.5</v>
      </c>
    </row>
    <row r="449" spans="2:34">
      <c r="B449" s="13">
        <v>900</v>
      </c>
      <c r="C449" s="13">
        <v>200</v>
      </c>
      <c r="D449" s="13">
        <v>150</v>
      </c>
      <c r="E449" s="13">
        <v>12</v>
      </c>
      <c r="F449" s="13">
        <v>1</v>
      </c>
      <c r="H449" s="13">
        <v>900</v>
      </c>
      <c r="I449" s="13">
        <v>13</v>
      </c>
      <c r="J449" s="22">
        <v>0</v>
      </c>
      <c r="L449">
        <v>900</v>
      </c>
      <c r="M449">
        <f t="shared" si="68"/>
        <v>617</v>
      </c>
      <c r="N449">
        <f>IF(DK_Final_CL[[#This Row],[DN]]&lt;&gt;450,M309+Fill_Plate[[#This Row],[THK]],0)</f>
        <v>617</v>
      </c>
      <c r="O449">
        <f>IF(DK_Final_CL[[#This Row],[DN]]&lt;&gt;450,M309+Sliding_Plate[[#This Row],[THK_PLT]]+Sliding_Plate[[#This Row],[THK_SHOE]],0)</f>
        <v>617</v>
      </c>
      <c r="P449">
        <f>IF(DK_Final_CL[[#This Row],[DN]]&lt;&gt;450,M309+Sliding_Plate[[#This Row],[THK_PLT]]+Sliding_Plate[[#This Row],[THK_SHOE]],0)</f>
        <v>617</v>
      </c>
      <c r="Q449" s="68">
        <f>DK_Final_CL[[#This Row],[FP]]-DK_Final_CL[[#This Row],[PFP]]</f>
        <v>0</v>
      </c>
      <c r="R449" s="68">
        <f>DK_Final_CL[[#This Row],[FP]]-DK_Final_CL[[#This Row],[GB]]</f>
        <v>0</v>
      </c>
      <c r="S449" s="68">
        <f>DK_Final_CL[[#This Row],[FP]]-DK_Final_CL[[#This Row],[GS]]</f>
        <v>0</v>
      </c>
      <c r="T449" s="68">
        <f>IF($D$1="PFP",DK_Final_CL[[#This Row],[PFP]],IF($D$1="FP",DK_Final_CL[[#This Row],[FP]],IF($D$1="GB",DK_Final_CL[[#This Row],[GB]],IF($D$1="GS",DK_Final_CL[[#This Row],[GS]]))))</f>
        <v>617</v>
      </c>
      <c r="U449" s="68">
        <f>MAX(DK_Final_CL[[#This Row],[FP]:[GS]])</f>
        <v>617</v>
      </c>
    </row>
    <row r="450" spans="2:34">
      <c r="B450" s="11">
        <v>1000</v>
      </c>
      <c r="C450" s="13">
        <v>200</v>
      </c>
      <c r="D450" s="13">
        <v>150</v>
      </c>
      <c r="E450" s="13">
        <v>12</v>
      </c>
      <c r="F450" s="13">
        <v>1</v>
      </c>
      <c r="H450" s="11">
        <v>1000</v>
      </c>
      <c r="I450" s="13">
        <v>13</v>
      </c>
      <c r="J450" s="22">
        <v>0</v>
      </c>
      <c r="L450">
        <v>1000</v>
      </c>
      <c r="M450">
        <f t="shared" si="68"/>
        <v>668</v>
      </c>
      <c r="N450">
        <f>IF(DK_Final_CL[[#This Row],[DN]]&lt;&gt;450,M310+Fill_Plate[[#This Row],[THK]],0)</f>
        <v>668</v>
      </c>
      <c r="O450">
        <f>IF(DK_Final_CL[[#This Row],[DN]]&lt;&gt;450,M310+Sliding_Plate[[#This Row],[THK_PLT]]+Sliding_Plate[[#This Row],[THK_SHOE]],0)</f>
        <v>668</v>
      </c>
      <c r="P450">
        <f>IF(DK_Final_CL[[#This Row],[DN]]&lt;&gt;450,M310+Sliding_Plate[[#This Row],[THK_PLT]]+Sliding_Plate[[#This Row],[THK_SHOE]],0)</f>
        <v>668</v>
      </c>
      <c r="Q450" s="68">
        <f>DK_Final_CL[[#This Row],[FP]]-DK_Final_CL[[#This Row],[PFP]]</f>
        <v>0</v>
      </c>
      <c r="R450" s="68">
        <f>DK_Final_CL[[#This Row],[FP]]-DK_Final_CL[[#This Row],[GB]]</f>
        <v>0</v>
      </c>
      <c r="S450" s="68">
        <f>DK_Final_CL[[#This Row],[FP]]-DK_Final_CL[[#This Row],[GS]]</f>
        <v>0</v>
      </c>
      <c r="T450" s="68">
        <f>IF($D$1="PFP",DK_Final_CL[[#This Row],[PFP]],IF($D$1="FP",DK_Final_CL[[#This Row],[FP]],IF($D$1="GB",DK_Final_CL[[#This Row],[GB]],IF($D$1="GS",DK_Final_CL[[#This Row],[GS]]))))</f>
        <v>668</v>
      </c>
      <c r="U450" s="68">
        <f>MAX(DK_Final_CL[[#This Row],[FP]:[GS]])</f>
        <v>668</v>
      </c>
    </row>
    <row r="451" spans="2:34">
      <c r="B451" s="21">
        <v>1200</v>
      </c>
      <c r="C451" s="13">
        <v>200</v>
      </c>
      <c r="D451" s="13">
        <v>150</v>
      </c>
      <c r="E451" s="13">
        <v>12</v>
      </c>
      <c r="F451" s="13">
        <v>1</v>
      </c>
      <c r="H451" s="21">
        <v>1200</v>
      </c>
      <c r="I451" s="13">
        <v>13</v>
      </c>
      <c r="J451" s="22">
        <v>0</v>
      </c>
      <c r="L451">
        <v>1200</v>
      </c>
      <c r="M451">
        <f t="shared" si="68"/>
        <v>770</v>
      </c>
      <c r="N451">
        <f>IF(DK_Final_CL[[#This Row],[DN]]&lt;&gt;450,M311+Fill_Plate[[#This Row],[THK]],0)</f>
        <v>770</v>
      </c>
      <c r="O451">
        <f>IF(DK_Final_CL[[#This Row],[DN]]&lt;&gt;450,M311+Sliding_Plate[[#This Row],[THK_PLT]]+Sliding_Plate[[#This Row],[THK_SHOE]],0)</f>
        <v>770</v>
      </c>
      <c r="P451">
        <f>IF(DK_Final_CL[[#This Row],[DN]]&lt;&gt;450,M311+Sliding_Plate[[#This Row],[THK_PLT]]+Sliding_Plate[[#This Row],[THK_SHOE]],0)</f>
        <v>770</v>
      </c>
      <c r="Q451" s="68">
        <f>DK_Final_CL[[#This Row],[FP]]-DK_Final_CL[[#This Row],[PFP]]</f>
        <v>0</v>
      </c>
      <c r="R451" s="68">
        <f>DK_Final_CL[[#This Row],[FP]]-DK_Final_CL[[#This Row],[GB]]</f>
        <v>0</v>
      </c>
      <c r="S451" s="68">
        <f>DK_Final_CL[[#This Row],[FP]]-DK_Final_CL[[#This Row],[GS]]</f>
        <v>0</v>
      </c>
      <c r="T451" s="68">
        <f>IF($D$1="PFP",DK_Final_CL[[#This Row],[PFP]],IF($D$1="FP",DK_Final_CL[[#This Row],[FP]],IF($D$1="GB",DK_Final_CL[[#This Row],[GB]],IF($D$1="GS",DK_Final_CL[[#This Row],[GS]]))))</f>
        <v>770</v>
      </c>
      <c r="U451" s="68">
        <f>MAX(DK_Final_CL[[#This Row],[FP]:[GS]])</f>
        <v>770</v>
      </c>
    </row>
    <row r="454" spans="2:34">
      <c r="B454" s="71" t="s">
        <v>305</v>
      </c>
    </row>
    <row r="455" spans="2:34">
      <c r="Z455" t="s">
        <v>781</v>
      </c>
    </row>
    <row r="456" spans="2:34">
      <c r="B456" t="s">
        <v>271</v>
      </c>
      <c r="F456" t="s">
        <v>434</v>
      </c>
      <c r="M456" t="s">
        <v>449</v>
      </c>
      <c r="Q456" t="s">
        <v>455</v>
      </c>
      <c r="R456" t="s">
        <v>455</v>
      </c>
      <c r="T456" t="s">
        <v>367</v>
      </c>
      <c r="Z456" t="s">
        <v>782</v>
      </c>
    </row>
    <row r="457" spans="2:34">
      <c r="B457" s="15" t="s">
        <v>89</v>
      </c>
      <c r="C457" s="42" t="s">
        <v>324</v>
      </c>
      <c r="D457" t="s">
        <v>328</v>
      </c>
      <c r="E457" t="s">
        <v>330</v>
      </c>
      <c r="F457" t="s">
        <v>337</v>
      </c>
      <c r="G457" s="42" t="s">
        <v>329</v>
      </c>
      <c r="H457" s="42" t="s">
        <v>331</v>
      </c>
      <c r="I457" s="42" t="s">
        <v>332</v>
      </c>
      <c r="J457" s="42" t="s">
        <v>336</v>
      </c>
      <c r="K457" s="59" t="s">
        <v>387</v>
      </c>
      <c r="M457" s="17" t="s">
        <v>89</v>
      </c>
      <c r="N457" t="s">
        <v>118</v>
      </c>
      <c r="O457" t="s">
        <v>109</v>
      </c>
      <c r="P457" s="17" t="s">
        <v>286</v>
      </c>
      <c r="Q457" s="59" t="s">
        <v>451</v>
      </c>
      <c r="R457" s="59" t="s">
        <v>450</v>
      </c>
      <c r="T457" s="15" t="s">
        <v>89</v>
      </c>
      <c r="U457" t="s">
        <v>118</v>
      </c>
      <c r="V457" t="s">
        <v>109</v>
      </c>
      <c r="W457" t="s">
        <v>286</v>
      </c>
      <c r="X457" t="s">
        <v>287</v>
      </c>
      <c r="Z457" s="17" t="s">
        <v>89</v>
      </c>
      <c r="AA457" s="17" t="s">
        <v>118</v>
      </c>
      <c r="AB457" s="17" t="s">
        <v>109</v>
      </c>
      <c r="AC457" s="17" t="s">
        <v>277</v>
      </c>
      <c r="AD457" s="17" t="s">
        <v>785</v>
      </c>
      <c r="AE457" s="17" t="s">
        <v>784</v>
      </c>
      <c r="AF457" s="17" t="s">
        <v>787</v>
      </c>
      <c r="AG457" s="17" t="s">
        <v>786</v>
      </c>
      <c r="AH457" s="17" t="s">
        <v>783</v>
      </c>
    </row>
    <row r="458" spans="2:34">
      <c r="B458" s="11">
        <v>15</v>
      </c>
      <c r="D458" s="71"/>
      <c r="E458" s="71"/>
      <c r="F458" s="71"/>
      <c r="G458" s="71"/>
      <c r="H458" s="71"/>
      <c r="I458" s="71"/>
      <c r="J458" s="71"/>
      <c r="K458" s="60">
        <f>IF($F$1="leicht",0,IF($F$1="schwer",Stiffener[[#This Row],[THK_Schwer]]))</f>
        <v>0</v>
      </c>
      <c r="M458" s="11">
        <v>15</v>
      </c>
      <c r="N458" s="11">
        <v>0</v>
      </c>
      <c r="O458" s="11">
        <v>0</v>
      </c>
      <c r="P458" s="11">
        <v>0</v>
      </c>
      <c r="Q458" s="60"/>
      <c r="R458" s="60"/>
      <c r="T458" s="11">
        <v>15</v>
      </c>
      <c r="U458">
        <f t="shared" ref="U458:U481" si="69">IF($D$1="PFP",IF(T494="FP",O118,0),IF($D$1="FP",N458,IF($D$1="GB",C428,IF($D$1="GS",C428))))</f>
        <v>0</v>
      </c>
      <c r="V458">
        <f t="shared" ref="V458:V481" si="70">IF($D$1="PFP",IF(T494="FP",F288,0),IF($D$1="FP",O458,IF($D$1="GB",D428,IF($D$1="GS",D428))))</f>
        <v>0</v>
      </c>
      <c r="W458">
        <f t="shared" ref="W458:W481" si="71">IF($D$1="PFP",I428,IF($D$1="FP",P458,IF($D$1="GB",E428,IF($D$1="GS",E428))))</f>
        <v>0</v>
      </c>
      <c r="X458">
        <f>IF($D$1="PFP",J428,IF($D$1="FP",0,IF($D$1="GB",F428,IF($D$1="GS",F428))))</f>
        <v>0</v>
      </c>
      <c r="Z458" s="11">
        <v>15</v>
      </c>
      <c r="AA458" s="22">
        <f>IF($D$1="FP",0,Plate[[#This Row],[L]])</f>
        <v>0</v>
      </c>
      <c r="AB458" s="22">
        <f>IF($D$1="FP",0,Plate[[#This Row],[W]])</f>
        <v>0</v>
      </c>
      <c r="AC458" s="22">
        <f>IF($D$1="FP",0,Plate[[#This Row],[THK_PLT]])</f>
        <v>0</v>
      </c>
      <c r="AD458" s="22" t="b">
        <f t="shared" ref="AD458:AD481" si="72">IF(F494="SS",TRUE,FALSE)</f>
        <v>0</v>
      </c>
      <c r="AE458" s="22">
        <f>IF(Gew_Platte[[#This Row],[Hat_Gleitplatte]],(Gew_Platte[[#This Row],[L]]*Gew_Platte[[#This Row],[W]]*Gew_Platte[[#This Row],[THK]]*$K$1/1000)*2,0)</f>
        <v>0</v>
      </c>
      <c r="AF458" s="22" t="b">
        <f t="shared" ref="AF458:AF481" si="73">IF(F494="FP",TRUE,FALSE)</f>
        <v>0</v>
      </c>
      <c r="AG458" s="22">
        <f>IF(Gew_Platte[[#This Row],[Hat_Futterblech]],(Gew_Platte[[#This Row],[L]]*Gew_Platte[[#This Row],[W]]*Gew_Platte[[#This Row],[THK]]*$K$1/1000),0)</f>
        <v>0</v>
      </c>
      <c r="AH458" s="22"/>
    </row>
    <row r="459" spans="2:34">
      <c r="B459" s="13">
        <v>20</v>
      </c>
      <c r="K459" s="61">
        <f>IF($F$1="leicht",0,IF($F$1="schwer",Stiffener[[#This Row],[THK_Schwer]]))</f>
        <v>0</v>
      </c>
      <c r="M459" s="13">
        <v>20</v>
      </c>
      <c r="N459" s="13">
        <v>0</v>
      </c>
      <c r="O459" s="13">
        <v>0</v>
      </c>
      <c r="P459" s="13">
        <v>0</v>
      </c>
      <c r="Q459" s="61"/>
      <c r="R459" s="61"/>
      <c r="T459" s="13">
        <v>20</v>
      </c>
      <c r="U459">
        <f t="shared" si="69"/>
        <v>0</v>
      </c>
      <c r="V459">
        <f t="shared" si="70"/>
        <v>0</v>
      </c>
      <c r="W459">
        <f t="shared" si="71"/>
        <v>0</v>
      </c>
      <c r="X459">
        <f t="shared" ref="X459:X481" si="74">IF($D$1="PFP",J429,IF($D$1="FP",0,IF($D$1="GB",F429,IF($D$1="GS",F429))))</f>
        <v>0</v>
      </c>
      <c r="Z459" s="13">
        <v>20</v>
      </c>
      <c r="AA459" s="13">
        <f>IF($D$1="FP",0,Plate[[#This Row],[L]])</f>
        <v>0</v>
      </c>
      <c r="AB459" s="22">
        <f>IF($D$1="FP",0,Plate[[#This Row],[W]])</f>
        <v>0</v>
      </c>
      <c r="AC459" s="22">
        <f>IF($D$1="FP",0,Plate[[#This Row],[THK_PLT]])</f>
        <v>0</v>
      </c>
      <c r="AD459" s="13" t="b">
        <f t="shared" si="72"/>
        <v>0</v>
      </c>
      <c r="AE459" s="13">
        <f>IF(Gew_Platte[[#This Row],[Hat_Gleitplatte]],(Gew_Platte[[#This Row],[L]]*Gew_Platte[[#This Row],[W]]*Gew_Platte[[#This Row],[THK]]*$K$1/1000)*2,0)</f>
        <v>0</v>
      </c>
      <c r="AF459" s="13" t="b">
        <f t="shared" si="73"/>
        <v>0</v>
      </c>
      <c r="AG459" s="13">
        <f>IF(Gew_Platte[[#This Row],[Hat_Futterblech]],(Gew_Platte[[#This Row],[L]]*Gew_Platte[[#This Row],[W]]*Gew_Platte[[#This Row],[THK]]*$K$1/1000),0)</f>
        <v>0</v>
      </c>
      <c r="AH459" s="13"/>
    </row>
    <row r="460" spans="2:34">
      <c r="B460" s="11">
        <v>25</v>
      </c>
      <c r="K460" s="62">
        <f>IF($F$1="leicht",0,IF($F$1="schwer",Stiffener[[#This Row],[THK_Schwer]]))</f>
        <v>0</v>
      </c>
      <c r="M460" s="11">
        <v>25</v>
      </c>
      <c r="N460" s="11">
        <v>0</v>
      </c>
      <c r="O460" s="11">
        <v>0</v>
      </c>
      <c r="P460" s="11">
        <v>0</v>
      </c>
      <c r="Q460" s="62"/>
      <c r="R460" s="62"/>
      <c r="T460" s="11">
        <v>25</v>
      </c>
      <c r="U460">
        <f t="shared" si="69"/>
        <v>0</v>
      </c>
      <c r="V460">
        <f t="shared" si="70"/>
        <v>0</v>
      </c>
      <c r="W460">
        <f t="shared" si="71"/>
        <v>0</v>
      </c>
      <c r="X460">
        <f t="shared" si="74"/>
        <v>0</v>
      </c>
      <c r="Z460" s="11">
        <v>25</v>
      </c>
      <c r="AA460" s="13">
        <f>IF($D$1="FP",0,Plate[[#This Row],[L]])</f>
        <v>0</v>
      </c>
      <c r="AB460" s="22">
        <f>IF($D$1="FP",0,Plate[[#This Row],[W]])</f>
        <v>0</v>
      </c>
      <c r="AC460" s="22">
        <f>IF($D$1="FP",0,Plate[[#This Row],[THK_PLT]])</f>
        <v>0</v>
      </c>
      <c r="AD460" s="13" t="b">
        <f t="shared" si="72"/>
        <v>0</v>
      </c>
      <c r="AE460" s="13">
        <f>IF(Gew_Platte[[#This Row],[Hat_Gleitplatte]],(Gew_Platte[[#This Row],[L]]*Gew_Platte[[#This Row],[W]]*Gew_Platte[[#This Row],[THK]]*$K$1/1000)*2,0)</f>
        <v>0</v>
      </c>
      <c r="AF460" s="13" t="b">
        <f t="shared" si="73"/>
        <v>0</v>
      </c>
      <c r="AG460" s="13">
        <f>IF(Gew_Platte[[#This Row],[Hat_Futterblech]],(Gew_Platte[[#This Row],[L]]*Gew_Platte[[#This Row],[W]]*Gew_Platte[[#This Row],[THK]]*$K$1/1000),0)</f>
        <v>0</v>
      </c>
      <c r="AH460" s="13"/>
    </row>
    <row r="461" spans="2:34">
      <c r="B461" s="13">
        <v>32</v>
      </c>
      <c r="K461" s="61">
        <f>IF($F$1="leicht",0,IF($F$1="schwer",Stiffener[[#This Row],[THK_Schwer]]))</f>
        <v>0</v>
      </c>
      <c r="M461" s="13">
        <v>32</v>
      </c>
      <c r="N461" s="13">
        <v>0</v>
      </c>
      <c r="O461" s="13">
        <v>0</v>
      </c>
      <c r="P461" s="13">
        <v>0</v>
      </c>
      <c r="Q461" s="61"/>
      <c r="R461" s="61"/>
      <c r="T461" s="13">
        <v>32</v>
      </c>
      <c r="U461">
        <f t="shared" si="69"/>
        <v>0</v>
      </c>
      <c r="V461">
        <f t="shared" si="70"/>
        <v>0</v>
      </c>
      <c r="W461">
        <f t="shared" si="71"/>
        <v>0</v>
      </c>
      <c r="X461">
        <f t="shared" si="74"/>
        <v>0</v>
      </c>
      <c r="Z461" s="13">
        <v>32</v>
      </c>
      <c r="AA461" s="13">
        <f>IF($D$1="FP",0,Plate[[#This Row],[L]])</f>
        <v>0</v>
      </c>
      <c r="AB461" s="22">
        <f>IF($D$1="FP",0,Plate[[#This Row],[W]])</f>
        <v>0</v>
      </c>
      <c r="AC461" s="22">
        <f>IF($D$1="FP",0,Plate[[#This Row],[THK_PLT]])</f>
        <v>0</v>
      </c>
      <c r="AD461" s="13" t="b">
        <f t="shared" si="72"/>
        <v>0</v>
      </c>
      <c r="AE461" s="13">
        <f>IF(Gew_Platte[[#This Row],[Hat_Gleitplatte]],(Gew_Platte[[#This Row],[L]]*Gew_Platte[[#This Row],[W]]*Gew_Platte[[#This Row],[THK]]*$K$1/1000)*2,0)</f>
        <v>0</v>
      </c>
      <c r="AF461" s="13" t="b">
        <f t="shared" si="73"/>
        <v>0</v>
      </c>
      <c r="AG461" s="13">
        <f>IF(Gew_Platte[[#This Row],[Hat_Futterblech]],(Gew_Platte[[#This Row],[L]]*Gew_Platte[[#This Row],[W]]*Gew_Platte[[#This Row],[THK]]*$K$1/1000),0)</f>
        <v>0</v>
      </c>
      <c r="AH461" s="13"/>
    </row>
    <row r="462" spans="2:34">
      <c r="B462" s="11">
        <v>40</v>
      </c>
      <c r="K462" s="62">
        <f>IF($F$1="leicht",0,IF($F$1="schwer",Stiffener[[#This Row],[THK_Schwer]]))</f>
        <v>0</v>
      </c>
      <c r="M462" s="11">
        <v>40</v>
      </c>
      <c r="N462" s="11">
        <v>0</v>
      </c>
      <c r="O462" s="11">
        <v>0</v>
      </c>
      <c r="P462" s="11">
        <v>0</v>
      </c>
      <c r="Q462" s="62"/>
      <c r="R462" s="62"/>
      <c r="T462" s="11">
        <v>40</v>
      </c>
      <c r="U462">
        <f t="shared" si="69"/>
        <v>0</v>
      </c>
      <c r="V462">
        <f t="shared" si="70"/>
        <v>0</v>
      </c>
      <c r="W462">
        <f t="shared" si="71"/>
        <v>0</v>
      </c>
      <c r="X462">
        <f t="shared" si="74"/>
        <v>0</v>
      </c>
      <c r="Z462" s="11">
        <v>40</v>
      </c>
      <c r="AA462" s="13">
        <f>IF($D$1="FP",0,Plate[[#This Row],[L]])</f>
        <v>0</v>
      </c>
      <c r="AB462" s="22">
        <f>IF($D$1="FP",0,Plate[[#This Row],[W]])</f>
        <v>0</v>
      </c>
      <c r="AC462" s="22">
        <f>IF($D$1="FP",0,Plate[[#This Row],[THK_PLT]])</f>
        <v>0</v>
      </c>
      <c r="AD462" s="13" t="b">
        <f t="shared" si="72"/>
        <v>0</v>
      </c>
      <c r="AE462" s="13">
        <f>IF(Gew_Platte[[#This Row],[Hat_Gleitplatte]],(Gew_Platte[[#This Row],[L]]*Gew_Platte[[#This Row],[W]]*Gew_Platte[[#This Row],[THK]]*$K$1/1000)*2,0)</f>
        <v>0</v>
      </c>
      <c r="AF462" s="13" t="b">
        <f t="shared" si="73"/>
        <v>0</v>
      </c>
      <c r="AG462" s="13">
        <f>IF(Gew_Platte[[#This Row],[Hat_Futterblech]],(Gew_Platte[[#This Row],[L]]*Gew_Platte[[#This Row],[W]]*Gew_Platte[[#This Row],[THK]]*$K$1/1000),0)</f>
        <v>0</v>
      </c>
      <c r="AH462" s="13"/>
    </row>
    <row r="463" spans="2:34">
      <c r="B463" s="13">
        <v>50</v>
      </c>
      <c r="K463" s="61">
        <f>IF($F$1="leicht",0,IF($F$1="schwer",Stiffener[[#This Row],[THK_Schwer]]))</f>
        <v>0</v>
      </c>
      <c r="M463" s="13">
        <v>50</v>
      </c>
      <c r="N463" s="13">
        <v>0</v>
      </c>
      <c r="O463" s="13">
        <v>0</v>
      </c>
      <c r="P463" s="13">
        <v>0</v>
      </c>
      <c r="Q463" s="61"/>
      <c r="R463" s="61"/>
      <c r="T463" s="13">
        <v>50</v>
      </c>
      <c r="U463">
        <f t="shared" si="69"/>
        <v>0</v>
      </c>
      <c r="V463">
        <f t="shared" si="70"/>
        <v>0</v>
      </c>
      <c r="W463">
        <f t="shared" si="71"/>
        <v>0</v>
      </c>
      <c r="X463">
        <f t="shared" si="74"/>
        <v>0</v>
      </c>
      <c r="Z463" s="13">
        <v>50</v>
      </c>
      <c r="AA463" s="13">
        <f>IF($D$1="FP",0,Plate[[#This Row],[L]])</f>
        <v>0</v>
      </c>
      <c r="AB463" s="22">
        <f>IF($D$1="FP",0,Plate[[#This Row],[W]])</f>
        <v>0</v>
      </c>
      <c r="AC463" s="22">
        <f>IF($D$1="FP",0,Plate[[#This Row],[THK_PLT]])</f>
        <v>0</v>
      </c>
      <c r="AD463" s="13" t="b">
        <f t="shared" si="72"/>
        <v>0</v>
      </c>
      <c r="AE463" s="13">
        <f>IF(Gew_Platte[[#This Row],[Hat_Gleitplatte]],(Gew_Platte[[#This Row],[L]]*Gew_Platte[[#This Row],[W]]*Gew_Platte[[#This Row],[THK]]*$K$1/1000)*2,0)</f>
        <v>0</v>
      </c>
      <c r="AF463" s="13" t="b">
        <f t="shared" si="73"/>
        <v>0</v>
      </c>
      <c r="AG463" s="13">
        <f>IF(Gew_Platte[[#This Row],[Hat_Futterblech]],(Gew_Platte[[#This Row],[L]]*Gew_Platte[[#This Row],[W]]*Gew_Platte[[#This Row],[THK]]*$K$1/1000),0)</f>
        <v>0</v>
      </c>
      <c r="AH463" s="13"/>
    </row>
    <row r="464" spans="2:34">
      <c r="B464" s="11">
        <v>65</v>
      </c>
      <c r="K464" s="62">
        <f>IF($F$1="leicht",0,IF($F$1="schwer",Stiffener[[#This Row],[THK_Schwer]]))</f>
        <v>0</v>
      </c>
      <c r="M464" s="11">
        <v>65</v>
      </c>
      <c r="N464" s="11">
        <v>0</v>
      </c>
      <c r="O464" s="11">
        <v>0</v>
      </c>
      <c r="P464" s="11">
        <v>0</v>
      </c>
      <c r="Q464" s="62"/>
      <c r="R464" s="62"/>
      <c r="T464" s="11">
        <v>65</v>
      </c>
      <c r="U464">
        <f t="shared" si="69"/>
        <v>0</v>
      </c>
      <c r="V464">
        <f t="shared" si="70"/>
        <v>0</v>
      </c>
      <c r="W464">
        <f t="shared" si="71"/>
        <v>0</v>
      </c>
      <c r="X464">
        <f t="shared" si="74"/>
        <v>0</v>
      </c>
      <c r="Z464" s="11">
        <v>65</v>
      </c>
      <c r="AA464" s="13">
        <f>IF($D$1="FP",0,Plate[[#This Row],[L]])</f>
        <v>0</v>
      </c>
      <c r="AB464" s="22">
        <f>IF($D$1="FP",0,Plate[[#This Row],[W]])</f>
        <v>0</v>
      </c>
      <c r="AC464" s="22">
        <f>IF($D$1="FP",0,Plate[[#This Row],[THK_PLT]])</f>
        <v>0</v>
      </c>
      <c r="AD464" s="13" t="b">
        <f t="shared" si="72"/>
        <v>0</v>
      </c>
      <c r="AE464" s="13">
        <f>IF(Gew_Platte[[#This Row],[Hat_Gleitplatte]],(Gew_Platte[[#This Row],[L]]*Gew_Platte[[#This Row],[W]]*Gew_Platte[[#This Row],[THK]]*$K$1/1000)*2,0)</f>
        <v>0</v>
      </c>
      <c r="AF464" s="13" t="b">
        <f t="shared" si="73"/>
        <v>0</v>
      </c>
      <c r="AG464" s="13">
        <f>IF(Gew_Platte[[#This Row],[Hat_Futterblech]],(Gew_Platte[[#This Row],[L]]*Gew_Platte[[#This Row],[W]]*Gew_Platte[[#This Row],[THK]]*$K$1/1000),0)</f>
        <v>0</v>
      </c>
      <c r="AH464" s="13"/>
    </row>
    <row r="465" spans="2:34">
      <c r="B465" s="13">
        <v>80</v>
      </c>
      <c r="K465" s="61">
        <f>IF($F$1="leicht",0,IF($F$1="schwer",Stiffener[[#This Row],[THK_Schwer]]))</f>
        <v>0</v>
      </c>
      <c r="M465" s="13">
        <v>80</v>
      </c>
      <c r="N465" s="13">
        <v>0</v>
      </c>
      <c r="O465" s="13">
        <v>0</v>
      </c>
      <c r="P465" s="13">
        <v>0</v>
      </c>
      <c r="Q465" s="61"/>
      <c r="R465" s="61"/>
      <c r="T465" s="13">
        <v>80</v>
      </c>
      <c r="U465">
        <f t="shared" si="69"/>
        <v>0</v>
      </c>
      <c r="V465">
        <f t="shared" si="70"/>
        <v>0</v>
      </c>
      <c r="W465">
        <f t="shared" si="71"/>
        <v>0</v>
      </c>
      <c r="X465">
        <f t="shared" si="74"/>
        <v>0</v>
      </c>
      <c r="Z465" s="13">
        <v>80</v>
      </c>
      <c r="AA465" s="13">
        <f>IF($D$1="FP",0,Plate[[#This Row],[L]])</f>
        <v>0</v>
      </c>
      <c r="AB465" s="22">
        <f>IF($D$1="FP",0,Plate[[#This Row],[W]])</f>
        <v>0</v>
      </c>
      <c r="AC465" s="22">
        <f>IF($D$1="FP",0,Plate[[#This Row],[THK_PLT]])</f>
        <v>0</v>
      </c>
      <c r="AD465" s="13" t="b">
        <f t="shared" si="72"/>
        <v>0</v>
      </c>
      <c r="AE465" s="13">
        <f>IF(Gew_Platte[[#This Row],[Hat_Gleitplatte]],(Gew_Platte[[#This Row],[L]]*Gew_Platte[[#This Row],[W]]*Gew_Platte[[#This Row],[THK]]*$K$1/1000)*2,0)</f>
        <v>0</v>
      </c>
      <c r="AF465" s="13" t="b">
        <f t="shared" si="73"/>
        <v>0</v>
      </c>
      <c r="AG465" s="13">
        <f>IF(Gew_Platte[[#This Row],[Hat_Futterblech]],(Gew_Platte[[#This Row],[L]]*Gew_Platte[[#This Row],[W]]*Gew_Platte[[#This Row],[THK]]*$K$1/1000),0)</f>
        <v>0</v>
      </c>
      <c r="AH465" s="13"/>
    </row>
    <row r="466" spans="2:34">
      <c r="B466" s="11">
        <v>100</v>
      </c>
      <c r="K466" s="62">
        <f>IF($F$1="leicht",0,IF($F$1="schwer",Stiffener[[#This Row],[THK_Schwer]]))</f>
        <v>0</v>
      </c>
      <c r="M466" s="11">
        <v>100</v>
      </c>
      <c r="N466" s="11">
        <v>0</v>
      </c>
      <c r="O466" s="11">
        <v>0</v>
      </c>
      <c r="P466" s="11">
        <v>0</v>
      </c>
      <c r="Q466" s="62"/>
      <c r="R466" s="62"/>
      <c r="T466" s="11">
        <v>100</v>
      </c>
      <c r="U466">
        <f t="shared" si="69"/>
        <v>0</v>
      </c>
      <c r="V466">
        <f t="shared" si="70"/>
        <v>0</v>
      </c>
      <c r="W466">
        <f t="shared" si="71"/>
        <v>0</v>
      </c>
      <c r="X466">
        <f t="shared" si="74"/>
        <v>0</v>
      </c>
      <c r="Z466" s="11">
        <v>100</v>
      </c>
      <c r="AA466" s="13">
        <f>IF($D$1="FP",0,Plate[[#This Row],[L]])</f>
        <v>0</v>
      </c>
      <c r="AB466" s="22">
        <f>IF($D$1="FP",0,Plate[[#This Row],[W]])</f>
        <v>0</v>
      </c>
      <c r="AC466" s="22">
        <f>IF($D$1="FP",0,Plate[[#This Row],[THK_PLT]])</f>
        <v>0</v>
      </c>
      <c r="AD466" s="13" t="b">
        <f t="shared" si="72"/>
        <v>0</v>
      </c>
      <c r="AE466" s="13">
        <f>IF(Gew_Platte[[#This Row],[Hat_Gleitplatte]],(Gew_Platte[[#This Row],[L]]*Gew_Platte[[#This Row],[W]]*Gew_Platte[[#This Row],[THK]]*$K$1/1000)*2,0)</f>
        <v>0</v>
      </c>
      <c r="AF466" s="13" t="b">
        <f t="shared" si="73"/>
        <v>0</v>
      </c>
      <c r="AG466" s="13">
        <f>IF(Gew_Platte[[#This Row],[Hat_Futterblech]],(Gew_Platte[[#This Row],[L]]*Gew_Platte[[#This Row],[W]]*Gew_Platte[[#This Row],[THK]]*$K$1/1000),0)</f>
        <v>0</v>
      </c>
      <c r="AH466" s="13"/>
    </row>
    <row r="467" spans="2:34">
      <c r="B467" s="13">
        <v>125</v>
      </c>
      <c r="D467">
        <v>14</v>
      </c>
      <c r="E467">
        <v>20</v>
      </c>
      <c r="G467">
        <v>12</v>
      </c>
      <c r="H467">
        <v>35</v>
      </c>
      <c r="I467">
        <v>20</v>
      </c>
      <c r="J467">
        <v>100</v>
      </c>
      <c r="K467" s="61">
        <f>IF($F$1="leicht",0,IF($F$1="schwer",Stiffener[[#This Row],[THK_Schwer]]))</f>
        <v>0</v>
      </c>
      <c r="M467" s="13">
        <v>125</v>
      </c>
      <c r="N467">
        <v>320</v>
      </c>
      <c r="O467">
        <v>330</v>
      </c>
      <c r="P467" s="13">
        <v>20</v>
      </c>
      <c r="Q467" s="61">
        <f>(Ground_Plate[[#This Row],[L]]-E325)/2</f>
        <v>10</v>
      </c>
      <c r="R467" s="61">
        <f>(Ground_Plate[[#This Row],[W]]-(J269+J269+J297))/2</f>
        <v>15</v>
      </c>
      <c r="T467" s="13">
        <v>125</v>
      </c>
      <c r="U467">
        <f t="shared" si="69"/>
        <v>0</v>
      </c>
      <c r="V467">
        <f t="shared" si="70"/>
        <v>0</v>
      </c>
      <c r="W467">
        <f t="shared" si="71"/>
        <v>0</v>
      </c>
      <c r="X467">
        <f t="shared" si="74"/>
        <v>0</v>
      </c>
      <c r="Z467" s="13">
        <v>125</v>
      </c>
      <c r="AA467" s="13">
        <f>IF($D$1="FP",0,Plate[[#This Row],[L]])</f>
        <v>0</v>
      </c>
      <c r="AB467" s="22">
        <f>IF($D$1="FP",0,Plate[[#This Row],[W]])</f>
        <v>0</v>
      </c>
      <c r="AC467" s="22">
        <f>IF($D$1="FP",0,Plate[[#This Row],[THK_PLT]])</f>
        <v>0</v>
      </c>
      <c r="AD467" s="13" t="b">
        <f t="shared" si="72"/>
        <v>0</v>
      </c>
      <c r="AE467" s="13">
        <f>IF(Gew_Platte[[#This Row],[Hat_Gleitplatte]],(Gew_Platte[[#This Row],[L]]*Gew_Platte[[#This Row],[W]]*Gew_Platte[[#This Row],[THK]]*$K$1/1000)*2,0)</f>
        <v>0</v>
      </c>
      <c r="AF467" s="13" t="b">
        <f t="shared" si="73"/>
        <v>0</v>
      </c>
      <c r="AG467" s="13">
        <f>IF(Gew_Platte[[#This Row],[Hat_Futterblech]],(Gew_Platte[[#This Row],[L]]*Gew_Platte[[#This Row],[W]]*Gew_Platte[[#This Row],[THK]]*$K$1/1000),0)</f>
        <v>0</v>
      </c>
      <c r="AH467" s="13"/>
    </row>
    <row r="468" spans="2:34">
      <c r="B468" s="11">
        <v>150</v>
      </c>
      <c r="D468">
        <v>14</v>
      </c>
      <c r="E468">
        <v>20</v>
      </c>
      <c r="G468">
        <v>12</v>
      </c>
      <c r="H468">
        <v>35</v>
      </c>
      <c r="I468">
        <v>20</v>
      </c>
      <c r="J468">
        <v>100</v>
      </c>
      <c r="K468" s="62">
        <f>IF($F$1="leicht",0,IF($F$1="schwer",Stiffener[[#This Row],[THK_Schwer]]))</f>
        <v>0</v>
      </c>
      <c r="M468" s="11">
        <v>150</v>
      </c>
      <c r="N468">
        <v>320</v>
      </c>
      <c r="O468">
        <v>340</v>
      </c>
      <c r="P468" s="13">
        <v>20</v>
      </c>
      <c r="Q468" s="62">
        <f>(Ground_Plate[[#This Row],[L]]-E326)/2</f>
        <v>10</v>
      </c>
      <c r="R468" s="62">
        <f>(Ground_Plate[[#This Row],[W]]-(J270+J270+J298))/2</f>
        <v>15</v>
      </c>
      <c r="T468" s="11">
        <v>150</v>
      </c>
      <c r="U468">
        <f t="shared" si="69"/>
        <v>0</v>
      </c>
      <c r="V468">
        <f t="shared" si="70"/>
        <v>0</v>
      </c>
      <c r="W468">
        <f t="shared" si="71"/>
        <v>0</v>
      </c>
      <c r="X468">
        <f t="shared" si="74"/>
        <v>0</v>
      </c>
      <c r="Z468" s="11">
        <v>150</v>
      </c>
      <c r="AA468" s="13">
        <f>IF($D$1="FP",0,Plate[[#This Row],[L]])</f>
        <v>0</v>
      </c>
      <c r="AB468" s="22">
        <f>IF($D$1="FP",0,Plate[[#This Row],[W]])</f>
        <v>0</v>
      </c>
      <c r="AC468" s="22">
        <f>IF($D$1="FP",0,Plate[[#This Row],[THK_PLT]])</f>
        <v>0</v>
      </c>
      <c r="AD468" s="13" t="b">
        <f t="shared" si="72"/>
        <v>0</v>
      </c>
      <c r="AE468" s="13">
        <f>IF(Gew_Platte[[#This Row],[Hat_Gleitplatte]],(Gew_Platte[[#This Row],[L]]*Gew_Platte[[#This Row],[W]]*Gew_Platte[[#This Row],[THK]]*$K$1/1000)*2,0)</f>
        <v>0</v>
      </c>
      <c r="AF468" s="13" t="b">
        <f t="shared" si="73"/>
        <v>0</v>
      </c>
      <c r="AG468" s="13">
        <f>IF(Gew_Platte[[#This Row],[Hat_Futterblech]],(Gew_Platte[[#This Row],[L]]*Gew_Platte[[#This Row],[W]]*Gew_Platte[[#This Row],[THK]]*$K$1/1000),0)</f>
        <v>0</v>
      </c>
      <c r="AH468" s="13"/>
    </row>
    <row r="469" spans="2:34">
      <c r="B469" s="13">
        <v>200</v>
      </c>
      <c r="D469">
        <v>14</v>
      </c>
      <c r="E469">
        <v>20</v>
      </c>
      <c r="G469">
        <v>12</v>
      </c>
      <c r="H469">
        <v>35</v>
      </c>
      <c r="I469">
        <v>20</v>
      </c>
      <c r="J469">
        <v>100</v>
      </c>
      <c r="K469" s="61">
        <f>IF($F$1="leicht",0,IF($F$1="schwer",Stiffener[[#This Row],[THK_Schwer]]))</f>
        <v>0</v>
      </c>
      <c r="M469" s="13">
        <v>200</v>
      </c>
      <c r="N469">
        <v>320</v>
      </c>
      <c r="O469">
        <v>360</v>
      </c>
      <c r="P469" s="13">
        <v>20</v>
      </c>
      <c r="Q469" s="61">
        <f>(Ground_Plate[[#This Row],[L]]-E327)/2</f>
        <v>10</v>
      </c>
      <c r="R469" s="61">
        <f>(Ground_Plate[[#This Row],[W]]-(J271+J271+J299))/2</f>
        <v>17</v>
      </c>
      <c r="T469" s="13">
        <v>200</v>
      </c>
      <c r="U469">
        <f t="shared" si="69"/>
        <v>0</v>
      </c>
      <c r="V469">
        <f t="shared" si="70"/>
        <v>0</v>
      </c>
      <c r="W469">
        <f t="shared" si="71"/>
        <v>0</v>
      </c>
      <c r="X469">
        <f t="shared" si="74"/>
        <v>0</v>
      </c>
      <c r="Z469" s="13">
        <v>200</v>
      </c>
      <c r="AA469" s="13">
        <f>IF($D$1="FP",0,Plate[[#This Row],[L]])</f>
        <v>0</v>
      </c>
      <c r="AB469" s="22">
        <f>IF($D$1="FP",0,Plate[[#This Row],[W]])</f>
        <v>0</v>
      </c>
      <c r="AC469" s="22">
        <f>IF($D$1="FP",0,Plate[[#This Row],[THK_PLT]])</f>
        <v>0</v>
      </c>
      <c r="AD469" s="13" t="b">
        <f t="shared" si="72"/>
        <v>0</v>
      </c>
      <c r="AE469" s="13">
        <f>IF(Gew_Platte[[#This Row],[Hat_Gleitplatte]],(Gew_Platte[[#This Row],[L]]*Gew_Platte[[#This Row],[W]]*Gew_Platte[[#This Row],[THK]]*$K$1/1000)*2,0)</f>
        <v>0</v>
      </c>
      <c r="AF469" s="13" t="b">
        <f t="shared" si="73"/>
        <v>0</v>
      </c>
      <c r="AG469" s="13">
        <f>IF(Gew_Platte[[#This Row],[Hat_Futterblech]],(Gew_Platte[[#This Row],[L]]*Gew_Platte[[#This Row],[W]]*Gew_Platte[[#This Row],[THK]]*$K$1/1000),0)</f>
        <v>0</v>
      </c>
      <c r="AH469" s="13"/>
    </row>
    <row r="470" spans="2:34">
      <c r="B470" s="11">
        <v>250</v>
      </c>
      <c r="D470">
        <v>14</v>
      </c>
      <c r="E470">
        <v>20</v>
      </c>
      <c r="G470">
        <v>12</v>
      </c>
      <c r="H470">
        <v>35</v>
      </c>
      <c r="I470">
        <v>20</v>
      </c>
      <c r="J470">
        <v>100</v>
      </c>
      <c r="K470" s="62">
        <f>IF($F$1="leicht",0,IF($F$1="schwer",Stiffener[[#This Row],[THK_Schwer]]))</f>
        <v>0</v>
      </c>
      <c r="M470" s="11">
        <v>250</v>
      </c>
      <c r="N470">
        <v>320</v>
      </c>
      <c r="O470">
        <v>370</v>
      </c>
      <c r="P470" s="13">
        <v>20</v>
      </c>
      <c r="Q470" s="62">
        <f>(Ground_Plate[[#This Row],[L]]-E328)/2</f>
        <v>10</v>
      </c>
      <c r="R470" s="62">
        <f>(Ground_Plate[[#This Row],[W]]-(J272+J272+J300))/2</f>
        <v>14.5</v>
      </c>
      <c r="T470" s="11">
        <v>250</v>
      </c>
      <c r="U470">
        <f t="shared" si="69"/>
        <v>0</v>
      </c>
      <c r="V470">
        <f t="shared" si="70"/>
        <v>0</v>
      </c>
      <c r="W470">
        <f t="shared" si="71"/>
        <v>0</v>
      </c>
      <c r="X470">
        <f t="shared" si="74"/>
        <v>0</v>
      </c>
      <c r="Z470" s="11">
        <v>250</v>
      </c>
      <c r="AA470" s="13">
        <f>IF($D$1="FP",0,Plate[[#This Row],[L]])</f>
        <v>0</v>
      </c>
      <c r="AB470" s="22">
        <f>IF($D$1="FP",0,Plate[[#This Row],[W]])</f>
        <v>0</v>
      </c>
      <c r="AC470" s="22">
        <f>IF($D$1="FP",0,Plate[[#This Row],[THK_PLT]])</f>
        <v>0</v>
      </c>
      <c r="AD470" s="13" t="b">
        <f t="shared" si="72"/>
        <v>0</v>
      </c>
      <c r="AE470" s="13">
        <f>IF(Gew_Platte[[#This Row],[Hat_Gleitplatte]],(Gew_Platte[[#This Row],[L]]*Gew_Platte[[#This Row],[W]]*Gew_Platte[[#This Row],[THK]]*$K$1/1000)*2,0)</f>
        <v>0</v>
      </c>
      <c r="AF470" s="13" t="b">
        <f t="shared" si="73"/>
        <v>0</v>
      </c>
      <c r="AG470" s="13">
        <f>IF(Gew_Platte[[#This Row],[Hat_Futterblech]],(Gew_Platte[[#This Row],[L]]*Gew_Platte[[#This Row],[W]]*Gew_Platte[[#This Row],[THK]]*$K$1/1000),0)</f>
        <v>0</v>
      </c>
      <c r="AH470" s="13"/>
    </row>
    <row r="471" spans="2:34">
      <c r="B471" s="13">
        <v>300</v>
      </c>
      <c r="D471">
        <v>14</v>
      </c>
      <c r="E471">
        <v>30</v>
      </c>
      <c r="G471">
        <v>12</v>
      </c>
      <c r="H471">
        <v>24</v>
      </c>
      <c r="I471">
        <v>20</v>
      </c>
      <c r="J471">
        <v>100</v>
      </c>
      <c r="K471" s="61">
        <f>IF($F$1="leicht",0,IF($F$1="schwer",Stiffener[[#This Row],[THK_Schwer]]))</f>
        <v>0</v>
      </c>
      <c r="M471" s="13">
        <v>300</v>
      </c>
      <c r="N471">
        <v>420</v>
      </c>
      <c r="O471">
        <v>510</v>
      </c>
      <c r="P471" s="13">
        <v>20</v>
      </c>
      <c r="Q471" s="61">
        <f>(Ground_Plate[[#This Row],[L]]-E329)/2</f>
        <v>10</v>
      </c>
      <c r="R471" s="61">
        <f>(Ground_Plate[[#This Row],[W]]-(J273+J273+J301))/2</f>
        <v>19</v>
      </c>
      <c r="T471" s="13">
        <v>300</v>
      </c>
      <c r="U471">
        <f t="shared" si="69"/>
        <v>100</v>
      </c>
      <c r="V471">
        <f t="shared" si="70"/>
        <v>100</v>
      </c>
      <c r="W471">
        <f t="shared" si="71"/>
        <v>12</v>
      </c>
      <c r="X471">
        <f t="shared" si="74"/>
        <v>1</v>
      </c>
      <c r="Z471" s="13">
        <v>300</v>
      </c>
      <c r="AA471" s="13">
        <f>IF($D$1="FP",0,Plate[[#This Row],[L]])</f>
        <v>100</v>
      </c>
      <c r="AB471" s="22">
        <f>IF($D$1="FP",0,Plate[[#This Row],[W]])</f>
        <v>100</v>
      </c>
      <c r="AC471" s="22">
        <f>IF($D$1="FP",0,Plate[[#This Row],[THK_PLT]])</f>
        <v>12</v>
      </c>
      <c r="AD471" s="13" t="b">
        <f t="shared" si="72"/>
        <v>1</v>
      </c>
      <c r="AE471" s="13">
        <f>IF(Gew_Platte[[#This Row],[Hat_Gleitplatte]],(Gew_Platte[[#This Row],[L]]*Gew_Platte[[#This Row],[W]]*Gew_Platte[[#This Row],[THK]]*$K$1/1000)*2,0)</f>
        <v>1.8720000000000001</v>
      </c>
      <c r="AF471" s="13" t="b">
        <f t="shared" si="73"/>
        <v>0</v>
      </c>
      <c r="AG471" s="13">
        <f>IF(Gew_Platte[[#This Row],[Hat_Futterblech]],(Gew_Platte[[#This Row],[L]]*Gew_Platte[[#This Row],[W]]*Gew_Platte[[#This Row],[THK]]*$K$1/1000),0)</f>
        <v>0</v>
      </c>
      <c r="AH471" s="13"/>
    </row>
    <row r="472" spans="2:34">
      <c r="B472" s="11">
        <v>350</v>
      </c>
      <c r="D472">
        <v>14</v>
      </c>
      <c r="E472">
        <v>30</v>
      </c>
      <c r="G472">
        <v>12</v>
      </c>
      <c r="H472">
        <v>24</v>
      </c>
      <c r="I472">
        <v>20</v>
      </c>
      <c r="J472">
        <v>100</v>
      </c>
      <c r="K472" s="62">
        <f>IF($F$1="leicht",0,IF($F$1="schwer",Stiffener[[#This Row],[THK_Schwer]]))</f>
        <v>0</v>
      </c>
      <c r="M472" s="11">
        <v>350</v>
      </c>
      <c r="N472">
        <v>420</v>
      </c>
      <c r="O472">
        <v>525</v>
      </c>
      <c r="P472" s="13">
        <v>20</v>
      </c>
      <c r="Q472" s="62">
        <f>(Ground_Plate[[#This Row],[L]]-E330)/2</f>
        <v>10</v>
      </c>
      <c r="R472" s="62">
        <f>(Ground_Plate[[#This Row],[W]]-(J274+J274+J302))/2</f>
        <v>18.5</v>
      </c>
      <c r="T472" s="11">
        <v>350</v>
      </c>
      <c r="U472">
        <f t="shared" si="69"/>
        <v>100</v>
      </c>
      <c r="V472">
        <f t="shared" si="70"/>
        <v>100</v>
      </c>
      <c r="W472">
        <f t="shared" si="71"/>
        <v>12</v>
      </c>
      <c r="X472">
        <f t="shared" si="74"/>
        <v>1</v>
      </c>
      <c r="Z472" s="11">
        <v>350</v>
      </c>
      <c r="AA472" s="13">
        <f>IF($D$1="FP",0,Plate[[#This Row],[L]])</f>
        <v>100</v>
      </c>
      <c r="AB472" s="22">
        <f>IF($D$1="FP",0,Plate[[#This Row],[W]])</f>
        <v>100</v>
      </c>
      <c r="AC472" s="22">
        <f>IF($D$1="FP",0,Plate[[#This Row],[THK_PLT]])</f>
        <v>12</v>
      </c>
      <c r="AD472" s="13" t="b">
        <f t="shared" si="72"/>
        <v>1</v>
      </c>
      <c r="AE472" s="13">
        <f>IF(Gew_Platte[[#This Row],[Hat_Gleitplatte]],(Gew_Platte[[#This Row],[L]]*Gew_Platte[[#This Row],[W]]*Gew_Platte[[#This Row],[THK]]*$K$1/1000)*2,0)</f>
        <v>1.8720000000000001</v>
      </c>
      <c r="AF472" s="13" t="b">
        <f t="shared" si="73"/>
        <v>0</v>
      </c>
      <c r="AG472" s="13">
        <f>IF(Gew_Platte[[#This Row],[Hat_Futterblech]],(Gew_Platte[[#This Row],[L]]*Gew_Platte[[#This Row],[W]]*Gew_Platte[[#This Row],[THK]]*$K$1/1000),0)</f>
        <v>0</v>
      </c>
      <c r="AH472" s="13"/>
    </row>
    <row r="473" spans="2:34">
      <c r="B473" s="13">
        <v>400</v>
      </c>
      <c r="C473">
        <v>8</v>
      </c>
      <c r="D473">
        <v>14</v>
      </c>
      <c r="E473">
        <v>30</v>
      </c>
      <c r="G473">
        <v>12</v>
      </c>
      <c r="H473">
        <v>24</v>
      </c>
      <c r="I473">
        <v>20</v>
      </c>
      <c r="J473">
        <v>100</v>
      </c>
      <c r="K473" s="61">
        <f>IF($F$1="leicht",0,IF($F$1="schwer",Stiffener[[#This Row],[THK_Schwer]]))</f>
        <v>8</v>
      </c>
      <c r="M473" s="13">
        <v>400</v>
      </c>
      <c r="N473">
        <v>420</v>
      </c>
      <c r="O473">
        <v>550</v>
      </c>
      <c r="P473" s="13">
        <v>20</v>
      </c>
      <c r="Q473" s="61">
        <f>(Ground_Plate[[#This Row],[L]]-E331)/2</f>
        <v>10</v>
      </c>
      <c r="R473" s="61">
        <f>(Ground_Plate[[#This Row],[W]]-(J275+J275+J303))/2</f>
        <v>17</v>
      </c>
      <c r="T473" s="13">
        <v>400</v>
      </c>
      <c r="U473">
        <f t="shared" si="69"/>
        <v>100</v>
      </c>
      <c r="V473">
        <f t="shared" si="70"/>
        <v>100</v>
      </c>
      <c r="W473">
        <f t="shared" si="71"/>
        <v>12</v>
      </c>
      <c r="X473">
        <f t="shared" si="74"/>
        <v>1</v>
      </c>
      <c r="Z473" s="13">
        <v>400</v>
      </c>
      <c r="AA473" s="13">
        <f>IF($D$1="FP",0,Plate[[#This Row],[L]])</f>
        <v>100</v>
      </c>
      <c r="AB473" s="22">
        <f>IF($D$1="FP",0,Plate[[#This Row],[W]])</f>
        <v>100</v>
      </c>
      <c r="AC473" s="22">
        <f>IF($D$1="FP",0,Plate[[#This Row],[THK_PLT]])</f>
        <v>12</v>
      </c>
      <c r="AD473" s="13" t="b">
        <f t="shared" si="72"/>
        <v>1</v>
      </c>
      <c r="AE473" s="13">
        <f>IF(Gew_Platte[[#This Row],[Hat_Gleitplatte]],(Gew_Platte[[#This Row],[L]]*Gew_Platte[[#This Row],[W]]*Gew_Platte[[#This Row],[THK]]*$K$1/1000)*2,0)</f>
        <v>1.8720000000000001</v>
      </c>
      <c r="AF473" s="13" t="b">
        <f t="shared" si="73"/>
        <v>0</v>
      </c>
      <c r="AG473" s="13">
        <f>IF(Gew_Platte[[#This Row],[Hat_Futterblech]],(Gew_Platte[[#This Row],[L]]*Gew_Platte[[#This Row],[W]]*Gew_Platte[[#This Row],[THK]]*$K$1/1000),0)</f>
        <v>0</v>
      </c>
      <c r="AH473" s="13"/>
    </row>
    <row r="474" spans="2:34">
      <c r="B474" s="11">
        <v>450</v>
      </c>
      <c r="C474">
        <v>8</v>
      </c>
      <c r="D474">
        <v>14</v>
      </c>
      <c r="E474">
        <v>30</v>
      </c>
      <c r="G474">
        <v>12</v>
      </c>
      <c r="H474">
        <v>24</v>
      </c>
      <c r="I474">
        <v>20</v>
      </c>
      <c r="J474">
        <v>100</v>
      </c>
      <c r="K474" s="62">
        <f>IF($F$1="leicht",0,IF($F$1="schwer",Stiffener[[#This Row],[THK_Schwer]]))</f>
        <v>8</v>
      </c>
      <c r="M474" s="11">
        <v>450</v>
      </c>
      <c r="N474">
        <v>0</v>
      </c>
      <c r="O474">
        <v>0</v>
      </c>
      <c r="P474" s="13">
        <v>0</v>
      </c>
      <c r="Q474" s="62"/>
      <c r="R474" s="62"/>
      <c r="T474" s="11">
        <v>450</v>
      </c>
      <c r="U474">
        <f t="shared" si="69"/>
        <v>100</v>
      </c>
      <c r="V474">
        <f t="shared" si="70"/>
        <v>100</v>
      </c>
      <c r="W474">
        <f t="shared" si="71"/>
        <v>12</v>
      </c>
      <c r="X474">
        <f t="shared" si="74"/>
        <v>1</v>
      </c>
      <c r="Z474" s="11">
        <v>450</v>
      </c>
      <c r="AA474" s="13">
        <f>IF($D$1="FP",0,Plate[[#This Row],[L]])</f>
        <v>100</v>
      </c>
      <c r="AB474" s="22">
        <f>IF($D$1="FP",0,Plate[[#This Row],[W]])</f>
        <v>100</v>
      </c>
      <c r="AC474" s="22">
        <f>IF($D$1="FP",0,Plate[[#This Row],[THK_PLT]])</f>
        <v>12</v>
      </c>
      <c r="AD474" s="13" t="b">
        <f t="shared" si="72"/>
        <v>1</v>
      </c>
      <c r="AE474" s="13">
        <f>IF(Gew_Platte[[#This Row],[Hat_Gleitplatte]],(Gew_Platte[[#This Row],[L]]*Gew_Platte[[#This Row],[W]]*Gew_Platte[[#This Row],[THK]]*$K$1/1000)*2,0)</f>
        <v>1.8720000000000001</v>
      </c>
      <c r="AF474" s="13" t="b">
        <f t="shared" si="73"/>
        <v>0</v>
      </c>
      <c r="AG474" s="13">
        <f>IF(Gew_Platte[[#This Row],[Hat_Futterblech]],(Gew_Platte[[#This Row],[L]]*Gew_Platte[[#This Row],[W]]*Gew_Platte[[#This Row],[THK]]*$K$1/1000),0)</f>
        <v>0</v>
      </c>
      <c r="AH474" s="13"/>
    </row>
    <row r="475" spans="2:34">
      <c r="B475" s="13">
        <v>500</v>
      </c>
      <c r="C475">
        <v>8</v>
      </c>
      <c r="D475">
        <v>14</v>
      </c>
      <c r="E475">
        <v>30</v>
      </c>
      <c r="G475">
        <v>12</v>
      </c>
      <c r="H475">
        <v>24</v>
      </c>
      <c r="I475">
        <v>20</v>
      </c>
      <c r="J475">
        <v>100</v>
      </c>
      <c r="K475" s="61">
        <f>IF($F$1="leicht",0,IF($F$1="schwer",Stiffener[[#This Row],[THK_Schwer]]))</f>
        <v>8</v>
      </c>
      <c r="M475" s="13">
        <v>500</v>
      </c>
      <c r="N475">
        <v>420</v>
      </c>
      <c r="O475">
        <v>590</v>
      </c>
      <c r="P475" s="13">
        <v>20</v>
      </c>
      <c r="Q475" s="61">
        <f>(Ground_Plate[[#This Row],[L]]-E333)/2</f>
        <v>10</v>
      </c>
      <c r="R475" s="61">
        <f>(Ground_Plate[[#This Row],[W]]-(J277+J277+J305))/2</f>
        <v>15</v>
      </c>
      <c r="T475" s="13">
        <v>500</v>
      </c>
      <c r="U475">
        <f t="shared" si="69"/>
        <v>100</v>
      </c>
      <c r="V475">
        <f t="shared" si="70"/>
        <v>100</v>
      </c>
      <c r="W475">
        <f t="shared" si="71"/>
        <v>12</v>
      </c>
      <c r="X475">
        <f t="shared" si="74"/>
        <v>1</v>
      </c>
      <c r="Z475" s="13">
        <v>500</v>
      </c>
      <c r="AA475" s="13">
        <f>IF($D$1="FP",0,Plate[[#This Row],[L]])</f>
        <v>100</v>
      </c>
      <c r="AB475" s="22">
        <f>IF($D$1="FP",0,Plate[[#This Row],[W]])</f>
        <v>100</v>
      </c>
      <c r="AC475" s="22">
        <f>IF($D$1="FP",0,Plate[[#This Row],[THK_PLT]])</f>
        <v>12</v>
      </c>
      <c r="AD475" s="13" t="b">
        <f t="shared" si="72"/>
        <v>1</v>
      </c>
      <c r="AE475" s="13">
        <f>IF(Gew_Platte[[#This Row],[Hat_Gleitplatte]],(Gew_Platte[[#This Row],[L]]*Gew_Platte[[#This Row],[W]]*Gew_Platte[[#This Row],[THK]]*$K$1/1000)*2,0)</f>
        <v>1.8720000000000001</v>
      </c>
      <c r="AF475" s="13" t="b">
        <f t="shared" si="73"/>
        <v>0</v>
      </c>
      <c r="AG475" s="13">
        <f>IF(Gew_Platte[[#This Row],[Hat_Futterblech]],(Gew_Platte[[#This Row],[L]]*Gew_Platte[[#This Row],[W]]*Gew_Platte[[#This Row],[THK]]*$K$1/1000),0)</f>
        <v>0</v>
      </c>
      <c r="AH475" s="13"/>
    </row>
    <row r="476" spans="2:34">
      <c r="B476" s="11">
        <v>600</v>
      </c>
      <c r="C476">
        <v>10</v>
      </c>
      <c r="D476">
        <v>14</v>
      </c>
      <c r="E476">
        <v>30</v>
      </c>
      <c r="G476">
        <v>12</v>
      </c>
      <c r="H476">
        <v>24</v>
      </c>
      <c r="I476">
        <v>20</v>
      </c>
      <c r="J476">
        <v>100</v>
      </c>
      <c r="K476" s="62">
        <f>IF($F$1="leicht",0,IF($F$1="schwer",Stiffener[[#This Row],[THK_Schwer]]))</f>
        <v>10</v>
      </c>
      <c r="M476" s="11">
        <v>600</v>
      </c>
      <c r="N476">
        <v>520</v>
      </c>
      <c r="O476">
        <v>630</v>
      </c>
      <c r="P476" s="13">
        <v>20</v>
      </c>
      <c r="Q476" s="62">
        <f>(Ground_Plate[[#This Row],[L]]-E334)/2</f>
        <v>10</v>
      </c>
      <c r="R476" s="62">
        <f>(Ground_Plate[[#This Row],[W]]-(J278+J278+J306))/2</f>
        <v>17</v>
      </c>
      <c r="T476" s="11">
        <v>600</v>
      </c>
      <c r="U476">
        <f t="shared" si="69"/>
        <v>150</v>
      </c>
      <c r="V476">
        <f t="shared" si="70"/>
        <v>100</v>
      </c>
      <c r="W476">
        <f t="shared" si="71"/>
        <v>12</v>
      </c>
      <c r="X476">
        <f t="shared" si="74"/>
        <v>1</v>
      </c>
      <c r="Z476" s="11">
        <v>600</v>
      </c>
      <c r="AA476" s="13">
        <f>IF($D$1="FP",0,Plate[[#This Row],[L]])</f>
        <v>150</v>
      </c>
      <c r="AB476" s="22">
        <f>IF($D$1="FP",0,Plate[[#This Row],[W]])</f>
        <v>100</v>
      </c>
      <c r="AC476" s="22">
        <f>IF($D$1="FP",0,Plate[[#This Row],[THK_PLT]])</f>
        <v>12</v>
      </c>
      <c r="AD476" s="13" t="b">
        <f t="shared" si="72"/>
        <v>1</v>
      </c>
      <c r="AE476" s="13">
        <f>IF(Gew_Platte[[#This Row],[Hat_Gleitplatte]],(Gew_Platte[[#This Row],[L]]*Gew_Platte[[#This Row],[W]]*Gew_Platte[[#This Row],[THK]]*$K$1/1000)*2,0)</f>
        <v>2.8079999999999998</v>
      </c>
      <c r="AF476" s="13" t="b">
        <f t="shared" si="73"/>
        <v>0</v>
      </c>
      <c r="AG476" s="13">
        <f>IF(Gew_Platte[[#This Row],[Hat_Futterblech]],(Gew_Platte[[#This Row],[L]]*Gew_Platte[[#This Row],[W]]*Gew_Platte[[#This Row],[THK]]*$K$1/1000),0)</f>
        <v>0</v>
      </c>
      <c r="AH476" s="13"/>
    </row>
    <row r="477" spans="2:34">
      <c r="B477" s="13">
        <v>700</v>
      </c>
      <c r="C477">
        <v>10</v>
      </c>
      <c r="D477">
        <v>14</v>
      </c>
      <c r="E477">
        <v>30</v>
      </c>
      <c r="G477">
        <v>12</v>
      </c>
      <c r="H477">
        <v>24</v>
      </c>
      <c r="I477">
        <v>20</v>
      </c>
      <c r="J477">
        <v>100</v>
      </c>
      <c r="K477" s="61">
        <f>IF($F$1="leicht",0,IF($F$1="schwer",Stiffener[[#This Row],[THK_Schwer]]))</f>
        <v>10</v>
      </c>
      <c r="M477" s="13">
        <v>700</v>
      </c>
      <c r="N477">
        <v>520</v>
      </c>
      <c r="O477">
        <v>670</v>
      </c>
      <c r="P477" s="13">
        <v>20</v>
      </c>
      <c r="Q477" s="61">
        <f>(Ground_Plate[[#This Row],[L]]-E335)/2</f>
        <v>10</v>
      </c>
      <c r="R477" s="61">
        <f>(Ground_Plate[[#This Row],[W]]-(J279+J279+J307))/2</f>
        <v>19</v>
      </c>
      <c r="T477" s="13">
        <v>700</v>
      </c>
      <c r="U477">
        <f t="shared" si="69"/>
        <v>150</v>
      </c>
      <c r="V477">
        <f t="shared" si="70"/>
        <v>100</v>
      </c>
      <c r="W477">
        <f t="shared" si="71"/>
        <v>12</v>
      </c>
      <c r="X477">
        <f t="shared" si="74"/>
        <v>1</v>
      </c>
      <c r="Z477" s="13">
        <v>700</v>
      </c>
      <c r="AA477" s="13">
        <f>IF($D$1="FP",0,Plate[[#This Row],[L]])</f>
        <v>150</v>
      </c>
      <c r="AB477" s="22">
        <f>IF($D$1="FP",0,Plate[[#This Row],[W]])</f>
        <v>100</v>
      </c>
      <c r="AC477" s="22">
        <f>IF($D$1="FP",0,Plate[[#This Row],[THK_PLT]])</f>
        <v>12</v>
      </c>
      <c r="AD477" s="13" t="b">
        <f t="shared" si="72"/>
        <v>1</v>
      </c>
      <c r="AE477" s="13">
        <f>IF(Gew_Platte[[#This Row],[Hat_Gleitplatte]],(Gew_Platte[[#This Row],[L]]*Gew_Platte[[#This Row],[W]]*Gew_Platte[[#This Row],[THK]]*$K$1/1000)*2,0)</f>
        <v>2.8079999999999998</v>
      </c>
      <c r="AF477" s="13" t="b">
        <f t="shared" si="73"/>
        <v>0</v>
      </c>
      <c r="AG477" s="13">
        <f>IF(Gew_Platte[[#This Row],[Hat_Futterblech]],(Gew_Platte[[#This Row],[L]]*Gew_Platte[[#This Row],[W]]*Gew_Platte[[#This Row],[THK]]*$K$1/1000),0)</f>
        <v>0</v>
      </c>
      <c r="AH477" s="13"/>
    </row>
    <row r="478" spans="2:34">
      <c r="B478" s="11">
        <v>800</v>
      </c>
      <c r="C478">
        <v>15</v>
      </c>
      <c r="D478">
        <v>14</v>
      </c>
      <c r="E478">
        <v>30</v>
      </c>
      <c r="G478">
        <v>12</v>
      </c>
      <c r="H478">
        <v>24</v>
      </c>
      <c r="I478">
        <v>20</v>
      </c>
      <c r="J478">
        <v>100</v>
      </c>
      <c r="K478" s="62">
        <f>IF($F$1="leicht",0,IF($F$1="schwer",Stiffener[[#This Row],[THK_Schwer]]))</f>
        <v>15</v>
      </c>
      <c r="M478" s="11">
        <v>800</v>
      </c>
      <c r="N478">
        <v>520</v>
      </c>
      <c r="O478">
        <v>700</v>
      </c>
      <c r="P478" s="13">
        <v>20</v>
      </c>
      <c r="Q478" s="62">
        <f>(Ground_Plate[[#This Row],[L]]-E336)/2</f>
        <v>10</v>
      </c>
      <c r="R478" s="62">
        <f>(Ground_Plate[[#This Row],[W]]-(J280+J280+J308))/2</f>
        <v>18</v>
      </c>
      <c r="T478" s="11">
        <v>800</v>
      </c>
      <c r="U478">
        <f t="shared" si="69"/>
        <v>200</v>
      </c>
      <c r="V478">
        <f t="shared" si="70"/>
        <v>150</v>
      </c>
      <c r="W478">
        <f t="shared" si="71"/>
        <v>12</v>
      </c>
      <c r="X478">
        <f t="shared" si="74"/>
        <v>1</v>
      </c>
      <c r="Z478" s="11">
        <v>800</v>
      </c>
      <c r="AA478" s="13">
        <f>IF($D$1="FP",0,Plate[[#This Row],[L]])</f>
        <v>200</v>
      </c>
      <c r="AB478" s="22">
        <f>IF($D$1="FP",0,Plate[[#This Row],[W]])</f>
        <v>150</v>
      </c>
      <c r="AC478" s="22">
        <f>IF($D$1="FP",0,Plate[[#This Row],[THK_PLT]])</f>
        <v>12</v>
      </c>
      <c r="AD478" s="13" t="b">
        <f t="shared" si="72"/>
        <v>1</v>
      </c>
      <c r="AE478" s="13">
        <f>IF(Gew_Platte[[#This Row],[Hat_Gleitplatte]],(Gew_Platte[[#This Row],[L]]*Gew_Platte[[#This Row],[W]]*Gew_Platte[[#This Row],[THK]]*$K$1/1000)*2,0)</f>
        <v>5.6159999999999997</v>
      </c>
      <c r="AF478" s="13" t="b">
        <f t="shared" si="73"/>
        <v>0</v>
      </c>
      <c r="AG478" s="13">
        <f>IF(Gew_Platte[[#This Row],[Hat_Futterblech]],(Gew_Platte[[#This Row],[L]]*Gew_Platte[[#This Row],[W]]*Gew_Platte[[#This Row],[THK]]*$K$1/1000),0)</f>
        <v>0</v>
      </c>
      <c r="AH478" s="13"/>
    </row>
    <row r="479" spans="2:34">
      <c r="B479" s="13">
        <v>900</v>
      </c>
      <c r="C479">
        <v>15</v>
      </c>
      <c r="D479">
        <v>14</v>
      </c>
      <c r="E479">
        <v>30</v>
      </c>
      <c r="G479">
        <v>12</v>
      </c>
      <c r="H479">
        <v>24</v>
      </c>
      <c r="I479">
        <v>20</v>
      </c>
      <c r="J479">
        <v>100</v>
      </c>
      <c r="K479" s="61">
        <f>IF($F$1="leicht",0,IF($F$1="schwer",Stiffener[[#This Row],[THK_Schwer]]))</f>
        <v>15</v>
      </c>
      <c r="M479" s="13">
        <v>900</v>
      </c>
      <c r="N479">
        <v>520</v>
      </c>
      <c r="O479">
        <v>725</v>
      </c>
      <c r="P479" s="13">
        <v>20</v>
      </c>
      <c r="Q479" s="61">
        <f>(Ground_Plate[[#This Row],[L]]-E337)/2</f>
        <v>10</v>
      </c>
      <c r="R479" s="61">
        <f>(Ground_Plate[[#This Row],[W]]-(J281+J281+J309))/2</f>
        <v>16.5</v>
      </c>
      <c r="T479" s="13">
        <v>900</v>
      </c>
      <c r="U479">
        <f t="shared" si="69"/>
        <v>200</v>
      </c>
      <c r="V479">
        <f t="shared" si="70"/>
        <v>150</v>
      </c>
      <c r="W479">
        <f t="shared" si="71"/>
        <v>12</v>
      </c>
      <c r="X479">
        <f t="shared" si="74"/>
        <v>1</v>
      </c>
      <c r="Z479" s="13">
        <v>900</v>
      </c>
      <c r="AA479" s="13">
        <f>IF($D$1="FP",0,Plate[[#This Row],[L]])</f>
        <v>200</v>
      </c>
      <c r="AB479" s="22">
        <f>IF($D$1="FP",0,Plate[[#This Row],[W]])</f>
        <v>150</v>
      </c>
      <c r="AC479" s="22">
        <f>IF($D$1="FP",0,Plate[[#This Row],[THK_PLT]])</f>
        <v>12</v>
      </c>
      <c r="AD479" s="13" t="b">
        <f t="shared" si="72"/>
        <v>1</v>
      </c>
      <c r="AE479" s="13">
        <f>IF(Gew_Platte[[#This Row],[Hat_Gleitplatte]],(Gew_Platte[[#This Row],[L]]*Gew_Platte[[#This Row],[W]]*Gew_Platte[[#This Row],[THK]]*$K$1/1000)*2,0)</f>
        <v>5.6159999999999997</v>
      </c>
      <c r="AF479" s="13" t="b">
        <f t="shared" si="73"/>
        <v>0</v>
      </c>
      <c r="AG479" s="13">
        <f>IF(Gew_Platte[[#This Row],[Hat_Futterblech]],(Gew_Platte[[#This Row],[L]]*Gew_Platte[[#This Row],[W]]*Gew_Platte[[#This Row],[THK]]*$K$1/1000),0)</f>
        <v>0</v>
      </c>
      <c r="AH479" s="13"/>
    </row>
    <row r="480" spans="2:34">
      <c r="B480" s="11">
        <v>1000</v>
      </c>
      <c r="C480">
        <v>15</v>
      </c>
      <c r="D480">
        <v>14</v>
      </c>
      <c r="E480">
        <v>30</v>
      </c>
      <c r="G480">
        <v>12</v>
      </c>
      <c r="H480">
        <v>24</v>
      </c>
      <c r="I480">
        <v>20</v>
      </c>
      <c r="J480">
        <v>100</v>
      </c>
      <c r="K480" s="62">
        <f>IF($F$1="leicht",0,IF($F$1="schwer",Stiffener[[#This Row],[THK_Schwer]]))</f>
        <v>15</v>
      </c>
      <c r="M480" s="11">
        <v>1000</v>
      </c>
      <c r="N480">
        <v>520</v>
      </c>
      <c r="O480">
        <v>755</v>
      </c>
      <c r="P480" s="13">
        <v>20</v>
      </c>
      <c r="Q480" s="62">
        <f>(Ground_Plate[[#This Row],[L]]-E338)/2</f>
        <v>10</v>
      </c>
      <c r="R480" s="62">
        <f>(Ground_Plate[[#This Row],[W]]-(J282+J282+J310))/2</f>
        <v>16.5</v>
      </c>
      <c r="T480" s="11">
        <v>1000</v>
      </c>
      <c r="U480">
        <f t="shared" si="69"/>
        <v>200</v>
      </c>
      <c r="V480">
        <f t="shared" si="70"/>
        <v>150</v>
      </c>
      <c r="W480">
        <f t="shared" si="71"/>
        <v>12</v>
      </c>
      <c r="X480">
        <f t="shared" si="74"/>
        <v>1</v>
      </c>
      <c r="Z480" s="11">
        <v>1000</v>
      </c>
      <c r="AA480" s="13">
        <f>IF($D$1="FP",0,Plate[[#This Row],[L]])</f>
        <v>200</v>
      </c>
      <c r="AB480" s="22">
        <f>IF($D$1="FP",0,Plate[[#This Row],[W]])</f>
        <v>150</v>
      </c>
      <c r="AC480" s="22">
        <f>IF($D$1="FP",0,Plate[[#This Row],[THK_PLT]])</f>
        <v>12</v>
      </c>
      <c r="AD480" s="13" t="b">
        <f t="shared" si="72"/>
        <v>1</v>
      </c>
      <c r="AE480" s="13">
        <f>IF(Gew_Platte[[#This Row],[Hat_Gleitplatte]],(Gew_Platte[[#This Row],[L]]*Gew_Platte[[#This Row],[W]]*Gew_Platte[[#This Row],[THK]]*$K$1/1000)*2,0)</f>
        <v>5.6159999999999997</v>
      </c>
      <c r="AF480" s="13" t="b">
        <f t="shared" si="73"/>
        <v>0</v>
      </c>
      <c r="AG480" s="13">
        <f>IF(Gew_Platte[[#This Row],[Hat_Futterblech]],(Gew_Platte[[#This Row],[L]]*Gew_Platte[[#This Row],[W]]*Gew_Platte[[#This Row],[THK]]*$K$1/1000),0)</f>
        <v>0</v>
      </c>
      <c r="AH480" s="13"/>
    </row>
    <row r="481" spans="2:34">
      <c r="B481" s="13">
        <v>1200</v>
      </c>
      <c r="C481">
        <v>15</v>
      </c>
      <c r="D481">
        <v>14</v>
      </c>
      <c r="E481">
        <v>30</v>
      </c>
      <c r="G481">
        <v>12</v>
      </c>
      <c r="H481">
        <v>24</v>
      </c>
      <c r="I481">
        <v>20</v>
      </c>
      <c r="J481">
        <v>100</v>
      </c>
      <c r="K481" s="54">
        <f>IF($F$1="leicht",0,IF($F$1="schwer",Stiffener[[#This Row],[THK_Schwer]]))</f>
        <v>15</v>
      </c>
      <c r="M481" s="21">
        <v>1200</v>
      </c>
      <c r="N481">
        <v>520</v>
      </c>
      <c r="O481">
        <v>810</v>
      </c>
      <c r="P481" s="13">
        <v>20</v>
      </c>
      <c r="Q481" s="61">
        <f>(Ground_Plate[[#This Row],[L]]-E339)/2</f>
        <v>10</v>
      </c>
      <c r="R481" s="61">
        <f>(Ground_Plate[[#This Row],[W]]-(J283+J283+J311))/2</f>
        <v>18</v>
      </c>
      <c r="T481" s="13">
        <v>1200</v>
      </c>
      <c r="U481">
        <f t="shared" si="69"/>
        <v>200</v>
      </c>
      <c r="V481">
        <f t="shared" si="70"/>
        <v>150</v>
      </c>
      <c r="W481">
        <f t="shared" si="71"/>
        <v>12</v>
      </c>
      <c r="X481">
        <f t="shared" si="74"/>
        <v>1</v>
      </c>
      <c r="Z481" s="21">
        <v>1200</v>
      </c>
      <c r="AA481" s="21">
        <f>IF($D$1="FP",0,Plate[[#This Row],[L]])</f>
        <v>200</v>
      </c>
      <c r="AB481" s="22">
        <f>IF($D$1="FP",0,Plate[[#This Row],[W]])</f>
        <v>150</v>
      </c>
      <c r="AC481" s="22">
        <f>IF($D$1="FP",0,Plate[[#This Row],[THK_PLT]])</f>
        <v>12</v>
      </c>
      <c r="AD481" s="21" t="b">
        <f t="shared" si="72"/>
        <v>1</v>
      </c>
      <c r="AE481" s="21">
        <f>IF(Gew_Platte[[#This Row],[Hat_Gleitplatte]],(Gew_Platte[[#This Row],[L]]*Gew_Platte[[#This Row],[W]]*Gew_Platte[[#This Row],[THK]]*$K$1/1000)*2,0)</f>
        <v>5.6159999999999997</v>
      </c>
      <c r="AF481" s="21" t="b">
        <f t="shared" si="73"/>
        <v>0</v>
      </c>
      <c r="AG481" s="21">
        <f>IF(Gew_Platte[[#This Row],[Hat_Futterblech]],(Gew_Platte[[#This Row],[L]]*Gew_Platte[[#This Row],[W]]*Gew_Platte[[#This Row],[THK]]*$K$1/1000),0)</f>
        <v>0</v>
      </c>
      <c r="AH481" s="21"/>
    </row>
    <row r="484" spans="2:34">
      <c r="B484" t="s">
        <v>359</v>
      </c>
      <c r="G484" t="s">
        <v>369</v>
      </c>
      <c r="I484" t="s">
        <v>376</v>
      </c>
    </row>
    <row r="485" spans="2:34">
      <c r="B485" t="s">
        <v>333</v>
      </c>
      <c r="C485" t="s">
        <v>365</v>
      </c>
      <c r="D485" t="s">
        <v>115</v>
      </c>
      <c r="E485" t="s">
        <v>340</v>
      </c>
      <c r="G485" t="s">
        <v>333</v>
      </c>
      <c r="I485" t="s">
        <v>333</v>
      </c>
      <c r="L485" s="17"/>
      <c r="M485" s="17"/>
    </row>
    <row r="486" spans="2:34">
      <c r="B486" t="s">
        <v>24</v>
      </c>
      <c r="C486" t="s">
        <v>361</v>
      </c>
      <c r="D486" t="s">
        <v>115</v>
      </c>
      <c r="E486" t="s">
        <v>121</v>
      </c>
      <c r="G486" t="s">
        <v>371</v>
      </c>
      <c r="I486" t="s">
        <v>377</v>
      </c>
      <c r="L486" s="11"/>
      <c r="M486" s="11"/>
    </row>
    <row r="487" spans="2:34">
      <c r="B487" t="s">
        <v>21</v>
      </c>
      <c r="C487" t="s">
        <v>362</v>
      </c>
      <c r="D487" t="s">
        <v>114</v>
      </c>
      <c r="E487" t="s">
        <v>120</v>
      </c>
      <c r="G487" t="s">
        <v>370</v>
      </c>
      <c r="I487" t="s">
        <v>378</v>
      </c>
      <c r="L487" s="13"/>
      <c r="M487" s="13"/>
    </row>
    <row r="488" spans="2:34">
      <c r="B488" t="s">
        <v>360</v>
      </c>
      <c r="C488" t="s">
        <v>363</v>
      </c>
      <c r="D488" t="s">
        <v>96</v>
      </c>
      <c r="E488" t="s">
        <v>118</v>
      </c>
      <c r="L488" s="11"/>
      <c r="M488" s="11"/>
    </row>
    <row r="489" spans="2:34">
      <c r="B489" t="s">
        <v>23</v>
      </c>
      <c r="C489" t="s">
        <v>364</v>
      </c>
      <c r="D489" t="s">
        <v>34</v>
      </c>
      <c r="E489" t="s">
        <v>119</v>
      </c>
      <c r="G489" s="75" t="str">
        <f>IF($D$1="PFP",D486,IF($D$1="FP",D487,IF($D$1="GB",D488,IF($D$1="GS",Function[[#This Row],[T]]))))</f>
        <v>C</v>
      </c>
      <c r="H489" s="75" t="str">
        <f>IF($D$1="PFP",E486,IF($D$1="FP",E487,IF($D$1="GB",E488,IF($D$1="GS",Function[[#This Row],[LL]]))))</f>
        <v>M</v>
      </c>
      <c r="L489" s="21"/>
      <c r="M489" s="21"/>
    </row>
    <row r="492" spans="2:34">
      <c r="B492" t="s">
        <v>412</v>
      </c>
      <c r="L492" t="s">
        <v>417</v>
      </c>
      <c r="R492" t="s">
        <v>418</v>
      </c>
      <c r="X492" t="s">
        <v>419</v>
      </c>
      <c r="AD492" t="s">
        <v>420</v>
      </c>
    </row>
    <row r="493" spans="2:34">
      <c r="B493" s="15" t="s">
        <v>89</v>
      </c>
      <c r="C493" t="s">
        <v>414</v>
      </c>
      <c r="D493" s="59" t="s">
        <v>415</v>
      </c>
      <c r="E493" s="59" t="s">
        <v>256</v>
      </c>
      <c r="F493" s="59" t="s">
        <v>413</v>
      </c>
      <c r="G493" s="59" t="s">
        <v>111</v>
      </c>
      <c r="H493" s="59" t="s">
        <v>416</v>
      </c>
      <c r="I493" t="s">
        <v>271</v>
      </c>
      <c r="J493" t="s">
        <v>392</v>
      </c>
      <c r="L493" s="15" t="s">
        <v>89</v>
      </c>
      <c r="M493" t="s">
        <v>21</v>
      </c>
      <c r="N493" t="s">
        <v>24</v>
      </c>
      <c r="O493" t="s">
        <v>360</v>
      </c>
      <c r="P493" t="s">
        <v>23</v>
      </c>
      <c r="R493" s="15" t="s">
        <v>89</v>
      </c>
      <c r="S493" t="s">
        <v>21</v>
      </c>
      <c r="T493" t="s">
        <v>24</v>
      </c>
      <c r="U493" t="s">
        <v>360</v>
      </c>
      <c r="V493" t="s">
        <v>23</v>
      </c>
      <c r="X493" s="15" t="s">
        <v>89</v>
      </c>
      <c r="Y493" t="s">
        <v>21</v>
      </c>
      <c r="Z493" t="s">
        <v>24</v>
      </c>
      <c r="AA493" t="s">
        <v>360</v>
      </c>
      <c r="AB493" t="s">
        <v>23</v>
      </c>
      <c r="AD493" s="15" t="s">
        <v>89</v>
      </c>
      <c r="AE493" t="s">
        <v>21</v>
      </c>
      <c r="AF493" t="s">
        <v>24</v>
      </c>
      <c r="AG493" t="s">
        <v>360</v>
      </c>
      <c r="AH493" t="s">
        <v>23</v>
      </c>
    </row>
    <row r="494" spans="2:34">
      <c r="B494" s="11">
        <v>15</v>
      </c>
      <c r="C494" t="s">
        <v>104</v>
      </c>
      <c r="D494" s="60" t="str">
        <f t="shared" ref="D494:D517" si="75">IF(IF($D$1="FP",L260,F260)="L","LL",IF($D$1="FP",L260,F260))</f>
        <v>T</v>
      </c>
      <c r="E494" s="60" t="b">
        <f>IF($D$1="PFP",DK_Has_Guide[[#This Row],[PFP]],IF($D$1="FP",DK_Has_Guide[[#This Row],[FP]],IF($D$1="GB",DK_Has_Guide[[#This Row],[GB]],IF($D$1="GS",DK_Has_Guide[[#This Row],[GS]]))))</f>
        <v>0</v>
      </c>
      <c r="F494" s="60" t="str">
        <f>IF($D$1="PFP",DK_Bottom_Implement[[#This Row],[PFP]],IF($D$1="FP",DK_Bottom_Implement[[#This Row],[FP]],IF($D$1="GB",DK_Bottom_Implement[[#This Row],[GB]],IF($D$1="GS",DK_Bottom_Implement[[#This Row],[GS]]))))</f>
        <v>X</v>
      </c>
      <c r="G494" s="60" t="b">
        <f>IF($D$1="PFP",DK_Has_Axial[[#This Row],[PFP]],IF($D$1="FP",DK_Has_Axial[[#This Row],[FP]],IF($D$1="GB",DK_Has_Axial[[#This Row],[GB]],IF($D$1="GS",DK_Has_Axial[[#This Row],[GS]]))))</f>
        <v>0</v>
      </c>
      <c r="H494" s="60" t="b">
        <f>IF($D$1="PFP",DK_Has_Cams[[#This Row],[PFP]],IF($D$1="FP",DK_Has_Cams[[#This Row],[FP]],IF($D$1="GB",DK_Has_Cams[[#This Row],[GB]],IF($D$1="GS",DK_Has_Cams[[#This Row],[GS]]))))</f>
        <v>0</v>
      </c>
      <c r="I494" t="b">
        <f>IF(NOT(DK_Function[[#This Row],[Construction]]="T"),TRUE,FALSE)</f>
        <v>0</v>
      </c>
      <c r="J494" s="74" t="str">
        <f>IF(DK_Function[[#This Row],[Construction]]="T",$G$489,IF(DK_Function[[#This Row],[Construction]]="LL",$H$489,"other"))</f>
        <v>C</v>
      </c>
      <c r="L494" s="11">
        <v>15</v>
      </c>
      <c r="M494" t="b">
        <v>0</v>
      </c>
      <c r="N494" t="b">
        <v>1</v>
      </c>
      <c r="O494" t="b">
        <v>1</v>
      </c>
      <c r="P494" t="b">
        <v>0</v>
      </c>
      <c r="R494" s="11">
        <v>15</v>
      </c>
      <c r="S494" t="s">
        <v>40</v>
      </c>
      <c r="T494" t="s">
        <v>40</v>
      </c>
      <c r="U494" t="s">
        <v>40</v>
      </c>
      <c r="V494" t="s">
        <v>40</v>
      </c>
      <c r="X494" s="11">
        <v>15</v>
      </c>
      <c r="Y494" t="b">
        <v>0</v>
      </c>
      <c r="Z494" t="b">
        <v>1</v>
      </c>
      <c r="AA494" t="b">
        <v>0</v>
      </c>
      <c r="AB494" t="b">
        <v>0</v>
      </c>
      <c r="AD494" s="11">
        <v>15</v>
      </c>
      <c r="AE494" t="b">
        <v>1</v>
      </c>
      <c r="AF494" t="b">
        <v>1</v>
      </c>
      <c r="AG494" t="b">
        <v>0</v>
      </c>
      <c r="AH494" t="b">
        <v>0</v>
      </c>
    </row>
    <row r="495" spans="2:34">
      <c r="B495" s="13">
        <v>20</v>
      </c>
      <c r="C495" t="s">
        <v>104</v>
      </c>
      <c r="D495" s="61" t="str">
        <f t="shared" si="75"/>
        <v>T</v>
      </c>
      <c r="E495" s="61" t="b">
        <f>IF($D$1="PFP",DK_Has_Guide[[#This Row],[PFP]],IF($D$1="FP",DK_Has_Guide[[#This Row],[FP]],IF($D$1="GB",DK_Has_Guide[[#This Row],[GB]],IF($D$1="GS",DK_Has_Guide[[#This Row],[GS]]))))</f>
        <v>0</v>
      </c>
      <c r="F495" s="61" t="str">
        <f>IF($D$1="PFP",DK_Bottom_Implement[[#This Row],[PFP]],IF($D$1="FP",DK_Bottom_Implement[[#This Row],[FP]],IF($D$1="GB",DK_Bottom_Implement[[#This Row],[GB]],IF($D$1="GS",DK_Bottom_Implement[[#This Row],[GS]]))))</f>
        <v>X</v>
      </c>
      <c r="G495" s="61" t="b">
        <f>IF($D$1="PFP",DK_Has_Axial[[#This Row],[PFP]],IF($D$1="FP",DK_Has_Axial[[#This Row],[FP]],IF($D$1="GB",DK_Has_Axial[[#This Row],[GB]],IF($D$1="GS",DK_Has_Axial[[#This Row],[GS]]))))</f>
        <v>0</v>
      </c>
      <c r="H495" s="61" t="b">
        <f>IF($D$1="PFP",DK_Has_Cams[[#This Row],[PFP]],IF($D$1="FP",DK_Has_Cams[[#This Row],[FP]],IF($D$1="GB",DK_Has_Cams[[#This Row],[GB]],IF($D$1="GS",DK_Has_Cams[[#This Row],[GS]]))))</f>
        <v>0</v>
      </c>
      <c r="I495" t="b">
        <f>IF(NOT(DK_Function[[#This Row],[Construction]]="T"),TRUE,FALSE)</f>
        <v>0</v>
      </c>
      <c r="J495" s="74" t="str">
        <f>IF(DK_Function[[#This Row],[Construction]]="T",$G$489,IF(DK_Function[[#This Row],[Construction]]="LL",$H$489,"other"))</f>
        <v>C</v>
      </c>
      <c r="L495" s="13">
        <v>20</v>
      </c>
      <c r="M495" t="b">
        <v>0</v>
      </c>
      <c r="N495" t="b">
        <v>1</v>
      </c>
      <c r="O495" t="b">
        <v>1</v>
      </c>
      <c r="P495" t="b">
        <v>0</v>
      </c>
      <c r="R495" s="13">
        <v>20</v>
      </c>
      <c r="S495" t="s">
        <v>40</v>
      </c>
      <c r="T495" t="s">
        <v>40</v>
      </c>
      <c r="U495" t="s">
        <v>40</v>
      </c>
      <c r="V495" t="s">
        <v>40</v>
      </c>
      <c r="X495" s="13">
        <v>20</v>
      </c>
      <c r="Y495" t="b">
        <v>0</v>
      </c>
      <c r="Z495" t="b">
        <v>1</v>
      </c>
      <c r="AA495" t="b">
        <v>0</v>
      </c>
      <c r="AB495" t="b">
        <v>0</v>
      </c>
      <c r="AD495" s="13">
        <v>20</v>
      </c>
      <c r="AE495" t="b">
        <v>1</v>
      </c>
      <c r="AF495" t="b">
        <v>1</v>
      </c>
      <c r="AG495" t="b">
        <v>0</v>
      </c>
      <c r="AH495" t="b">
        <v>0</v>
      </c>
    </row>
    <row r="496" spans="2:34">
      <c r="B496" s="11">
        <v>25</v>
      </c>
      <c r="C496" t="s">
        <v>104</v>
      </c>
      <c r="D496" s="62" t="str">
        <f t="shared" si="75"/>
        <v>T</v>
      </c>
      <c r="E496" s="62" t="b">
        <f>IF($D$1="PFP",DK_Has_Guide[[#This Row],[PFP]],IF($D$1="FP",DK_Has_Guide[[#This Row],[FP]],IF($D$1="GB",DK_Has_Guide[[#This Row],[GB]],IF($D$1="GS",DK_Has_Guide[[#This Row],[GS]]))))</f>
        <v>0</v>
      </c>
      <c r="F496" s="62" t="str">
        <f>IF($D$1="PFP",DK_Bottom_Implement[[#This Row],[PFP]],IF($D$1="FP",DK_Bottom_Implement[[#This Row],[FP]],IF($D$1="GB",DK_Bottom_Implement[[#This Row],[GB]],IF($D$1="GS",DK_Bottom_Implement[[#This Row],[GS]]))))</f>
        <v>X</v>
      </c>
      <c r="G496" s="62" t="b">
        <f>IF($D$1="PFP",DK_Has_Axial[[#This Row],[PFP]],IF($D$1="FP",DK_Has_Axial[[#This Row],[FP]],IF($D$1="GB",DK_Has_Axial[[#This Row],[GB]],IF($D$1="GS",DK_Has_Axial[[#This Row],[GS]]))))</f>
        <v>0</v>
      </c>
      <c r="H496" s="62" t="b">
        <f>IF($D$1="PFP",DK_Has_Cams[[#This Row],[PFP]],IF($D$1="FP",DK_Has_Cams[[#This Row],[FP]],IF($D$1="GB",DK_Has_Cams[[#This Row],[GB]],IF($D$1="GS",DK_Has_Cams[[#This Row],[GS]]))))</f>
        <v>0</v>
      </c>
      <c r="I496" t="b">
        <f>IF(NOT(DK_Function[[#This Row],[Construction]]="T"),TRUE,FALSE)</f>
        <v>0</v>
      </c>
      <c r="J496" s="74" t="str">
        <f>IF(DK_Function[[#This Row],[Construction]]="T",$G$489,IF(DK_Function[[#This Row],[Construction]]="LL",$H$489,"other"))</f>
        <v>C</v>
      </c>
      <c r="L496" s="11">
        <v>25</v>
      </c>
      <c r="M496" t="b">
        <v>0</v>
      </c>
      <c r="N496" t="b">
        <v>1</v>
      </c>
      <c r="O496" t="b">
        <v>1</v>
      </c>
      <c r="P496" t="b">
        <v>0</v>
      </c>
      <c r="R496" s="11">
        <v>25</v>
      </c>
      <c r="S496" t="s">
        <v>40</v>
      </c>
      <c r="T496" t="s">
        <v>40</v>
      </c>
      <c r="U496" t="s">
        <v>40</v>
      </c>
      <c r="V496" t="s">
        <v>40</v>
      </c>
      <c r="X496" s="11">
        <v>25</v>
      </c>
      <c r="Y496" t="b">
        <v>0</v>
      </c>
      <c r="Z496" t="b">
        <v>1</v>
      </c>
      <c r="AA496" t="b">
        <v>0</v>
      </c>
      <c r="AB496" t="b">
        <v>0</v>
      </c>
      <c r="AD496" s="11">
        <v>25</v>
      </c>
      <c r="AE496" t="b">
        <v>1</v>
      </c>
      <c r="AF496" t="b">
        <v>1</v>
      </c>
      <c r="AG496" t="b">
        <v>0</v>
      </c>
      <c r="AH496" t="b">
        <v>0</v>
      </c>
    </row>
    <row r="497" spans="2:34">
      <c r="B497" s="13">
        <v>32</v>
      </c>
      <c r="C497" t="s">
        <v>104</v>
      </c>
      <c r="D497" s="61" t="str">
        <f t="shared" si="75"/>
        <v>T</v>
      </c>
      <c r="E497" s="61" t="b">
        <f>IF($D$1="PFP",DK_Has_Guide[[#This Row],[PFP]],IF($D$1="FP",DK_Has_Guide[[#This Row],[FP]],IF($D$1="GB",DK_Has_Guide[[#This Row],[GB]],IF($D$1="GS",DK_Has_Guide[[#This Row],[GS]]))))</f>
        <v>0</v>
      </c>
      <c r="F497" s="61" t="str">
        <f>IF($D$1="PFP",DK_Bottom_Implement[[#This Row],[PFP]],IF($D$1="FP",DK_Bottom_Implement[[#This Row],[FP]],IF($D$1="GB",DK_Bottom_Implement[[#This Row],[GB]],IF($D$1="GS",DK_Bottom_Implement[[#This Row],[GS]]))))</f>
        <v>X</v>
      </c>
      <c r="G497" s="61" t="b">
        <f>IF($D$1="PFP",DK_Has_Axial[[#This Row],[PFP]],IF($D$1="FP",DK_Has_Axial[[#This Row],[FP]],IF($D$1="GB",DK_Has_Axial[[#This Row],[GB]],IF($D$1="GS",DK_Has_Axial[[#This Row],[GS]]))))</f>
        <v>0</v>
      </c>
      <c r="H497" s="61" t="b">
        <f>IF($D$1="PFP",DK_Has_Cams[[#This Row],[PFP]],IF($D$1="FP",DK_Has_Cams[[#This Row],[FP]],IF($D$1="GB",DK_Has_Cams[[#This Row],[GB]],IF($D$1="GS",DK_Has_Cams[[#This Row],[GS]]))))</f>
        <v>0</v>
      </c>
      <c r="I497" t="b">
        <f>IF(NOT(DK_Function[[#This Row],[Construction]]="T"),TRUE,FALSE)</f>
        <v>0</v>
      </c>
      <c r="J497" s="74" t="str">
        <f>IF(DK_Function[[#This Row],[Construction]]="T",$G$489,IF(DK_Function[[#This Row],[Construction]]="LL",$H$489,"other"))</f>
        <v>C</v>
      </c>
      <c r="L497" s="13">
        <v>32</v>
      </c>
      <c r="M497" t="b">
        <v>0</v>
      </c>
      <c r="N497" t="b">
        <v>1</v>
      </c>
      <c r="O497" t="b">
        <v>1</v>
      </c>
      <c r="P497" t="b">
        <v>0</v>
      </c>
      <c r="R497" s="13">
        <v>32</v>
      </c>
      <c r="S497" t="s">
        <v>40</v>
      </c>
      <c r="T497" t="s">
        <v>40</v>
      </c>
      <c r="U497" t="s">
        <v>40</v>
      </c>
      <c r="V497" t="s">
        <v>40</v>
      </c>
      <c r="X497" s="13">
        <v>32</v>
      </c>
      <c r="Y497" t="b">
        <v>0</v>
      </c>
      <c r="Z497" t="b">
        <v>1</v>
      </c>
      <c r="AA497" t="b">
        <v>0</v>
      </c>
      <c r="AB497" t="b">
        <v>0</v>
      </c>
      <c r="AD497" s="13">
        <v>32</v>
      </c>
      <c r="AE497" t="b">
        <v>1</v>
      </c>
      <c r="AF497" t="b">
        <v>1</v>
      </c>
      <c r="AG497" t="b">
        <v>0</v>
      </c>
      <c r="AH497" t="b">
        <v>0</v>
      </c>
    </row>
    <row r="498" spans="2:34">
      <c r="B498" s="11">
        <v>40</v>
      </c>
      <c r="C498" t="s">
        <v>104</v>
      </c>
      <c r="D498" s="62" t="str">
        <f t="shared" si="75"/>
        <v>T</v>
      </c>
      <c r="E498" s="62" t="b">
        <f>IF($D$1="PFP",DK_Has_Guide[[#This Row],[PFP]],IF($D$1="FP",DK_Has_Guide[[#This Row],[FP]],IF($D$1="GB",DK_Has_Guide[[#This Row],[GB]],IF($D$1="GS",DK_Has_Guide[[#This Row],[GS]]))))</f>
        <v>0</v>
      </c>
      <c r="F498" s="62" t="str">
        <f>IF($D$1="PFP",DK_Bottom_Implement[[#This Row],[PFP]],IF($D$1="FP",DK_Bottom_Implement[[#This Row],[FP]],IF($D$1="GB",DK_Bottom_Implement[[#This Row],[GB]],IF($D$1="GS",DK_Bottom_Implement[[#This Row],[GS]]))))</f>
        <v>X</v>
      </c>
      <c r="G498" s="62" t="b">
        <f>IF($D$1="PFP",DK_Has_Axial[[#This Row],[PFP]],IF($D$1="FP",DK_Has_Axial[[#This Row],[FP]],IF($D$1="GB",DK_Has_Axial[[#This Row],[GB]],IF($D$1="GS",DK_Has_Axial[[#This Row],[GS]]))))</f>
        <v>0</v>
      </c>
      <c r="H498" s="62" t="b">
        <f>IF($D$1="PFP",DK_Has_Cams[[#This Row],[PFP]],IF($D$1="FP",DK_Has_Cams[[#This Row],[FP]],IF($D$1="GB",DK_Has_Cams[[#This Row],[GB]],IF($D$1="GS",DK_Has_Cams[[#This Row],[GS]]))))</f>
        <v>0</v>
      </c>
      <c r="I498" t="b">
        <f>IF(NOT(DK_Function[[#This Row],[Construction]]="T"),TRUE,FALSE)</f>
        <v>0</v>
      </c>
      <c r="J498" s="74" t="str">
        <f>IF(DK_Function[[#This Row],[Construction]]="T",$G$489,IF(DK_Function[[#This Row],[Construction]]="LL",$H$489,"other"))</f>
        <v>C</v>
      </c>
      <c r="L498" s="11">
        <v>40</v>
      </c>
      <c r="M498" t="b">
        <v>0</v>
      </c>
      <c r="N498" t="b">
        <v>1</v>
      </c>
      <c r="O498" t="b">
        <v>1</v>
      </c>
      <c r="P498" t="b">
        <v>0</v>
      </c>
      <c r="R498" s="11">
        <v>40</v>
      </c>
      <c r="S498" t="s">
        <v>40</v>
      </c>
      <c r="T498" t="s">
        <v>40</v>
      </c>
      <c r="U498" t="s">
        <v>40</v>
      </c>
      <c r="V498" t="s">
        <v>40</v>
      </c>
      <c r="X498" s="11">
        <v>40</v>
      </c>
      <c r="Y498" t="b">
        <v>0</v>
      </c>
      <c r="Z498" t="b">
        <v>1</v>
      </c>
      <c r="AA498" t="b">
        <v>0</v>
      </c>
      <c r="AB498" t="b">
        <v>0</v>
      </c>
      <c r="AD498" s="11">
        <v>40</v>
      </c>
      <c r="AE498" t="b">
        <v>1</v>
      </c>
      <c r="AF498" t="b">
        <v>1</v>
      </c>
      <c r="AG498" t="b">
        <v>0</v>
      </c>
      <c r="AH498" t="b">
        <v>0</v>
      </c>
    </row>
    <row r="499" spans="2:34">
      <c r="B499" s="13">
        <v>50</v>
      </c>
      <c r="C499" t="s">
        <v>104</v>
      </c>
      <c r="D499" s="61" t="str">
        <f t="shared" si="75"/>
        <v>T</v>
      </c>
      <c r="E499" s="61" t="b">
        <f>IF($D$1="PFP",DK_Has_Guide[[#This Row],[PFP]],IF($D$1="FP",DK_Has_Guide[[#This Row],[FP]],IF($D$1="GB",DK_Has_Guide[[#This Row],[GB]],IF($D$1="GS",DK_Has_Guide[[#This Row],[GS]]))))</f>
        <v>0</v>
      </c>
      <c r="F499" s="61" t="str">
        <f>IF($D$1="PFP",DK_Bottom_Implement[[#This Row],[PFP]],IF($D$1="FP",DK_Bottom_Implement[[#This Row],[FP]],IF($D$1="GB",DK_Bottom_Implement[[#This Row],[GB]],IF($D$1="GS",DK_Bottom_Implement[[#This Row],[GS]]))))</f>
        <v>X</v>
      </c>
      <c r="G499" s="61" t="b">
        <f>IF($D$1="PFP",DK_Has_Axial[[#This Row],[PFP]],IF($D$1="FP",DK_Has_Axial[[#This Row],[FP]],IF($D$1="GB",DK_Has_Axial[[#This Row],[GB]],IF($D$1="GS",DK_Has_Axial[[#This Row],[GS]]))))</f>
        <v>0</v>
      </c>
      <c r="H499" s="61" t="b">
        <f>IF($D$1="PFP",DK_Has_Cams[[#This Row],[PFP]],IF($D$1="FP",DK_Has_Cams[[#This Row],[FP]],IF($D$1="GB",DK_Has_Cams[[#This Row],[GB]],IF($D$1="GS",DK_Has_Cams[[#This Row],[GS]]))))</f>
        <v>0</v>
      </c>
      <c r="I499" t="b">
        <f>IF(NOT(DK_Function[[#This Row],[Construction]]="T"),TRUE,FALSE)</f>
        <v>0</v>
      </c>
      <c r="J499" s="74" t="str">
        <f>IF(DK_Function[[#This Row],[Construction]]="T",$G$489,IF(DK_Function[[#This Row],[Construction]]="LL",$H$489,"other"))</f>
        <v>C</v>
      </c>
      <c r="L499" s="13">
        <v>50</v>
      </c>
      <c r="M499" t="b">
        <v>0</v>
      </c>
      <c r="N499" t="b">
        <v>1</v>
      </c>
      <c r="O499" t="b">
        <v>1</v>
      </c>
      <c r="P499" t="b">
        <v>0</v>
      </c>
      <c r="R499" s="13">
        <v>50</v>
      </c>
      <c r="S499" t="s">
        <v>40</v>
      </c>
      <c r="T499" t="s">
        <v>40</v>
      </c>
      <c r="U499" t="s">
        <v>40</v>
      </c>
      <c r="V499" t="s">
        <v>40</v>
      </c>
      <c r="X499" s="13">
        <v>50</v>
      </c>
      <c r="Y499" t="b">
        <v>0</v>
      </c>
      <c r="Z499" t="b">
        <v>1</v>
      </c>
      <c r="AA499" t="b">
        <v>0</v>
      </c>
      <c r="AB499" t="b">
        <v>0</v>
      </c>
      <c r="AD499" s="13">
        <v>50</v>
      </c>
      <c r="AE499" t="b">
        <v>1</v>
      </c>
      <c r="AF499" t="b">
        <v>1</v>
      </c>
      <c r="AG499" t="b">
        <v>0</v>
      </c>
      <c r="AH499" t="b">
        <v>0</v>
      </c>
    </row>
    <row r="500" spans="2:34">
      <c r="B500" s="11">
        <v>65</v>
      </c>
      <c r="C500" t="s">
        <v>104</v>
      </c>
      <c r="D500" s="62" t="str">
        <f t="shared" si="75"/>
        <v>T</v>
      </c>
      <c r="E500" s="62" t="b">
        <f>IF($D$1="PFP",DK_Has_Guide[[#This Row],[PFP]],IF($D$1="FP",DK_Has_Guide[[#This Row],[FP]],IF($D$1="GB",DK_Has_Guide[[#This Row],[GB]],IF($D$1="GS",DK_Has_Guide[[#This Row],[GS]]))))</f>
        <v>0</v>
      </c>
      <c r="F500" s="62" t="str">
        <f>IF($D$1="PFP",DK_Bottom_Implement[[#This Row],[PFP]],IF($D$1="FP",DK_Bottom_Implement[[#This Row],[FP]],IF($D$1="GB",DK_Bottom_Implement[[#This Row],[GB]],IF($D$1="GS",DK_Bottom_Implement[[#This Row],[GS]]))))</f>
        <v>X</v>
      </c>
      <c r="G500" s="62" t="b">
        <f>IF($D$1="PFP",DK_Has_Axial[[#This Row],[PFP]],IF($D$1="FP",DK_Has_Axial[[#This Row],[FP]],IF($D$1="GB",DK_Has_Axial[[#This Row],[GB]],IF($D$1="GS",DK_Has_Axial[[#This Row],[GS]]))))</f>
        <v>0</v>
      </c>
      <c r="H500" s="62" t="b">
        <f>IF($D$1="PFP",DK_Has_Cams[[#This Row],[PFP]],IF($D$1="FP",DK_Has_Cams[[#This Row],[FP]],IF($D$1="GB",DK_Has_Cams[[#This Row],[GB]],IF($D$1="GS",DK_Has_Cams[[#This Row],[GS]]))))</f>
        <v>0</v>
      </c>
      <c r="I500" t="b">
        <f>IF(NOT(DK_Function[[#This Row],[Construction]]="T"),TRUE,FALSE)</f>
        <v>0</v>
      </c>
      <c r="J500" s="74" t="str">
        <f>IF(DK_Function[[#This Row],[Construction]]="T",$G$489,IF(DK_Function[[#This Row],[Construction]]="LL",$H$489,"other"))</f>
        <v>C</v>
      </c>
      <c r="L500" s="11">
        <v>65</v>
      </c>
      <c r="M500" t="b">
        <v>0</v>
      </c>
      <c r="N500" t="b">
        <v>1</v>
      </c>
      <c r="O500" t="b">
        <v>1</v>
      </c>
      <c r="P500" t="b">
        <v>0</v>
      </c>
      <c r="R500" s="11">
        <v>65</v>
      </c>
      <c r="S500" t="s">
        <v>40</v>
      </c>
      <c r="T500" t="s">
        <v>40</v>
      </c>
      <c r="U500" t="s">
        <v>40</v>
      </c>
      <c r="V500" t="s">
        <v>40</v>
      </c>
      <c r="X500" s="11">
        <v>65</v>
      </c>
      <c r="Y500" t="b">
        <v>0</v>
      </c>
      <c r="Z500" t="b">
        <v>1</v>
      </c>
      <c r="AA500" t="b">
        <v>0</v>
      </c>
      <c r="AB500" t="b">
        <v>0</v>
      </c>
      <c r="AD500" s="11">
        <v>65</v>
      </c>
      <c r="AE500" t="b">
        <v>1</v>
      </c>
      <c r="AF500" t="b">
        <v>1</v>
      </c>
      <c r="AG500" t="b">
        <v>0</v>
      </c>
      <c r="AH500" t="b">
        <v>0</v>
      </c>
    </row>
    <row r="501" spans="2:34">
      <c r="B501" s="13">
        <v>80</v>
      </c>
      <c r="C501" t="s">
        <v>104</v>
      </c>
      <c r="D501" s="61" t="str">
        <f t="shared" si="75"/>
        <v>T</v>
      </c>
      <c r="E501" s="61" t="b">
        <f>IF($D$1="PFP",DK_Has_Guide[[#This Row],[PFP]],IF($D$1="FP",DK_Has_Guide[[#This Row],[FP]],IF($D$1="GB",DK_Has_Guide[[#This Row],[GB]],IF($D$1="GS",DK_Has_Guide[[#This Row],[GS]]))))</f>
        <v>0</v>
      </c>
      <c r="F501" s="61" t="str">
        <f>IF($D$1="PFP",DK_Bottom_Implement[[#This Row],[PFP]],IF($D$1="FP",DK_Bottom_Implement[[#This Row],[FP]],IF($D$1="GB",DK_Bottom_Implement[[#This Row],[GB]],IF($D$1="GS",DK_Bottom_Implement[[#This Row],[GS]]))))</f>
        <v>X</v>
      </c>
      <c r="G501" s="61" t="b">
        <f>IF($D$1="PFP",DK_Has_Axial[[#This Row],[PFP]],IF($D$1="FP",DK_Has_Axial[[#This Row],[FP]],IF($D$1="GB",DK_Has_Axial[[#This Row],[GB]],IF($D$1="GS",DK_Has_Axial[[#This Row],[GS]]))))</f>
        <v>0</v>
      </c>
      <c r="H501" s="61" t="b">
        <f>IF($D$1="PFP",DK_Has_Cams[[#This Row],[PFP]],IF($D$1="FP",DK_Has_Cams[[#This Row],[FP]],IF($D$1="GB",DK_Has_Cams[[#This Row],[GB]],IF($D$1="GS",DK_Has_Cams[[#This Row],[GS]]))))</f>
        <v>0</v>
      </c>
      <c r="I501" t="b">
        <f>IF(NOT(DK_Function[[#This Row],[Construction]]="T"),TRUE,FALSE)</f>
        <v>0</v>
      </c>
      <c r="J501" s="74" t="str">
        <f>IF(DK_Function[[#This Row],[Construction]]="T",$G$489,IF(DK_Function[[#This Row],[Construction]]="LL",$H$489,"other"))</f>
        <v>C</v>
      </c>
      <c r="L501" s="13">
        <v>80</v>
      </c>
      <c r="M501" t="b">
        <v>0</v>
      </c>
      <c r="N501" t="b">
        <v>1</v>
      </c>
      <c r="O501" t="b">
        <v>1</v>
      </c>
      <c r="P501" t="b">
        <v>0</v>
      </c>
      <c r="R501" s="13">
        <v>80</v>
      </c>
      <c r="S501" t="s">
        <v>40</v>
      </c>
      <c r="T501" t="s">
        <v>40</v>
      </c>
      <c r="U501" t="s">
        <v>40</v>
      </c>
      <c r="V501" t="s">
        <v>40</v>
      </c>
      <c r="X501" s="13">
        <v>80</v>
      </c>
      <c r="Y501" t="b">
        <v>0</v>
      </c>
      <c r="Z501" t="b">
        <v>1</v>
      </c>
      <c r="AA501" t="b">
        <v>0</v>
      </c>
      <c r="AB501" t="b">
        <v>0</v>
      </c>
      <c r="AD501" s="13">
        <v>80</v>
      </c>
      <c r="AE501" t="b">
        <v>1</v>
      </c>
      <c r="AF501" t="b">
        <v>1</v>
      </c>
      <c r="AG501" t="b">
        <v>0</v>
      </c>
      <c r="AH501" t="b">
        <v>0</v>
      </c>
    </row>
    <row r="502" spans="2:34">
      <c r="B502" s="11">
        <v>100</v>
      </c>
      <c r="C502" t="s">
        <v>104</v>
      </c>
      <c r="D502" s="62" t="str">
        <f t="shared" si="75"/>
        <v>T</v>
      </c>
      <c r="E502" s="62" t="b">
        <f>IF($D$1="PFP",DK_Has_Guide[[#This Row],[PFP]],IF($D$1="FP",DK_Has_Guide[[#This Row],[FP]],IF($D$1="GB",DK_Has_Guide[[#This Row],[GB]],IF($D$1="GS",DK_Has_Guide[[#This Row],[GS]]))))</f>
        <v>0</v>
      </c>
      <c r="F502" s="62" t="str">
        <f>IF($D$1="PFP",DK_Bottom_Implement[[#This Row],[PFP]],IF($D$1="FP",DK_Bottom_Implement[[#This Row],[FP]],IF($D$1="GB",DK_Bottom_Implement[[#This Row],[GB]],IF($D$1="GS",DK_Bottom_Implement[[#This Row],[GS]]))))</f>
        <v>X</v>
      </c>
      <c r="G502" s="62" t="b">
        <f>IF($D$1="PFP",DK_Has_Axial[[#This Row],[PFP]],IF($D$1="FP",DK_Has_Axial[[#This Row],[FP]],IF($D$1="GB",DK_Has_Axial[[#This Row],[GB]],IF($D$1="GS",DK_Has_Axial[[#This Row],[GS]]))))</f>
        <v>0</v>
      </c>
      <c r="H502" s="62" t="b">
        <f>IF($D$1="PFP",DK_Has_Cams[[#This Row],[PFP]],IF($D$1="FP",DK_Has_Cams[[#This Row],[FP]],IF($D$1="GB",DK_Has_Cams[[#This Row],[GB]],IF($D$1="GS",DK_Has_Cams[[#This Row],[GS]]))))</f>
        <v>0</v>
      </c>
      <c r="I502" t="b">
        <f>IF(NOT(DK_Function[[#This Row],[Construction]]="T"),TRUE,FALSE)</f>
        <v>0</v>
      </c>
      <c r="J502" s="74" t="str">
        <f>IF(DK_Function[[#This Row],[Construction]]="T",$G$489,IF(DK_Function[[#This Row],[Construction]]="LL",$H$489,"other"))</f>
        <v>C</v>
      </c>
      <c r="L502" s="11">
        <v>100</v>
      </c>
      <c r="M502" t="b">
        <v>0</v>
      </c>
      <c r="N502" t="b">
        <v>1</v>
      </c>
      <c r="O502" t="b">
        <v>1</v>
      </c>
      <c r="P502" t="b">
        <v>0</v>
      </c>
      <c r="R502" s="11">
        <v>100</v>
      </c>
      <c r="S502" t="s">
        <v>40</v>
      </c>
      <c r="T502" t="s">
        <v>40</v>
      </c>
      <c r="U502" t="s">
        <v>40</v>
      </c>
      <c r="V502" t="s">
        <v>40</v>
      </c>
      <c r="X502" s="11">
        <v>100</v>
      </c>
      <c r="Y502" t="b">
        <v>0</v>
      </c>
      <c r="Z502" t="b">
        <v>1</v>
      </c>
      <c r="AA502" t="b">
        <v>0</v>
      </c>
      <c r="AB502" t="b">
        <v>0</v>
      </c>
      <c r="AD502" s="11">
        <v>100</v>
      </c>
      <c r="AE502" t="b">
        <v>1</v>
      </c>
      <c r="AF502" t="b">
        <v>1</v>
      </c>
      <c r="AG502" t="b">
        <v>0</v>
      </c>
      <c r="AH502" t="b">
        <v>0</v>
      </c>
    </row>
    <row r="503" spans="2:34">
      <c r="B503" s="13">
        <v>125</v>
      </c>
      <c r="C503" t="s">
        <v>114</v>
      </c>
      <c r="D503" s="61" t="str">
        <f t="shared" si="75"/>
        <v>LL</v>
      </c>
      <c r="E503" s="61" t="b">
        <f>IF($D$1="PFP",DK_Has_Guide[[#This Row],[PFP]],IF($D$1="FP",DK_Has_Guide[[#This Row],[FP]],IF($D$1="GB",DK_Has_Guide[[#This Row],[GB]],IF($D$1="GS",DK_Has_Guide[[#This Row],[GS]]))))</f>
        <v>0</v>
      </c>
      <c r="F503" s="61" t="str">
        <f>IF($D$1="PFP",DK_Bottom_Implement[[#This Row],[PFP]],IF($D$1="FP",DK_Bottom_Implement[[#This Row],[FP]],IF($D$1="GB",DK_Bottom_Implement[[#This Row],[GB]],IF($D$1="GS",DK_Bottom_Implement[[#This Row],[GS]]))))</f>
        <v>X</v>
      </c>
      <c r="G503" s="61" t="b">
        <f>IF($D$1="PFP",DK_Has_Axial[[#This Row],[PFP]],IF($D$1="FP",DK_Has_Axial[[#This Row],[FP]],IF($D$1="GB",DK_Has_Axial[[#This Row],[GB]],IF($D$1="GS",DK_Has_Axial[[#This Row],[GS]]))))</f>
        <v>0</v>
      </c>
      <c r="H503" s="61" t="b">
        <f>IF($D$1="PFP",DK_Has_Cams[[#This Row],[PFP]],IF($D$1="FP",DK_Has_Cams[[#This Row],[FP]],IF($D$1="GB",DK_Has_Cams[[#This Row],[GB]],IF($D$1="GS",DK_Has_Cams[[#This Row],[GS]]))))</f>
        <v>0</v>
      </c>
      <c r="I503" t="b">
        <f>IF(NOT(DK_Function[[#This Row],[Construction]]="T"),TRUE,FALSE)</f>
        <v>1</v>
      </c>
      <c r="J503" s="74" t="str">
        <f>IF(DK_Function[[#This Row],[Construction]]="T",$G$489,IF(DK_Function[[#This Row],[Construction]]="LL",$H$489,"other"))</f>
        <v>M</v>
      </c>
      <c r="L503" s="13">
        <v>125</v>
      </c>
      <c r="M503" t="b">
        <v>0</v>
      </c>
      <c r="N503" t="b">
        <v>1</v>
      </c>
      <c r="O503" t="b">
        <v>1</v>
      </c>
      <c r="P503" t="b">
        <v>0</v>
      </c>
      <c r="R503" s="13">
        <v>125</v>
      </c>
      <c r="S503" t="s">
        <v>343</v>
      </c>
      <c r="T503" t="s">
        <v>40</v>
      </c>
      <c r="U503" t="s">
        <v>40</v>
      </c>
      <c r="V503" t="s">
        <v>40</v>
      </c>
      <c r="X503" s="13">
        <v>125</v>
      </c>
      <c r="Y503" t="b">
        <v>0</v>
      </c>
      <c r="Z503" t="b">
        <v>1</v>
      </c>
      <c r="AA503" t="b">
        <v>0</v>
      </c>
      <c r="AB503" t="b">
        <v>0</v>
      </c>
      <c r="AD503" s="13">
        <v>125</v>
      </c>
      <c r="AE503" t="b">
        <v>1</v>
      </c>
      <c r="AF503" t="b">
        <v>1</v>
      </c>
      <c r="AG503" t="b">
        <v>0</v>
      </c>
      <c r="AH503" t="b">
        <v>0</v>
      </c>
    </row>
    <row r="504" spans="2:34">
      <c r="B504" s="11">
        <v>150</v>
      </c>
      <c r="C504" t="s">
        <v>114</v>
      </c>
      <c r="D504" s="62" t="str">
        <f t="shared" si="75"/>
        <v>LL</v>
      </c>
      <c r="E504" s="62" t="b">
        <f>IF($D$1="PFP",DK_Has_Guide[[#This Row],[PFP]],IF($D$1="FP",DK_Has_Guide[[#This Row],[FP]],IF($D$1="GB",DK_Has_Guide[[#This Row],[GB]],IF($D$1="GS",DK_Has_Guide[[#This Row],[GS]]))))</f>
        <v>0</v>
      </c>
      <c r="F504" s="62" t="str">
        <f>IF($D$1="PFP",DK_Bottom_Implement[[#This Row],[PFP]],IF($D$1="FP",DK_Bottom_Implement[[#This Row],[FP]],IF($D$1="GB",DK_Bottom_Implement[[#This Row],[GB]],IF($D$1="GS",DK_Bottom_Implement[[#This Row],[GS]]))))</f>
        <v>X</v>
      </c>
      <c r="G504" s="62" t="b">
        <f>IF($D$1="PFP",DK_Has_Axial[[#This Row],[PFP]],IF($D$1="FP",DK_Has_Axial[[#This Row],[FP]],IF($D$1="GB",DK_Has_Axial[[#This Row],[GB]],IF($D$1="GS",DK_Has_Axial[[#This Row],[GS]]))))</f>
        <v>0</v>
      </c>
      <c r="H504" s="62" t="b">
        <f>IF($D$1="PFP",DK_Has_Cams[[#This Row],[PFP]],IF($D$1="FP",DK_Has_Cams[[#This Row],[FP]],IF($D$1="GB",DK_Has_Cams[[#This Row],[GB]],IF($D$1="GS",DK_Has_Cams[[#This Row],[GS]]))))</f>
        <v>0</v>
      </c>
      <c r="I504" t="b">
        <f>IF(NOT(DK_Function[[#This Row],[Construction]]="T"),TRUE,FALSE)</f>
        <v>1</v>
      </c>
      <c r="J504" s="74" t="str">
        <f>IF(DK_Function[[#This Row],[Construction]]="T",$G$489,IF(DK_Function[[#This Row],[Construction]]="LL",$H$489,"other"))</f>
        <v>M</v>
      </c>
      <c r="L504" s="11">
        <v>150</v>
      </c>
      <c r="M504" t="b">
        <v>0</v>
      </c>
      <c r="N504" t="b">
        <v>1</v>
      </c>
      <c r="O504" t="b">
        <v>1</v>
      </c>
      <c r="P504" t="b">
        <v>0</v>
      </c>
      <c r="R504" s="11">
        <v>150</v>
      </c>
      <c r="S504" t="s">
        <v>343</v>
      </c>
      <c r="T504" t="s">
        <v>40</v>
      </c>
      <c r="U504" t="s">
        <v>40</v>
      </c>
      <c r="V504" t="s">
        <v>40</v>
      </c>
      <c r="X504" s="11">
        <v>150</v>
      </c>
      <c r="Y504" t="b">
        <v>0</v>
      </c>
      <c r="Z504" t="b">
        <v>1</v>
      </c>
      <c r="AA504" t="b">
        <v>0</v>
      </c>
      <c r="AB504" t="b">
        <v>0</v>
      </c>
      <c r="AD504" s="11">
        <v>150</v>
      </c>
      <c r="AE504" t="b">
        <v>1</v>
      </c>
      <c r="AF504" t="b">
        <v>1</v>
      </c>
      <c r="AG504" t="b">
        <v>0</v>
      </c>
      <c r="AH504" t="b">
        <v>0</v>
      </c>
    </row>
    <row r="505" spans="2:34">
      <c r="B505" s="13">
        <v>200</v>
      </c>
      <c r="C505" t="s">
        <v>114</v>
      </c>
      <c r="D505" s="61" t="str">
        <f t="shared" si="75"/>
        <v>LL</v>
      </c>
      <c r="E505" s="61" t="b">
        <f>IF($D$1="PFP",DK_Has_Guide[[#This Row],[PFP]],IF($D$1="FP",DK_Has_Guide[[#This Row],[FP]],IF($D$1="GB",DK_Has_Guide[[#This Row],[GB]],IF($D$1="GS",DK_Has_Guide[[#This Row],[GS]]))))</f>
        <v>0</v>
      </c>
      <c r="F505" s="61" t="str">
        <f>IF($D$1="PFP",DK_Bottom_Implement[[#This Row],[PFP]],IF($D$1="FP",DK_Bottom_Implement[[#This Row],[FP]],IF($D$1="GB",DK_Bottom_Implement[[#This Row],[GB]],IF($D$1="GS",DK_Bottom_Implement[[#This Row],[GS]]))))</f>
        <v>X</v>
      </c>
      <c r="G505" s="61" t="b">
        <f>IF($D$1="PFP",DK_Has_Axial[[#This Row],[PFP]],IF($D$1="FP",DK_Has_Axial[[#This Row],[FP]],IF($D$1="GB",DK_Has_Axial[[#This Row],[GB]],IF($D$1="GS",DK_Has_Axial[[#This Row],[GS]]))))</f>
        <v>0</v>
      </c>
      <c r="H505" s="61" t="b">
        <f>IF($D$1="PFP",DK_Has_Cams[[#This Row],[PFP]],IF($D$1="FP",DK_Has_Cams[[#This Row],[FP]],IF($D$1="GB",DK_Has_Cams[[#This Row],[GB]],IF($D$1="GS",DK_Has_Cams[[#This Row],[GS]]))))</f>
        <v>0</v>
      </c>
      <c r="I505" t="b">
        <f>IF(NOT(DK_Function[[#This Row],[Construction]]="T"),TRUE,FALSE)</f>
        <v>1</v>
      </c>
      <c r="J505" s="74" t="str">
        <f>IF(DK_Function[[#This Row],[Construction]]="T",$G$489,IF(DK_Function[[#This Row],[Construction]]="LL",$H$489,"other"))</f>
        <v>M</v>
      </c>
      <c r="L505" s="13">
        <v>200</v>
      </c>
      <c r="M505" t="b">
        <v>0</v>
      </c>
      <c r="N505" t="b">
        <v>1</v>
      </c>
      <c r="O505" t="b">
        <v>1</v>
      </c>
      <c r="P505" t="b">
        <v>0</v>
      </c>
      <c r="R505" s="13">
        <v>200</v>
      </c>
      <c r="S505" t="s">
        <v>343</v>
      </c>
      <c r="T505" t="s">
        <v>40</v>
      </c>
      <c r="U505" t="s">
        <v>40</v>
      </c>
      <c r="V505" t="s">
        <v>40</v>
      </c>
      <c r="X505" s="13">
        <v>200</v>
      </c>
      <c r="Y505" t="b">
        <v>0</v>
      </c>
      <c r="Z505" t="b">
        <v>1</v>
      </c>
      <c r="AA505" t="b">
        <v>0</v>
      </c>
      <c r="AB505" t="b">
        <v>0</v>
      </c>
      <c r="AD505" s="13">
        <v>200</v>
      </c>
      <c r="AE505" t="b">
        <v>1</v>
      </c>
      <c r="AF505" t="b">
        <v>1</v>
      </c>
      <c r="AG505" t="b">
        <v>0</v>
      </c>
      <c r="AH505" t="b">
        <v>0</v>
      </c>
    </row>
    <row r="506" spans="2:34">
      <c r="B506" s="11">
        <v>250</v>
      </c>
      <c r="C506" t="s">
        <v>114</v>
      </c>
      <c r="D506" s="62" t="str">
        <f t="shared" si="75"/>
        <v>LL</v>
      </c>
      <c r="E506" s="62" t="b">
        <f>IF($D$1="PFP",DK_Has_Guide[[#This Row],[PFP]],IF($D$1="FP",DK_Has_Guide[[#This Row],[FP]],IF($D$1="GB",DK_Has_Guide[[#This Row],[GB]],IF($D$1="GS",DK_Has_Guide[[#This Row],[GS]]))))</f>
        <v>0</v>
      </c>
      <c r="F506" s="62" t="str">
        <f>IF($D$1="PFP",DK_Bottom_Implement[[#This Row],[PFP]],IF($D$1="FP",DK_Bottom_Implement[[#This Row],[FP]],IF($D$1="GB",DK_Bottom_Implement[[#This Row],[GB]],IF($D$1="GS",DK_Bottom_Implement[[#This Row],[GS]]))))</f>
        <v>X</v>
      </c>
      <c r="G506" s="62" t="b">
        <f>IF($D$1="PFP",DK_Has_Axial[[#This Row],[PFP]],IF($D$1="FP",DK_Has_Axial[[#This Row],[FP]],IF($D$1="GB",DK_Has_Axial[[#This Row],[GB]],IF($D$1="GS",DK_Has_Axial[[#This Row],[GS]]))))</f>
        <v>0</v>
      </c>
      <c r="H506" s="62" t="b">
        <f>IF($D$1="PFP",DK_Has_Cams[[#This Row],[PFP]],IF($D$1="FP",DK_Has_Cams[[#This Row],[FP]],IF($D$1="GB",DK_Has_Cams[[#This Row],[GB]],IF($D$1="GS",DK_Has_Cams[[#This Row],[GS]]))))</f>
        <v>0</v>
      </c>
      <c r="I506" t="b">
        <f>IF(NOT(DK_Function[[#This Row],[Construction]]="T"),TRUE,FALSE)</f>
        <v>1</v>
      </c>
      <c r="J506" s="74" t="str">
        <f>IF(DK_Function[[#This Row],[Construction]]="T",$G$489,IF(DK_Function[[#This Row],[Construction]]="LL",$H$489,"other"))</f>
        <v>M</v>
      </c>
      <c r="L506" s="11">
        <v>250</v>
      </c>
      <c r="M506" t="b">
        <v>0</v>
      </c>
      <c r="N506" t="b">
        <v>1</v>
      </c>
      <c r="O506" t="b">
        <v>1</v>
      </c>
      <c r="P506" t="b">
        <v>0</v>
      </c>
      <c r="R506" s="11">
        <v>250</v>
      </c>
      <c r="S506" t="s">
        <v>343</v>
      </c>
      <c r="T506" t="s">
        <v>40</v>
      </c>
      <c r="U506" t="s">
        <v>40</v>
      </c>
      <c r="V506" t="s">
        <v>40</v>
      </c>
      <c r="X506" s="11">
        <v>250</v>
      </c>
      <c r="Y506" t="b">
        <v>0</v>
      </c>
      <c r="Z506" t="b">
        <v>1</v>
      </c>
      <c r="AA506" t="b">
        <v>0</v>
      </c>
      <c r="AB506" t="b">
        <v>0</v>
      </c>
      <c r="AD506" s="11">
        <v>250</v>
      </c>
      <c r="AE506" t="b">
        <v>1</v>
      </c>
      <c r="AF506" t="b">
        <v>1</v>
      </c>
      <c r="AG506" t="b">
        <v>0</v>
      </c>
      <c r="AH506" t="b">
        <v>0</v>
      </c>
    </row>
    <row r="507" spans="2:34">
      <c r="B507" s="13">
        <v>300</v>
      </c>
      <c r="C507" t="s">
        <v>114</v>
      </c>
      <c r="D507" s="61" t="str">
        <f t="shared" si="75"/>
        <v>LL</v>
      </c>
      <c r="E507" s="61" t="b">
        <f>IF($D$1="PFP",DK_Has_Guide[[#This Row],[PFP]],IF($D$1="FP",DK_Has_Guide[[#This Row],[FP]],IF($D$1="GB",DK_Has_Guide[[#This Row],[GB]],IF($D$1="GS",DK_Has_Guide[[#This Row],[GS]]))))</f>
        <v>0</v>
      </c>
      <c r="F507" s="61" t="str">
        <f>IF($D$1="PFP",DK_Bottom_Implement[[#This Row],[PFP]],IF($D$1="FP",DK_Bottom_Implement[[#This Row],[FP]],IF($D$1="GB",DK_Bottom_Implement[[#This Row],[GB]],IF($D$1="GS",DK_Bottom_Implement[[#This Row],[GS]]))))</f>
        <v>SS</v>
      </c>
      <c r="G507" s="61" t="b">
        <f>IF($D$1="PFP",DK_Has_Axial[[#This Row],[PFP]],IF($D$1="FP",DK_Has_Axial[[#This Row],[FP]],IF($D$1="GB",DK_Has_Axial[[#This Row],[GB]],IF($D$1="GS",DK_Has_Axial[[#This Row],[GS]]))))</f>
        <v>0</v>
      </c>
      <c r="H507" s="61" t="b">
        <f>IF($D$1="PFP",DK_Has_Cams[[#This Row],[PFP]],IF($D$1="FP",DK_Has_Cams[[#This Row],[FP]],IF($D$1="GB",DK_Has_Cams[[#This Row],[GB]],IF($D$1="GS",DK_Has_Cams[[#This Row],[GS]]))))</f>
        <v>0</v>
      </c>
      <c r="I507" t="b">
        <f>IF(NOT(DK_Function[[#This Row],[Construction]]="T"),TRUE,FALSE)</f>
        <v>1</v>
      </c>
      <c r="J507" s="74" t="str">
        <f>IF(DK_Function[[#This Row],[Construction]]="T",$G$489,IF(DK_Function[[#This Row],[Construction]]="LL",$H$489,"other"))</f>
        <v>M</v>
      </c>
      <c r="L507" s="13">
        <v>300</v>
      </c>
      <c r="M507" t="b">
        <v>0</v>
      </c>
      <c r="N507" t="b">
        <v>1</v>
      </c>
      <c r="O507" t="b">
        <v>1</v>
      </c>
      <c r="P507" t="b">
        <v>0</v>
      </c>
      <c r="R507" s="13">
        <v>300</v>
      </c>
      <c r="S507" t="s">
        <v>343</v>
      </c>
      <c r="T507" t="s">
        <v>21</v>
      </c>
      <c r="U507" t="s">
        <v>22</v>
      </c>
      <c r="V507" t="s">
        <v>22</v>
      </c>
      <c r="X507" s="13">
        <v>300</v>
      </c>
      <c r="Y507" t="b">
        <v>0</v>
      </c>
      <c r="Z507" t="b">
        <v>1</v>
      </c>
      <c r="AA507" t="b">
        <v>0</v>
      </c>
      <c r="AB507" t="b">
        <v>0</v>
      </c>
      <c r="AD507" s="13">
        <v>300</v>
      </c>
      <c r="AE507" t="b">
        <v>1</v>
      </c>
      <c r="AF507" t="b">
        <v>1</v>
      </c>
      <c r="AG507" t="b">
        <v>0</v>
      </c>
      <c r="AH507" t="b">
        <v>0</v>
      </c>
    </row>
    <row r="508" spans="2:34">
      <c r="B508" s="11">
        <v>350</v>
      </c>
      <c r="C508" t="s">
        <v>114</v>
      </c>
      <c r="D508" s="62" t="str">
        <f t="shared" si="75"/>
        <v>LL</v>
      </c>
      <c r="E508" s="62" t="b">
        <f>IF($D$1="PFP",DK_Has_Guide[[#This Row],[PFP]],IF($D$1="FP",DK_Has_Guide[[#This Row],[FP]],IF($D$1="GB",DK_Has_Guide[[#This Row],[GB]],IF($D$1="GS",DK_Has_Guide[[#This Row],[GS]]))))</f>
        <v>0</v>
      </c>
      <c r="F508" s="62" t="str">
        <f>IF($D$1="PFP",DK_Bottom_Implement[[#This Row],[PFP]],IF($D$1="FP",DK_Bottom_Implement[[#This Row],[FP]],IF($D$1="GB",DK_Bottom_Implement[[#This Row],[GB]],IF($D$1="GS",DK_Bottom_Implement[[#This Row],[GS]]))))</f>
        <v>SS</v>
      </c>
      <c r="G508" s="62" t="b">
        <f>IF($D$1="PFP",DK_Has_Axial[[#This Row],[PFP]],IF($D$1="FP",DK_Has_Axial[[#This Row],[FP]],IF($D$1="GB",DK_Has_Axial[[#This Row],[GB]],IF($D$1="GS",DK_Has_Axial[[#This Row],[GS]]))))</f>
        <v>0</v>
      </c>
      <c r="H508" s="62" t="b">
        <f>IF($D$1="PFP",DK_Has_Cams[[#This Row],[PFP]],IF($D$1="FP",DK_Has_Cams[[#This Row],[FP]],IF($D$1="GB",DK_Has_Cams[[#This Row],[GB]],IF($D$1="GS",DK_Has_Cams[[#This Row],[GS]]))))</f>
        <v>0</v>
      </c>
      <c r="I508" t="b">
        <f>IF(NOT(DK_Function[[#This Row],[Construction]]="T"),TRUE,FALSE)</f>
        <v>1</v>
      </c>
      <c r="J508" s="74" t="str">
        <f>IF(DK_Function[[#This Row],[Construction]]="T",$G$489,IF(DK_Function[[#This Row],[Construction]]="LL",$H$489,"other"))</f>
        <v>M</v>
      </c>
      <c r="L508" s="11">
        <v>350</v>
      </c>
      <c r="M508" t="b">
        <v>0</v>
      </c>
      <c r="N508" t="b">
        <v>1</v>
      </c>
      <c r="O508" t="b">
        <v>1</v>
      </c>
      <c r="P508" t="b">
        <v>0</v>
      </c>
      <c r="R508" s="11">
        <v>350</v>
      </c>
      <c r="S508" t="s">
        <v>343</v>
      </c>
      <c r="T508" t="s">
        <v>21</v>
      </c>
      <c r="U508" t="s">
        <v>22</v>
      </c>
      <c r="V508" t="s">
        <v>22</v>
      </c>
      <c r="X508" s="11">
        <v>350</v>
      </c>
      <c r="Y508" t="b">
        <v>0</v>
      </c>
      <c r="Z508" t="b">
        <v>1</v>
      </c>
      <c r="AA508" t="b">
        <v>0</v>
      </c>
      <c r="AB508" t="b">
        <v>0</v>
      </c>
      <c r="AD508" s="11">
        <v>350</v>
      </c>
      <c r="AE508" t="b">
        <v>1</v>
      </c>
      <c r="AF508" t="b">
        <v>1</v>
      </c>
      <c r="AG508" t="b">
        <v>0</v>
      </c>
      <c r="AH508" t="b">
        <v>0</v>
      </c>
    </row>
    <row r="509" spans="2:34">
      <c r="B509" s="13">
        <v>400</v>
      </c>
      <c r="C509" t="s">
        <v>114</v>
      </c>
      <c r="D509" s="61" t="str">
        <f t="shared" si="75"/>
        <v>LL</v>
      </c>
      <c r="E509" s="61" t="b">
        <f>IF($D$1="PFP",DK_Has_Guide[[#This Row],[PFP]],IF($D$1="FP",DK_Has_Guide[[#This Row],[FP]],IF($D$1="GB",DK_Has_Guide[[#This Row],[GB]],IF($D$1="GS",DK_Has_Guide[[#This Row],[GS]]))))</f>
        <v>0</v>
      </c>
      <c r="F509" s="61" t="str">
        <f>IF($D$1="PFP",DK_Bottom_Implement[[#This Row],[PFP]],IF($D$1="FP",DK_Bottom_Implement[[#This Row],[FP]],IF($D$1="GB",DK_Bottom_Implement[[#This Row],[GB]],IF($D$1="GS",DK_Bottom_Implement[[#This Row],[GS]]))))</f>
        <v>SS</v>
      </c>
      <c r="G509" s="61" t="b">
        <f>IF($D$1="PFP",DK_Has_Axial[[#This Row],[PFP]],IF($D$1="FP",DK_Has_Axial[[#This Row],[FP]],IF($D$1="GB",DK_Has_Axial[[#This Row],[GB]],IF($D$1="GS",DK_Has_Axial[[#This Row],[GS]]))))</f>
        <v>0</v>
      </c>
      <c r="H509" s="61" t="b">
        <f>IF($D$1="PFP",DK_Has_Cams[[#This Row],[PFP]],IF($D$1="FP",DK_Has_Cams[[#This Row],[FP]],IF($D$1="GB",DK_Has_Cams[[#This Row],[GB]],IF($D$1="GS",DK_Has_Cams[[#This Row],[GS]]))))</f>
        <v>0</v>
      </c>
      <c r="I509" t="b">
        <f>IF(NOT(DK_Function[[#This Row],[Construction]]="T"),TRUE,FALSE)</f>
        <v>1</v>
      </c>
      <c r="J509" s="74" t="str">
        <f>IF(DK_Function[[#This Row],[Construction]]="T",$G$489,IF(DK_Function[[#This Row],[Construction]]="LL",$H$489,"other"))</f>
        <v>M</v>
      </c>
      <c r="L509" s="13">
        <v>400</v>
      </c>
      <c r="M509" t="b">
        <v>0</v>
      </c>
      <c r="N509" t="b">
        <v>1</v>
      </c>
      <c r="O509" t="b">
        <v>1</v>
      </c>
      <c r="P509" t="b">
        <v>0</v>
      </c>
      <c r="R509" s="13">
        <v>400</v>
      </c>
      <c r="S509" t="s">
        <v>343</v>
      </c>
      <c r="T509" t="s">
        <v>21</v>
      </c>
      <c r="U509" t="s">
        <v>22</v>
      </c>
      <c r="V509" t="s">
        <v>22</v>
      </c>
      <c r="X509" s="13">
        <v>400</v>
      </c>
      <c r="Y509" t="b">
        <v>0</v>
      </c>
      <c r="Z509" t="b">
        <v>1</v>
      </c>
      <c r="AA509" t="b">
        <v>0</v>
      </c>
      <c r="AB509" t="b">
        <v>0</v>
      </c>
      <c r="AD509" s="13">
        <v>400</v>
      </c>
      <c r="AE509" t="b">
        <v>1</v>
      </c>
      <c r="AF509" t="b">
        <v>1</v>
      </c>
      <c r="AG509" t="b">
        <v>0</v>
      </c>
      <c r="AH509" t="b">
        <v>0</v>
      </c>
    </row>
    <row r="510" spans="2:34">
      <c r="B510" s="11">
        <v>450</v>
      </c>
      <c r="C510" t="s">
        <v>114</v>
      </c>
      <c r="D510" s="62" t="str">
        <f t="shared" si="75"/>
        <v>LL</v>
      </c>
      <c r="E510" s="62" t="b">
        <f>IF($D$1="PFP",DK_Has_Guide[[#This Row],[PFP]],IF($D$1="FP",DK_Has_Guide[[#This Row],[FP]],IF($D$1="GB",DK_Has_Guide[[#This Row],[GB]],IF($D$1="GS",DK_Has_Guide[[#This Row],[GS]]))))</f>
        <v>0</v>
      </c>
      <c r="F510" s="62" t="str">
        <f>IF($D$1="PFP",DK_Bottom_Implement[[#This Row],[PFP]],IF($D$1="FP",DK_Bottom_Implement[[#This Row],[FP]],IF($D$1="GB",DK_Bottom_Implement[[#This Row],[GB]],IF($D$1="GS",DK_Bottom_Implement[[#This Row],[GS]]))))</f>
        <v>SS</v>
      </c>
      <c r="G510" s="62" t="b">
        <f>IF($D$1="PFP",DK_Has_Axial[[#This Row],[PFP]],IF($D$1="FP",DK_Has_Axial[[#This Row],[FP]],IF($D$1="GB",DK_Has_Axial[[#This Row],[GB]],IF($D$1="GS",DK_Has_Axial[[#This Row],[GS]]))))</f>
        <v>0</v>
      </c>
      <c r="H510" s="62" t="b">
        <f>IF($D$1="PFP",DK_Has_Cams[[#This Row],[PFP]],IF($D$1="FP",DK_Has_Cams[[#This Row],[FP]],IF($D$1="GB",DK_Has_Cams[[#This Row],[GB]],IF($D$1="GS",DK_Has_Cams[[#This Row],[GS]]))))</f>
        <v>0</v>
      </c>
      <c r="I510" t="b">
        <f>IF(NOT(DK_Function[[#This Row],[Construction]]="T"),TRUE,FALSE)</f>
        <v>1</v>
      </c>
      <c r="J510" s="74" t="str">
        <f>IF(DK_Function[[#This Row],[Construction]]="T",$G$489,IF(DK_Function[[#This Row],[Construction]]="LL",$H$489,"other"))</f>
        <v>M</v>
      </c>
      <c r="L510" s="11">
        <v>450</v>
      </c>
      <c r="M510" t="b">
        <v>0</v>
      </c>
      <c r="N510" t="b">
        <v>1</v>
      </c>
      <c r="O510" t="b">
        <v>1</v>
      </c>
      <c r="P510" t="b">
        <v>0</v>
      </c>
      <c r="R510" s="11">
        <v>450</v>
      </c>
      <c r="S510" t="s">
        <v>343</v>
      </c>
      <c r="T510" t="s">
        <v>21</v>
      </c>
      <c r="U510" t="s">
        <v>22</v>
      </c>
      <c r="V510" t="s">
        <v>22</v>
      </c>
      <c r="X510" s="11">
        <v>450</v>
      </c>
      <c r="Y510" t="b">
        <v>0</v>
      </c>
      <c r="Z510" t="b">
        <v>1</v>
      </c>
      <c r="AA510" t="b">
        <v>0</v>
      </c>
      <c r="AB510" t="b">
        <v>0</v>
      </c>
      <c r="AD510" s="11">
        <v>450</v>
      </c>
      <c r="AE510" t="b">
        <v>1</v>
      </c>
      <c r="AF510" t="b">
        <v>1</v>
      </c>
      <c r="AG510" t="b">
        <v>0</v>
      </c>
      <c r="AH510" t="b">
        <v>0</v>
      </c>
    </row>
    <row r="511" spans="2:34">
      <c r="B511" s="13">
        <v>500</v>
      </c>
      <c r="C511" t="s">
        <v>114</v>
      </c>
      <c r="D511" s="61" t="str">
        <f t="shared" si="75"/>
        <v>LL</v>
      </c>
      <c r="E511" s="61" t="b">
        <f>IF($D$1="PFP",DK_Has_Guide[[#This Row],[PFP]],IF($D$1="FP",DK_Has_Guide[[#This Row],[FP]],IF($D$1="GB",DK_Has_Guide[[#This Row],[GB]],IF($D$1="GS",DK_Has_Guide[[#This Row],[GS]]))))</f>
        <v>0</v>
      </c>
      <c r="F511" s="61" t="str">
        <f>IF($D$1="PFP",DK_Bottom_Implement[[#This Row],[PFP]],IF($D$1="FP",DK_Bottom_Implement[[#This Row],[FP]],IF($D$1="GB",DK_Bottom_Implement[[#This Row],[GB]],IF($D$1="GS",DK_Bottom_Implement[[#This Row],[GS]]))))</f>
        <v>SS</v>
      </c>
      <c r="G511" s="61" t="b">
        <f>IF($D$1="PFP",DK_Has_Axial[[#This Row],[PFP]],IF($D$1="FP",DK_Has_Axial[[#This Row],[FP]],IF($D$1="GB",DK_Has_Axial[[#This Row],[GB]],IF($D$1="GS",DK_Has_Axial[[#This Row],[GS]]))))</f>
        <v>0</v>
      </c>
      <c r="H511" s="61" t="b">
        <f>IF($D$1="PFP",DK_Has_Cams[[#This Row],[PFP]],IF($D$1="FP",DK_Has_Cams[[#This Row],[FP]],IF($D$1="GB",DK_Has_Cams[[#This Row],[GB]],IF($D$1="GS",DK_Has_Cams[[#This Row],[GS]]))))</f>
        <v>0</v>
      </c>
      <c r="I511" t="b">
        <f>IF(NOT(DK_Function[[#This Row],[Construction]]="T"),TRUE,FALSE)</f>
        <v>1</v>
      </c>
      <c r="J511" s="74" t="str">
        <f>IF(DK_Function[[#This Row],[Construction]]="T",$G$489,IF(DK_Function[[#This Row],[Construction]]="LL",$H$489,"other"))</f>
        <v>M</v>
      </c>
      <c r="L511" s="13">
        <v>500</v>
      </c>
      <c r="M511" t="b">
        <v>0</v>
      </c>
      <c r="N511" t="b">
        <v>1</v>
      </c>
      <c r="O511" t="b">
        <v>1</v>
      </c>
      <c r="P511" t="b">
        <v>0</v>
      </c>
      <c r="R511" s="13">
        <v>500</v>
      </c>
      <c r="S511" t="s">
        <v>343</v>
      </c>
      <c r="T511" t="s">
        <v>21</v>
      </c>
      <c r="U511" t="s">
        <v>22</v>
      </c>
      <c r="V511" t="s">
        <v>22</v>
      </c>
      <c r="X511" s="13">
        <v>500</v>
      </c>
      <c r="Y511" t="b">
        <v>0</v>
      </c>
      <c r="Z511" t="b">
        <v>1</v>
      </c>
      <c r="AA511" t="b">
        <v>0</v>
      </c>
      <c r="AB511" t="b">
        <v>0</v>
      </c>
      <c r="AD511" s="13">
        <v>500</v>
      </c>
      <c r="AE511" t="b">
        <v>1</v>
      </c>
      <c r="AF511" t="b">
        <v>1</v>
      </c>
      <c r="AG511" t="b">
        <v>0</v>
      </c>
      <c r="AH511" t="b">
        <v>0</v>
      </c>
    </row>
    <row r="512" spans="2:34">
      <c r="B512" s="11">
        <v>600</v>
      </c>
      <c r="C512" t="s">
        <v>479</v>
      </c>
      <c r="D512" s="62" t="str">
        <f t="shared" si="75"/>
        <v>LL</v>
      </c>
      <c r="E512" s="62" t="b">
        <f>IF($D$1="PFP",DK_Has_Guide[[#This Row],[PFP]],IF($D$1="FP",DK_Has_Guide[[#This Row],[FP]],IF($D$1="GB",DK_Has_Guide[[#This Row],[GB]],IF($D$1="GS",DK_Has_Guide[[#This Row],[GS]]))))</f>
        <v>0</v>
      </c>
      <c r="F512" s="62" t="str">
        <f>IF($D$1="PFP",DK_Bottom_Implement[[#This Row],[PFP]],IF($D$1="FP",DK_Bottom_Implement[[#This Row],[FP]],IF($D$1="GB",DK_Bottom_Implement[[#This Row],[GB]],IF($D$1="GS",DK_Bottom_Implement[[#This Row],[GS]]))))</f>
        <v>SS</v>
      </c>
      <c r="G512" s="62" t="b">
        <f>IF($D$1="PFP",DK_Has_Axial[[#This Row],[PFP]],IF($D$1="FP",DK_Has_Axial[[#This Row],[FP]],IF($D$1="GB",DK_Has_Axial[[#This Row],[GB]],IF($D$1="GS",DK_Has_Axial[[#This Row],[GS]]))))</f>
        <v>0</v>
      </c>
      <c r="H512" s="62" t="b">
        <f>IF($D$1="PFP",DK_Has_Cams[[#This Row],[PFP]],IF($D$1="FP",DK_Has_Cams[[#This Row],[FP]],IF($D$1="GB",DK_Has_Cams[[#This Row],[GB]],IF($D$1="GS",DK_Has_Cams[[#This Row],[GS]]))))</f>
        <v>0</v>
      </c>
      <c r="I512" t="b">
        <f>IF(NOT(DK_Function[[#This Row],[Construction]]="T"),TRUE,FALSE)</f>
        <v>1</v>
      </c>
      <c r="J512" s="74" t="str">
        <f>IF(DK_Function[[#This Row],[Construction]]="T",$G$489,IF(DK_Function[[#This Row],[Construction]]="LL",$H$489,"other"))</f>
        <v>M</v>
      </c>
      <c r="L512" s="11">
        <v>600</v>
      </c>
      <c r="M512" t="b">
        <v>0</v>
      </c>
      <c r="N512" t="b">
        <v>1</v>
      </c>
      <c r="O512" t="b">
        <v>1</v>
      </c>
      <c r="P512" t="b">
        <v>0</v>
      </c>
      <c r="R512" s="11">
        <v>600</v>
      </c>
      <c r="S512" t="s">
        <v>343</v>
      </c>
      <c r="T512" t="s">
        <v>21</v>
      </c>
      <c r="U512" t="s">
        <v>22</v>
      </c>
      <c r="V512" t="s">
        <v>22</v>
      </c>
      <c r="X512" s="11">
        <v>600</v>
      </c>
      <c r="Y512" t="b">
        <v>0</v>
      </c>
      <c r="Z512" t="b">
        <v>1</v>
      </c>
      <c r="AA512" t="b">
        <v>0</v>
      </c>
      <c r="AB512" t="b">
        <v>0</v>
      </c>
      <c r="AD512" s="11">
        <v>600</v>
      </c>
      <c r="AE512" t="b">
        <v>1</v>
      </c>
      <c r="AF512" t="b">
        <v>1</v>
      </c>
      <c r="AG512" t="b">
        <v>0</v>
      </c>
      <c r="AH512" t="b">
        <v>0</v>
      </c>
    </row>
    <row r="513" spans="2:34">
      <c r="B513" s="13">
        <v>700</v>
      </c>
      <c r="C513" t="s">
        <v>479</v>
      </c>
      <c r="D513" s="61" t="str">
        <f t="shared" si="75"/>
        <v>LL</v>
      </c>
      <c r="E513" s="61" t="b">
        <f>IF($D$1="PFP",DK_Has_Guide[[#This Row],[PFP]],IF($D$1="FP",DK_Has_Guide[[#This Row],[FP]],IF($D$1="GB",DK_Has_Guide[[#This Row],[GB]],IF($D$1="GS",DK_Has_Guide[[#This Row],[GS]]))))</f>
        <v>0</v>
      </c>
      <c r="F513" s="61" t="str">
        <f>IF($D$1="PFP",DK_Bottom_Implement[[#This Row],[PFP]],IF($D$1="FP",DK_Bottom_Implement[[#This Row],[FP]],IF($D$1="GB",DK_Bottom_Implement[[#This Row],[GB]],IF($D$1="GS",DK_Bottom_Implement[[#This Row],[GS]]))))</f>
        <v>SS</v>
      </c>
      <c r="G513" s="61" t="b">
        <f>IF($D$1="PFP",DK_Has_Axial[[#This Row],[PFP]],IF($D$1="FP",DK_Has_Axial[[#This Row],[FP]],IF($D$1="GB",DK_Has_Axial[[#This Row],[GB]],IF($D$1="GS",DK_Has_Axial[[#This Row],[GS]]))))</f>
        <v>0</v>
      </c>
      <c r="H513" s="61" t="b">
        <f>IF($D$1="PFP",DK_Has_Cams[[#This Row],[PFP]],IF($D$1="FP",DK_Has_Cams[[#This Row],[FP]],IF($D$1="GB",DK_Has_Cams[[#This Row],[GB]],IF($D$1="GS",DK_Has_Cams[[#This Row],[GS]]))))</f>
        <v>0</v>
      </c>
      <c r="I513" t="b">
        <f>IF(NOT(DK_Function[[#This Row],[Construction]]="T"),TRUE,FALSE)</f>
        <v>1</v>
      </c>
      <c r="J513" s="74" t="str">
        <f>IF(DK_Function[[#This Row],[Construction]]="T",$G$489,IF(DK_Function[[#This Row],[Construction]]="LL",$H$489,"other"))</f>
        <v>M</v>
      </c>
      <c r="L513" s="13">
        <v>700</v>
      </c>
      <c r="M513" t="b">
        <v>0</v>
      </c>
      <c r="N513" t="b">
        <v>1</v>
      </c>
      <c r="O513" t="b">
        <v>1</v>
      </c>
      <c r="P513" t="b">
        <v>0</v>
      </c>
      <c r="R513" s="13">
        <v>700</v>
      </c>
      <c r="S513" t="s">
        <v>343</v>
      </c>
      <c r="T513" t="s">
        <v>21</v>
      </c>
      <c r="U513" t="s">
        <v>22</v>
      </c>
      <c r="V513" t="s">
        <v>22</v>
      </c>
      <c r="X513" s="13">
        <v>700</v>
      </c>
      <c r="Y513" t="b">
        <v>0</v>
      </c>
      <c r="Z513" t="b">
        <v>1</v>
      </c>
      <c r="AA513" t="b">
        <v>0</v>
      </c>
      <c r="AB513" t="b">
        <v>0</v>
      </c>
      <c r="AD513" s="13">
        <v>700</v>
      </c>
      <c r="AE513" t="b">
        <v>1</v>
      </c>
      <c r="AF513" t="b">
        <v>1</v>
      </c>
      <c r="AG513" t="b">
        <v>0</v>
      </c>
      <c r="AH513" t="b">
        <v>0</v>
      </c>
    </row>
    <row r="514" spans="2:34">
      <c r="B514" s="11">
        <v>800</v>
      </c>
      <c r="C514" t="s">
        <v>479</v>
      </c>
      <c r="D514" s="62" t="str">
        <f t="shared" si="75"/>
        <v>LL</v>
      </c>
      <c r="E514" s="62" t="b">
        <f>IF($D$1="PFP",DK_Has_Guide[[#This Row],[PFP]],IF($D$1="FP",DK_Has_Guide[[#This Row],[FP]],IF($D$1="GB",DK_Has_Guide[[#This Row],[GB]],IF($D$1="GS",DK_Has_Guide[[#This Row],[GS]]))))</f>
        <v>0</v>
      </c>
      <c r="F514" s="62" t="str">
        <f>IF($D$1="PFP",DK_Bottom_Implement[[#This Row],[PFP]],IF($D$1="FP",DK_Bottom_Implement[[#This Row],[FP]],IF($D$1="GB",DK_Bottom_Implement[[#This Row],[GB]],IF($D$1="GS",DK_Bottom_Implement[[#This Row],[GS]]))))</f>
        <v>SS</v>
      </c>
      <c r="G514" s="62" t="b">
        <f>IF($D$1="PFP",DK_Has_Axial[[#This Row],[PFP]],IF($D$1="FP",DK_Has_Axial[[#This Row],[FP]],IF($D$1="GB",DK_Has_Axial[[#This Row],[GB]],IF($D$1="GS",DK_Has_Axial[[#This Row],[GS]]))))</f>
        <v>0</v>
      </c>
      <c r="H514" s="62" t="b">
        <f>IF($D$1="PFP",DK_Has_Cams[[#This Row],[PFP]],IF($D$1="FP",DK_Has_Cams[[#This Row],[FP]],IF($D$1="GB",DK_Has_Cams[[#This Row],[GB]],IF($D$1="GS",DK_Has_Cams[[#This Row],[GS]]))))</f>
        <v>0</v>
      </c>
      <c r="I514" t="b">
        <f>IF(NOT(DK_Function[[#This Row],[Construction]]="T"),TRUE,FALSE)</f>
        <v>1</v>
      </c>
      <c r="J514" s="74" t="str">
        <f>IF(DK_Function[[#This Row],[Construction]]="T",$G$489,IF(DK_Function[[#This Row],[Construction]]="LL",$H$489,"other"))</f>
        <v>M</v>
      </c>
      <c r="L514" s="11">
        <v>800</v>
      </c>
      <c r="M514" t="b">
        <v>0</v>
      </c>
      <c r="N514" t="b">
        <v>1</v>
      </c>
      <c r="O514" t="b">
        <v>1</v>
      </c>
      <c r="P514" t="b">
        <v>0</v>
      </c>
      <c r="R514" s="11">
        <v>800</v>
      </c>
      <c r="S514" t="s">
        <v>343</v>
      </c>
      <c r="T514" t="s">
        <v>21</v>
      </c>
      <c r="U514" t="s">
        <v>22</v>
      </c>
      <c r="V514" t="s">
        <v>22</v>
      </c>
      <c r="X514" s="11">
        <v>800</v>
      </c>
      <c r="Y514" t="b">
        <v>0</v>
      </c>
      <c r="Z514" t="b">
        <v>1</v>
      </c>
      <c r="AA514" t="b">
        <v>0</v>
      </c>
      <c r="AB514" t="b">
        <v>0</v>
      </c>
      <c r="AD514" s="11">
        <v>800</v>
      </c>
      <c r="AE514" t="b">
        <v>1</v>
      </c>
      <c r="AF514" t="b">
        <v>1</v>
      </c>
      <c r="AG514" t="b">
        <v>0</v>
      </c>
      <c r="AH514" t="b">
        <v>0</v>
      </c>
    </row>
    <row r="515" spans="2:34">
      <c r="B515" s="13">
        <v>900</v>
      </c>
      <c r="C515" t="s">
        <v>479</v>
      </c>
      <c r="D515" s="61" t="str">
        <f t="shared" si="75"/>
        <v>LL</v>
      </c>
      <c r="E515" s="61" t="b">
        <f>IF($D$1="PFP",DK_Has_Guide[[#This Row],[PFP]],IF($D$1="FP",DK_Has_Guide[[#This Row],[FP]],IF($D$1="GB",DK_Has_Guide[[#This Row],[GB]],IF($D$1="GS",DK_Has_Guide[[#This Row],[GS]]))))</f>
        <v>0</v>
      </c>
      <c r="F515" s="61" t="str">
        <f>IF($D$1="PFP",DK_Bottom_Implement[[#This Row],[PFP]],IF($D$1="FP",DK_Bottom_Implement[[#This Row],[FP]],IF($D$1="GB",DK_Bottom_Implement[[#This Row],[GB]],IF($D$1="GS",DK_Bottom_Implement[[#This Row],[GS]]))))</f>
        <v>SS</v>
      </c>
      <c r="G515" s="61" t="b">
        <f>IF($D$1="PFP",DK_Has_Axial[[#This Row],[PFP]],IF($D$1="FP",DK_Has_Axial[[#This Row],[FP]],IF($D$1="GB",DK_Has_Axial[[#This Row],[GB]],IF($D$1="GS",DK_Has_Axial[[#This Row],[GS]]))))</f>
        <v>0</v>
      </c>
      <c r="H515" s="61" t="b">
        <f>IF($D$1="PFP",DK_Has_Cams[[#This Row],[PFP]],IF($D$1="FP",DK_Has_Cams[[#This Row],[FP]],IF($D$1="GB",DK_Has_Cams[[#This Row],[GB]],IF($D$1="GS",DK_Has_Cams[[#This Row],[GS]]))))</f>
        <v>0</v>
      </c>
      <c r="I515" t="b">
        <f>IF(NOT(DK_Function[[#This Row],[Construction]]="T"),TRUE,FALSE)</f>
        <v>1</v>
      </c>
      <c r="J515" s="74" t="str">
        <f>IF(DK_Function[[#This Row],[Construction]]="T",$G$489,IF(DK_Function[[#This Row],[Construction]]="LL",$H$489,"other"))</f>
        <v>M</v>
      </c>
      <c r="L515" s="13">
        <v>900</v>
      </c>
      <c r="M515" t="b">
        <v>0</v>
      </c>
      <c r="N515" t="b">
        <v>1</v>
      </c>
      <c r="O515" t="b">
        <v>1</v>
      </c>
      <c r="P515" t="b">
        <v>0</v>
      </c>
      <c r="R515" s="13">
        <v>900</v>
      </c>
      <c r="S515" t="s">
        <v>343</v>
      </c>
      <c r="T515" t="s">
        <v>21</v>
      </c>
      <c r="U515" t="s">
        <v>22</v>
      </c>
      <c r="V515" t="s">
        <v>22</v>
      </c>
      <c r="X515" s="13">
        <v>900</v>
      </c>
      <c r="Y515" t="b">
        <v>0</v>
      </c>
      <c r="Z515" t="b">
        <v>1</v>
      </c>
      <c r="AA515" t="b">
        <v>0</v>
      </c>
      <c r="AB515" t="b">
        <v>0</v>
      </c>
      <c r="AD515" s="13">
        <v>900</v>
      </c>
      <c r="AE515" t="b">
        <v>1</v>
      </c>
      <c r="AF515" t="b">
        <v>1</v>
      </c>
      <c r="AG515" t="b">
        <v>0</v>
      </c>
      <c r="AH515" t="b">
        <v>0</v>
      </c>
    </row>
    <row r="516" spans="2:34">
      <c r="B516" s="11">
        <v>1000</v>
      </c>
      <c r="C516" t="s">
        <v>479</v>
      </c>
      <c r="D516" s="62" t="str">
        <f t="shared" si="75"/>
        <v>LL</v>
      </c>
      <c r="E516" s="62" t="b">
        <f>IF($D$1="PFP",DK_Has_Guide[[#This Row],[PFP]],IF($D$1="FP",DK_Has_Guide[[#This Row],[FP]],IF($D$1="GB",DK_Has_Guide[[#This Row],[GB]],IF($D$1="GS",DK_Has_Guide[[#This Row],[GS]]))))</f>
        <v>0</v>
      </c>
      <c r="F516" s="62" t="str">
        <f>IF($D$1="PFP",DK_Bottom_Implement[[#This Row],[PFP]],IF($D$1="FP",DK_Bottom_Implement[[#This Row],[FP]],IF($D$1="GB",DK_Bottom_Implement[[#This Row],[GB]],IF($D$1="GS",DK_Bottom_Implement[[#This Row],[GS]]))))</f>
        <v>SS</v>
      </c>
      <c r="G516" s="62" t="b">
        <f>IF($D$1="PFP",DK_Has_Axial[[#This Row],[PFP]],IF($D$1="FP",DK_Has_Axial[[#This Row],[FP]],IF($D$1="GB",DK_Has_Axial[[#This Row],[GB]],IF($D$1="GS",DK_Has_Axial[[#This Row],[GS]]))))</f>
        <v>0</v>
      </c>
      <c r="H516" s="62" t="b">
        <f>IF($D$1="PFP",DK_Has_Cams[[#This Row],[PFP]],IF($D$1="FP",DK_Has_Cams[[#This Row],[FP]],IF($D$1="GB",DK_Has_Cams[[#This Row],[GB]],IF($D$1="GS",DK_Has_Cams[[#This Row],[GS]]))))</f>
        <v>0</v>
      </c>
      <c r="I516" t="b">
        <f>IF(NOT(DK_Function[[#This Row],[Construction]]="T"),TRUE,FALSE)</f>
        <v>1</v>
      </c>
      <c r="J516" s="74" t="str">
        <f>IF(DK_Function[[#This Row],[Construction]]="T",$G$489,IF(DK_Function[[#This Row],[Construction]]="LL",$H$489,"other"))</f>
        <v>M</v>
      </c>
      <c r="L516" s="11">
        <v>1000</v>
      </c>
      <c r="M516" t="b">
        <v>0</v>
      </c>
      <c r="N516" t="b">
        <v>1</v>
      </c>
      <c r="O516" t="b">
        <v>1</v>
      </c>
      <c r="P516" t="b">
        <v>0</v>
      </c>
      <c r="R516" s="11">
        <v>1000</v>
      </c>
      <c r="S516" t="s">
        <v>343</v>
      </c>
      <c r="T516" t="s">
        <v>21</v>
      </c>
      <c r="U516" t="s">
        <v>22</v>
      </c>
      <c r="V516" t="s">
        <v>22</v>
      </c>
      <c r="X516" s="11">
        <v>1000</v>
      </c>
      <c r="Y516" t="b">
        <v>0</v>
      </c>
      <c r="Z516" t="b">
        <v>1</v>
      </c>
      <c r="AA516" t="b">
        <v>0</v>
      </c>
      <c r="AB516" t="b">
        <v>0</v>
      </c>
      <c r="AD516" s="11">
        <v>1000</v>
      </c>
      <c r="AE516" t="b">
        <v>1</v>
      </c>
      <c r="AF516" t="b">
        <v>1</v>
      </c>
      <c r="AG516" t="b">
        <v>0</v>
      </c>
      <c r="AH516" t="b">
        <v>0</v>
      </c>
    </row>
    <row r="517" spans="2:34">
      <c r="B517" s="13">
        <v>1200</v>
      </c>
      <c r="C517" t="s">
        <v>479</v>
      </c>
      <c r="D517" s="54" t="str">
        <f t="shared" si="75"/>
        <v>LL</v>
      </c>
      <c r="E517" s="54" t="b">
        <f>IF($D$1="PFP",DK_Has_Guide[[#This Row],[PFP]],IF($D$1="FP",DK_Has_Guide[[#This Row],[FP]],IF($D$1="GB",DK_Has_Guide[[#This Row],[GB]],IF($D$1="GS",DK_Has_Guide[[#This Row],[GS]]))))</f>
        <v>0</v>
      </c>
      <c r="F517" s="54" t="str">
        <f>IF($D$1="PFP",DK_Bottom_Implement[[#This Row],[PFP]],IF($D$1="FP",DK_Bottom_Implement[[#This Row],[FP]],IF($D$1="GB",DK_Bottom_Implement[[#This Row],[GB]],IF($D$1="GS",DK_Bottom_Implement[[#This Row],[GS]]))))</f>
        <v>SS</v>
      </c>
      <c r="G517" s="54" t="b">
        <f>IF($D$1="PFP",DK_Has_Axial[[#This Row],[PFP]],IF($D$1="FP",DK_Has_Axial[[#This Row],[FP]],IF($D$1="GB",DK_Has_Axial[[#This Row],[GB]],IF($D$1="GS",DK_Has_Axial[[#This Row],[GS]]))))</f>
        <v>0</v>
      </c>
      <c r="H517" s="54" t="b">
        <f>IF($D$1="PFP",DK_Has_Cams[[#This Row],[PFP]],IF($D$1="FP",DK_Has_Cams[[#This Row],[FP]],IF($D$1="GB",DK_Has_Cams[[#This Row],[GB]],IF($D$1="GS",DK_Has_Cams[[#This Row],[GS]]))))</f>
        <v>0</v>
      </c>
      <c r="I517" t="b">
        <f>IF(NOT(DK_Function[[#This Row],[Construction]]="T"),TRUE,FALSE)</f>
        <v>1</v>
      </c>
      <c r="J517" s="74" t="str">
        <f>IF(DK_Function[[#This Row],[Construction]]="T",$G$489,IF(DK_Function[[#This Row],[Construction]]="LL",$H$489,"other"))</f>
        <v>M</v>
      </c>
      <c r="L517" s="13">
        <v>1200</v>
      </c>
      <c r="M517" t="b">
        <v>0</v>
      </c>
      <c r="N517" t="b">
        <v>1</v>
      </c>
      <c r="O517" t="b">
        <v>1</v>
      </c>
      <c r="P517" t="b">
        <v>0</v>
      </c>
      <c r="R517" s="13">
        <v>1200</v>
      </c>
      <c r="S517" t="s">
        <v>343</v>
      </c>
      <c r="T517" t="s">
        <v>21</v>
      </c>
      <c r="U517" t="s">
        <v>22</v>
      </c>
      <c r="V517" t="s">
        <v>22</v>
      </c>
      <c r="X517" s="13">
        <v>1200</v>
      </c>
      <c r="Y517" t="b">
        <v>0</v>
      </c>
      <c r="Z517" t="b">
        <v>1</v>
      </c>
      <c r="AA517" t="b">
        <v>0</v>
      </c>
      <c r="AB517" t="b">
        <v>0</v>
      </c>
      <c r="AD517" s="13">
        <v>1200</v>
      </c>
      <c r="AE517" t="b">
        <v>1</v>
      </c>
      <c r="AF517" t="b">
        <v>1</v>
      </c>
      <c r="AG517" t="b">
        <v>0</v>
      </c>
      <c r="AH517" t="b">
        <v>0</v>
      </c>
    </row>
    <row r="520" spans="2:34">
      <c r="B520" t="s">
        <v>456</v>
      </c>
      <c r="D520" t="s">
        <v>475</v>
      </c>
    </row>
    <row r="521" spans="2:34">
      <c r="B521" t="s">
        <v>89</v>
      </c>
      <c r="C521" t="s">
        <v>90</v>
      </c>
      <c r="D521" t="s">
        <v>91</v>
      </c>
      <c r="E521" t="s">
        <v>92</v>
      </c>
      <c r="F521" t="s">
        <v>34</v>
      </c>
      <c r="G521" t="s">
        <v>93</v>
      </c>
      <c r="H521" t="s">
        <v>94</v>
      </c>
      <c r="I521" t="s">
        <v>95</v>
      </c>
      <c r="J521" t="s">
        <v>96</v>
      </c>
      <c r="K521" t="s">
        <v>59</v>
      </c>
      <c r="L521" t="s">
        <v>232</v>
      </c>
      <c r="M521" t="s">
        <v>97</v>
      </c>
      <c r="N521" t="s">
        <v>107</v>
      </c>
      <c r="O521" s="59" t="s">
        <v>98</v>
      </c>
      <c r="P521" t="s">
        <v>99</v>
      </c>
      <c r="Q521" t="s">
        <v>480</v>
      </c>
      <c r="R521" t="s">
        <v>481</v>
      </c>
    </row>
    <row r="522" spans="2:34">
      <c r="B522">
        <v>15</v>
      </c>
      <c r="C522" t="s">
        <v>457</v>
      </c>
      <c r="D522">
        <v>22</v>
      </c>
      <c r="E522">
        <v>59</v>
      </c>
      <c r="F522">
        <v>15</v>
      </c>
      <c r="G522">
        <v>11.5</v>
      </c>
      <c r="H522">
        <v>7</v>
      </c>
      <c r="J522">
        <v>30</v>
      </c>
      <c r="L522">
        <v>5</v>
      </c>
      <c r="O522" s="60">
        <f>Rohrschellen_DK[[#This Row],[s/sC]]+Rohrschellen_DK[[#This Row],[f]]+Rohrschellen_DK[[#This Row],[s/sC]]</f>
        <v>17</v>
      </c>
    </row>
    <row r="523" spans="2:34">
      <c r="B523">
        <v>20</v>
      </c>
      <c r="C523" t="s">
        <v>459</v>
      </c>
      <c r="D523">
        <v>27</v>
      </c>
      <c r="E523">
        <v>66</v>
      </c>
      <c r="F523">
        <v>15</v>
      </c>
      <c r="G523">
        <v>11.5</v>
      </c>
      <c r="H523">
        <v>7</v>
      </c>
      <c r="J523">
        <v>30</v>
      </c>
      <c r="L523">
        <v>5</v>
      </c>
      <c r="O523" s="61">
        <f>Rohrschellen_DK[[#This Row],[s/sC]]+Rohrschellen_DK[[#This Row],[f]]+Rohrschellen_DK[[#This Row],[s/sC]]</f>
        <v>17</v>
      </c>
    </row>
    <row r="524" spans="2:34">
      <c r="B524">
        <v>25</v>
      </c>
      <c r="C524" t="s">
        <v>460</v>
      </c>
      <c r="D524">
        <v>34</v>
      </c>
      <c r="E524">
        <v>72</v>
      </c>
      <c r="F524">
        <v>15</v>
      </c>
      <c r="G524">
        <v>11.5</v>
      </c>
      <c r="H524">
        <v>7</v>
      </c>
      <c r="J524">
        <v>30</v>
      </c>
      <c r="L524">
        <v>5</v>
      </c>
      <c r="O524" s="62">
        <f>Rohrschellen_DK[[#This Row],[s/sC]]+Rohrschellen_DK[[#This Row],[f]]+Rohrschellen_DK[[#This Row],[s/sC]]</f>
        <v>17</v>
      </c>
    </row>
    <row r="525" spans="2:34">
      <c r="B525">
        <v>32</v>
      </c>
      <c r="C525" t="s">
        <v>461</v>
      </c>
      <c r="D525">
        <v>43</v>
      </c>
      <c r="E525">
        <v>82</v>
      </c>
      <c r="F525">
        <v>15</v>
      </c>
      <c r="G525">
        <v>11.5</v>
      </c>
      <c r="H525">
        <v>7</v>
      </c>
      <c r="J525">
        <v>30</v>
      </c>
      <c r="L525">
        <v>5</v>
      </c>
      <c r="O525" s="61">
        <f>Rohrschellen_DK[[#This Row],[s/sC]]+Rohrschellen_DK[[#This Row],[f]]+Rohrschellen_DK[[#This Row],[s/sC]]</f>
        <v>17</v>
      </c>
    </row>
    <row r="526" spans="2:34">
      <c r="B526">
        <v>40</v>
      </c>
      <c r="C526" t="s">
        <v>462</v>
      </c>
      <c r="D526">
        <v>49</v>
      </c>
      <c r="E526">
        <v>88</v>
      </c>
      <c r="F526">
        <v>15</v>
      </c>
      <c r="G526">
        <v>11.5</v>
      </c>
      <c r="H526">
        <v>7</v>
      </c>
      <c r="J526">
        <v>30</v>
      </c>
      <c r="L526">
        <v>5</v>
      </c>
      <c r="O526" s="62">
        <f>Rohrschellen_DK[[#This Row],[s/sC]]+Rohrschellen_DK[[#This Row],[f]]+Rohrschellen_DK[[#This Row],[s/sC]]</f>
        <v>17</v>
      </c>
    </row>
    <row r="527" spans="2:34">
      <c r="B527">
        <v>50</v>
      </c>
      <c r="C527" t="s">
        <v>463</v>
      </c>
      <c r="D527">
        <v>61</v>
      </c>
      <c r="E527">
        <v>108</v>
      </c>
      <c r="F527">
        <v>18</v>
      </c>
      <c r="G527">
        <v>14</v>
      </c>
      <c r="H527">
        <v>9</v>
      </c>
      <c r="J527">
        <v>40</v>
      </c>
      <c r="L527">
        <v>6</v>
      </c>
      <c r="O527" s="61">
        <f>Rohrschellen_DK[[#This Row],[s/sC]]+Rohrschellen_DK[[#This Row],[f]]+Rohrschellen_DK[[#This Row],[s/sC]]</f>
        <v>21</v>
      </c>
    </row>
    <row r="528" spans="2:34">
      <c r="B528">
        <v>65</v>
      </c>
      <c r="C528" t="s">
        <v>464</v>
      </c>
      <c r="D528">
        <v>77</v>
      </c>
      <c r="E528">
        <v>122</v>
      </c>
      <c r="F528">
        <v>18</v>
      </c>
      <c r="G528">
        <v>14</v>
      </c>
      <c r="H528">
        <v>9</v>
      </c>
      <c r="J528">
        <v>40</v>
      </c>
      <c r="L528">
        <v>6</v>
      </c>
      <c r="O528" s="62">
        <f>Rohrschellen_DK[[#This Row],[s/sC]]+Rohrschellen_DK[[#This Row],[f]]+Rohrschellen_DK[[#This Row],[s/sC]]</f>
        <v>21</v>
      </c>
    </row>
    <row r="529" spans="2:18">
      <c r="B529">
        <v>80</v>
      </c>
      <c r="C529" t="s">
        <v>465</v>
      </c>
      <c r="D529">
        <v>89</v>
      </c>
      <c r="E529">
        <v>136</v>
      </c>
      <c r="F529">
        <v>18</v>
      </c>
      <c r="G529">
        <v>14</v>
      </c>
      <c r="H529">
        <v>9</v>
      </c>
      <c r="J529">
        <v>40</v>
      </c>
      <c r="L529">
        <v>6</v>
      </c>
      <c r="O529" s="61">
        <f>Rohrschellen_DK[[#This Row],[s/sC]]+Rohrschellen_DK[[#This Row],[f]]+Rohrschellen_DK[[#This Row],[s/sC]]</f>
        <v>21</v>
      </c>
    </row>
    <row r="530" spans="2:18">
      <c r="B530">
        <v>100</v>
      </c>
      <c r="C530" t="s">
        <v>466</v>
      </c>
      <c r="D530">
        <v>115</v>
      </c>
      <c r="E530">
        <v>178</v>
      </c>
      <c r="F530">
        <v>24</v>
      </c>
      <c r="G530">
        <v>18</v>
      </c>
      <c r="H530">
        <v>11</v>
      </c>
      <c r="J530">
        <v>50</v>
      </c>
      <c r="L530">
        <v>8</v>
      </c>
      <c r="O530" s="60">
        <f>Rohrschellen_DK[[#This Row],[s/sC]]+Rohrschellen_DK[[#This Row],[f]]+Rohrschellen_DK[[#This Row],[s/sC]]</f>
        <v>27</v>
      </c>
    </row>
    <row r="531" spans="2:18">
      <c r="B531">
        <v>125</v>
      </c>
      <c r="C531" t="s">
        <v>467</v>
      </c>
      <c r="D531">
        <v>140</v>
      </c>
      <c r="E531">
        <v>204</v>
      </c>
      <c r="F531">
        <v>24</v>
      </c>
      <c r="G531">
        <v>18</v>
      </c>
      <c r="H531">
        <v>11</v>
      </c>
      <c r="J531">
        <v>50</v>
      </c>
      <c r="L531">
        <v>8</v>
      </c>
      <c r="O531" s="61">
        <f>Rohrschellen_DK[[#This Row],[s/sC]]+Rohrschellen_DK[[#This Row],[f]]+Rohrschellen_DK[[#This Row],[s/sC]]</f>
        <v>27</v>
      </c>
    </row>
    <row r="532" spans="2:18">
      <c r="B532">
        <v>150</v>
      </c>
      <c r="C532" t="s">
        <v>468</v>
      </c>
      <c r="D532">
        <v>169</v>
      </c>
      <c r="E532">
        <v>232</v>
      </c>
      <c r="F532">
        <v>24</v>
      </c>
      <c r="G532">
        <v>18</v>
      </c>
      <c r="H532">
        <v>11</v>
      </c>
      <c r="J532">
        <v>50</v>
      </c>
      <c r="L532">
        <v>8</v>
      </c>
      <c r="O532" s="60">
        <f>Rohrschellen_DK[[#This Row],[s/sC]]+Rohrschellen_DK[[#This Row],[f]]+Rohrschellen_DK[[#This Row],[s/sC]]</f>
        <v>27</v>
      </c>
    </row>
    <row r="533" spans="2:18">
      <c r="B533">
        <v>200</v>
      </c>
      <c r="C533" t="s">
        <v>469</v>
      </c>
      <c r="D533">
        <v>220</v>
      </c>
      <c r="E533">
        <v>284</v>
      </c>
      <c r="F533">
        <v>24</v>
      </c>
      <c r="G533">
        <v>18</v>
      </c>
      <c r="H533">
        <v>11</v>
      </c>
      <c r="J533">
        <v>50</v>
      </c>
      <c r="L533">
        <v>8</v>
      </c>
      <c r="O533" s="61">
        <f>Rohrschellen_DK[[#This Row],[s/sC]]+Rohrschellen_DK[[#This Row],[f]]+Rohrschellen_DK[[#This Row],[s/sC]]</f>
        <v>27</v>
      </c>
    </row>
    <row r="534" spans="2:18">
      <c r="B534">
        <v>250</v>
      </c>
      <c r="C534" t="s">
        <v>470</v>
      </c>
      <c r="D534">
        <v>273</v>
      </c>
      <c r="E534">
        <v>348</v>
      </c>
      <c r="F534">
        <v>30</v>
      </c>
      <c r="G534">
        <v>23</v>
      </c>
      <c r="H534">
        <v>14</v>
      </c>
      <c r="J534">
        <v>60</v>
      </c>
      <c r="L534">
        <v>8</v>
      </c>
      <c r="O534" s="60">
        <f>Rohrschellen_DK[[#This Row],[s/sC]]+Rohrschellen_DK[[#This Row],[f]]+Rohrschellen_DK[[#This Row],[s/sC]]</f>
        <v>30</v>
      </c>
    </row>
    <row r="535" spans="2:18">
      <c r="B535">
        <v>300</v>
      </c>
      <c r="C535" t="s">
        <v>471</v>
      </c>
      <c r="D535">
        <v>324</v>
      </c>
      <c r="E535">
        <v>398</v>
      </c>
      <c r="F535">
        <v>30</v>
      </c>
      <c r="G535">
        <v>23</v>
      </c>
      <c r="H535">
        <v>14</v>
      </c>
      <c r="J535">
        <v>60</v>
      </c>
      <c r="L535">
        <v>8</v>
      </c>
      <c r="O535" s="61">
        <f>Rohrschellen_DK[[#This Row],[s/sC]]+Rohrschellen_DK[[#This Row],[f]]+Rohrschellen_DK[[#This Row],[s/sC]]</f>
        <v>30</v>
      </c>
    </row>
    <row r="536" spans="2:18">
      <c r="B536">
        <v>350</v>
      </c>
      <c r="C536" t="s">
        <v>472</v>
      </c>
      <c r="D536">
        <v>356</v>
      </c>
      <c r="E536">
        <v>444</v>
      </c>
      <c r="F536">
        <v>30</v>
      </c>
      <c r="G536">
        <v>23</v>
      </c>
      <c r="H536">
        <v>14</v>
      </c>
      <c r="J536">
        <v>60</v>
      </c>
      <c r="L536">
        <v>8</v>
      </c>
      <c r="O536" s="60">
        <f>Rohrschellen_DK[[#This Row],[s/sC]]+Rohrschellen_DK[[#This Row],[f]]+Rohrschellen_DK[[#This Row],[s/sC]]</f>
        <v>30</v>
      </c>
    </row>
    <row r="537" spans="2:18">
      <c r="B537">
        <v>400</v>
      </c>
      <c r="C537" t="s">
        <v>473</v>
      </c>
      <c r="D537">
        <v>407</v>
      </c>
      <c r="E537">
        <v>498</v>
      </c>
      <c r="F537">
        <v>36</v>
      </c>
      <c r="G537">
        <v>27</v>
      </c>
      <c r="H537">
        <v>18</v>
      </c>
      <c r="J537">
        <v>70</v>
      </c>
      <c r="L537">
        <v>10</v>
      </c>
      <c r="O537" s="61">
        <f>Rohrschellen_DK[[#This Row],[s/sC]]+Rohrschellen_DK[[#This Row],[f]]+Rohrschellen_DK[[#This Row],[s/sC]]</f>
        <v>38</v>
      </c>
    </row>
    <row r="538" spans="2:18">
      <c r="B538">
        <v>450</v>
      </c>
      <c r="C538" t="s">
        <v>40</v>
      </c>
      <c r="D538">
        <v>456</v>
      </c>
      <c r="E538">
        <v>548</v>
      </c>
      <c r="F538">
        <v>36</v>
      </c>
      <c r="G538">
        <v>27</v>
      </c>
      <c r="H538">
        <v>18</v>
      </c>
      <c r="J538">
        <v>70</v>
      </c>
      <c r="L538">
        <v>10</v>
      </c>
      <c r="O538" s="60">
        <f>Rohrschellen_DK[[#This Row],[s/sC]]+Rohrschellen_DK[[#This Row],[f]]+Rohrschellen_DK[[#This Row],[s/sC]]</f>
        <v>38</v>
      </c>
    </row>
    <row r="539" spans="2:18">
      <c r="B539">
        <v>500</v>
      </c>
      <c r="C539" t="s">
        <v>474</v>
      </c>
      <c r="D539">
        <v>508</v>
      </c>
      <c r="E539">
        <v>614</v>
      </c>
      <c r="F539">
        <v>36</v>
      </c>
      <c r="G539">
        <v>27</v>
      </c>
      <c r="H539">
        <v>18</v>
      </c>
      <c r="J539">
        <v>70</v>
      </c>
      <c r="L539">
        <v>10</v>
      </c>
      <c r="O539" s="61">
        <f>Rohrschellen_DK[[#This Row],[s/sC]]+Rohrschellen_DK[[#This Row],[f]]+Rohrschellen_DK[[#This Row],[s/sC]]</f>
        <v>38</v>
      </c>
    </row>
    <row r="540" spans="2:18">
      <c r="B540">
        <v>600</v>
      </c>
      <c r="C540" t="s">
        <v>458</v>
      </c>
      <c r="D540">
        <v>610</v>
      </c>
      <c r="E540">
        <v>700</v>
      </c>
      <c r="F540">
        <v>30</v>
      </c>
      <c r="G540">
        <v>23</v>
      </c>
      <c r="H540">
        <v>20</v>
      </c>
      <c r="J540">
        <v>120</v>
      </c>
      <c r="L540">
        <v>10</v>
      </c>
      <c r="O540">
        <v>150</v>
      </c>
      <c r="Q540">
        <v>40</v>
      </c>
      <c r="R540">
        <v>7</v>
      </c>
    </row>
    <row r="541" spans="2:18">
      <c r="B541">
        <v>700</v>
      </c>
      <c r="C541" t="s">
        <v>458</v>
      </c>
      <c r="D541">
        <v>711</v>
      </c>
      <c r="E541">
        <v>805</v>
      </c>
      <c r="F541">
        <v>30</v>
      </c>
      <c r="G541">
        <v>23</v>
      </c>
      <c r="H541">
        <v>20</v>
      </c>
      <c r="J541">
        <v>120</v>
      </c>
      <c r="L541">
        <v>10</v>
      </c>
      <c r="O541">
        <v>150</v>
      </c>
      <c r="Q541">
        <v>40</v>
      </c>
      <c r="R541">
        <v>7</v>
      </c>
    </row>
    <row r="542" spans="2:18">
      <c r="B542">
        <v>800</v>
      </c>
      <c r="C542" t="s">
        <v>458</v>
      </c>
      <c r="D542">
        <v>813</v>
      </c>
      <c r="E542">
        <v>905</v>
      </c>
      <c r="F542">
        <v>30</v>
      </c>
      <c r="G542">
        <v>23</v>
      </c>
      <c r="H542">
        <v>20</v>
      </c>
      <c r="J542">
        <v>120</v>
      </c>
      <c r="L542">
        <v>10</v>
      </c>
      <c r="O542">
        <v>150</v>
      </c>
      <c r="Q542">
        <v>40</v>
      </c>
      <c r="R542">
        <v>7</v>
      </c>
    </row>
    <row r="543" spans="2:18">
      <c r="B543">
        <v>900</v>
      </c>
      <c r="C543" t="s">
        <v>458</v>
      </c>
      <c r="D543">
        <v>915</v>
      </c>
      <c r="E543">
        <v>1010</v>
      </c>
      <c r="F543">
        <v>30</v>
      </c>
      <c r="G543">
        <v>23</v>
      </c>
      <c r="H543">
        <v>20</v>
      </c>
      <c r="J543">
        <v>120</v>
      </c>
      <c r="L543">
        <v>10</v>
      </c>
      <c r="O543">
        <v>150</v>
      </c>
      <c r="Q543">
        <v>40</v>
      </c>
      <c r="R543">
        <v>7</v>
      </c>
    </row>
    <row r="544" spans="2:18">
      <c r="B544">
        <v>1000</v>
      </c>
      <c r="C544" t="s">
        <v>458</v>
      </c>
      <c r="D544">
        <v>1016</v>
      </c>
      <c r="E544">
        <v>1110</v>
      </c>
      <c r="F544">
        <v>30</v>
      </c>
      <c r="G544">
        <v>23</v>
      </c>
      <c r="H544">
        <v>20</v>
      </c>
      <c r="J544">
        <v>120</v>
      </c>
      <c r="L544">
        <v>10</v>
      </c>
      <c r="O544">
        <v>150</v>
      </c>
      <c r="Q544">
        <v>40</v>
      </c>
      <c r="R544">
        <v>7</v>
      </c>
    </row>
    <row r="545" spans="2:18">
      <c r="B545">
        <v>1200</v>
      </c>
      <c r="C545" t="s">
        <v>458</v>
      </c>
      <c r="D545">
        <v>1220</v>
      </c>
      <c r="E545">
        <v>1320</v>
      </c>
      <c r="F545">
        <v>30</v>
      </c>
      <c r="G545">
        <v>23</v>
      </c>
      <c r="H545">
        <v>20</v>
      </c>
      <c r="J545">
        <v>120</v>
      </c>
      <c r="L545">
        <v>10</v>
      </c>
      <c r="O545">
        <v>150</v>
      </c>
      <c r="Q545">
        <v>40</v>
      </c>
      <c r="R545">
        <v>7</v>
      </c>
    </row>
    <row r="548" spans="2:18">
      <c r="B548" t="s">
        <v>485</v>
      </c>
      <c r="E548" t="s">
        <v>434</v>
      </c>
    </row>
    <row r="549" spans="2:18">
      <c r="B549" s="15" t="s">
        <v>89</v>
      </c>
      <c r="C549" t="s">
        <v>328</v>
      </c>
      <c r="D549" t="s">
        <v>330</v>
      </c>
      <c r="E549" t="s">
        <v>337</v>
      </c>
      <c r="F549" s="42" t="s">
        <v>329</v>
      </c>
      <c r="G549" s="42" t="s">
        <v>331</v>
      </c>
      <c r="H549" s="42" t="s">
        <v>332</v>
      </c>
      <c r="I549" s="42" t="s">
        <v>336</v>
      </c>
      <c r="J549" s="59" t="s">
        <v>486</v>
      </c>
      <c r="K549" s="59" t="s">
        <v>487</v>
      </c>
      <c r="L549" s="59" t="s">
        <v>488</v>
      </c>
      <c r="M549" s="59" t="s">
        <v>489</v>
      </c>
    </row>
    <row r="550" spans="2:18">
      <c r="B550" s="11">
        <v>15</v>
      </c>
      <c r="D550" s="71"/>
      <c r="E550" s="71"/>
      <c r="F550" s="71"/>
      <c r="G550" s="71"/>
      <c r="H550" s="71"/>
      <c r="I550" s="71"/>
      <c r="J550" s="60">
        <f>IF($D$1="FP",Stiffener_DK[[#This Row],[THK_DK_Fixed]],Stiffener_DK[[#This Row],[THK_DK_Slid]])</f>
        <v>0</v>
      </c>
      <c r="K550" s="60">
        <f>IF($D$1="FP",Stiffener_DK[[#This Row],[Bot_Dist_DK_Fixed]],Stiffener_DK[[#This Row],[Bot_Dist_DK_Slid]])</f>
        <v>0</v>
      </c>
      <c r="L550" s="60">
        <f>IF($D$1="FP",Stiffener_DK[[#This Row],[H_DK_Fixed]],Stiffener_DK[[#This Row],[Inset_DK_Slid]])</f>
        <v>0</v>
      </c>
      <c r="M550" s="60">
        <f>IF($D$1="FP",0,Stiffener_DK[[#This Row],[H_DK_Slid]])</f>
        <v>0</v>
      </c>
    </row>
    <row r="551" spans="2:18">
      <c r="B551" s="13">
        <v>20</v>
      </c>
      <c r="J551" s="61">
        <f>IF($D$1="FP",Stiffener_DK[[#This Row],[THK_DK_Fixed]],Stiffener_DK[[#This Row],[THK_DK_Slid]])</f>
        <v>0</v>
      </c>
      <c r="K551" s="61">
        <f>IF($D$1="FP",Stiffener_DK[[#This Row],[Bot_Dist_DK_Fixed]],Stiffener_DK[[#This Row],[Bot_Dist_DK_Slid]])</f>
        <v>0</v>
      </c>
      <c r="L551" s="61">
        <f>IF($D$1="FP",Stiffener_DK[[#This Row],[H_DK_Fixed]],Stiffener_DK[[#This Row],[Inset_DK_Slid]])</f>
        <v>0</v>
      </c>
      <c r="M551" s="61">
        <f>IF($D$1="FP",0,Stiffener_DK[[#This Row],[H_DK_Slid]])</f>
        <v>0</v>
      </c>
    </row>
    <row r="552" spans="2:18">
      <c r="B552" s="11">
        <v>25</v>
      </c>
      <c r="J552" s="62">
        <f>IF($D$1="FP",Stiffener_DK[[#This Row],[THK_DK_Fixed]],Stiffener_DK[[#This Row],[THK_DK_Slid]])</f>
        <v>0</v>
      </c>
      <c r="K552" s="62">
        <f>IF($D$1="FP",Stiffener_DK[[#This Row],[Bot_Dist_DK_Fixed]],Stiffener_DK[[#This Row],[Bot_Dist_DK_Slid]])</f>
        <v>0</v>
      </c>
      <c r="L552" s="62">
        <f>IF($D$1="FP",Stiffener_DK[[#This Row],[H_DK_Fixed]],Stiffener_DK[[#This Row],[Inset_DK_Slid]])</f>
        <v>0</v>
      </c>
      <c r="M552" s="62">
        <f>IF($D$1="FP",0,Stiffener_DK[[#This Row],[H_DK_Slid]])</f>
        <v>0</v>
      </c>
    </row>
    <row r="553" spans="2:18">
      <c r="B553" s="13">
        <v>32</v>
      </c>
      <c r="J553" s="61">
        <f>IF($D$1="FP",Stiffener_DK[[#This Row],[THK_DK_Fixed]],Stiffener_DK[[#This Row],[THK_DK_Slid]])</f>
        <v>0</v>
      </c>
      <c r="K553" s="61">
        <f>IF($D$1="FP",Stiffener_DK[[#This Row],[Bot_Dist_DK_Fixed]],Stiffener_DK[[#This Row],[Bot_Dist_DK_Slid]])</f>
        <v>0</v>
      </c>
      <c r="L553" s="61">
        <f>IF($D$1="FP",Stiffener_DK[[#This Row],[H_DK_Fixed]],Stiffener_DK[[#This Row],[Inset_DK_Slid]])</f>
        <v>0</v>
      </c>
      <c r="M553" s="61">
        <f>IF($D$1="FP",0,Stiffener_DK[[#This Row],[H_DK_Slid]])</f>
        <v>0</v>
      </c>
    </row>
    <row r="554" spans="2:18">
      <c r="B554" s="11">
        <v>40</v>
      </c>
      <c r="J554" s="62">
        <f>IF($D$1="FP",Stiffener_DK[[#This Row],[THK_DK_Fixed]],Stiffener_DK[[#This Row],[THK_DK_Slid]])</f>
        <v>0</v>
      </c>
      <c r="K554" s="62">
        <f>IF($D$1="FP",Stiffener_DK[[#This Row],[Bot_Dist_DK_Fixed]],Stiffener_DK[[#This Row],[Bot_Dist_DK_Slid]])</f>
        <v>0</v>
      </c>
      <c r="L554" s="62">
        <f>IF($D$1="FP",Stiffener_DK[[#This Row],[H_DK_Fixed]],Stiffener_DK[[#This Row],[Inset_DK_Slid]])</f>
        <v>0</v>
      </c>
      <c r="M554" s="62">
        <f>IF($D$1="FP",0,Stiffener_DK[[#This Row],[H_DK_Slid]])</f>
        <v>0</v>
      </c>
    </row>
    <row r="555" spans="2:18">
      <c r="B555" s="13">
        <v>50</v>
      </c>
      <c r="J555" s="61">
        <f>IF($D$1="FP",Stiffener_DK[[#This Row],[THK_DK_Fixed]],Stiffener_DK[[#This Row],[THK_DK_Slid]])</f>
        <v>0</v>
      </c>
      <c r="K555" s="61">
        <f>IF($D$1="FP",Stiffener_DK[[#This Row],[Bot_Dist_DK_Fixed]],Stiffener_DK[[#This Row],[Bot_Dist_DK_Slid]])</f>
        <v>0</v>
      </c>
      <c r="L555" s="61">
        <f>IF($D$1="FP",Stiffener_DK[[#This Row],[H_DK_Fixed]],Stiffener_DK[[#This Row],[Inset_DK_Slid]])</f>
        <v>0</v>
      </c>
      <c r="M555" s="61">
        <f>IF($D$1="FP",0,Stiffener_DK[[#This Row],[H_DK_Slid]])</f>
        <v>0</v>
      </c>
    </row>
    <row r="556" spans="2:18">
      <c r="B556" s="11">
        <v>65</v>
      </c>
      <c r="J556" s="62">
        <f>IF($D$1="FP",Stiffener_DK[[#This Row],[THK_DK_Fixed]],Stiffener_DK[[#This Row],[THK_DK_Slid]])</f>
        <v>0</v>
      </c>
      <c r="K556" s="62">
        <f>IF($D$1="FP",Stiffener_DK[[#This Row],[Bot_Dist_DK_Fixed]],Stiffener_DK[[#This Row],[Bot_Dist_DK_Slid]])</f>
        <v>0</v>
      </c>
      <c r="L556" s="62">
        <f>IF($D$1="FP",Stiffener_DK[[#This Row],[H_DK_Fixed]],Stiffener_DK[[#This Row],[Inset_DK_Slid]])</f>
        <v>0</v>
      </c>
      <c r="M556" s="62">
        <f>IF($D$1="FP",0,Stiffener_DK[[#This Row],[H_DK_Slid]])</f>
        <v>0</v>
      </c>
    </row>
    <row r="557" spans="2:18">
      <c r="B557" s="13">
        <v>80</v>
      </c>
      <c r="J557" s="61">
        <f>IF($D$1="FP",Stiffener_DK[[#This Row],[THK_DK_Fixed]],Stiffener_DK[[#This Row],[THK_DK_Slid]])</f>
        <v>0</v>
      </c>
      <c r="K557" s="61">
        <f>IF($D$1="FP",Stiffener_DK[[#This Row],[Bot_Dist_DK_Fixed]],Stiffener_DK[[#This Row],[Bot_Dist_DK_Slid]])</f>
        <v>0</v>
      </c>
      <c r="L557" s="61">
        <f>IF($D$1="FP",Stiffener_DK[[#This Row],[H_DK_Fixed]],Stiffener_DK[[#This Row],[Inset_DK_Slid]])</f>
        <v>0</v>
      </c>
      <c r="M557" s="61">
        <f>IF($D$1="FP",0,Stiffener_DK[[#This Row],[H_DK_Slid]])</f>
        <v>0</v>
      </c>
    </row>
    <row r="558" spans="2:18">
      <c r="B558" s="11">
        <v>100</v>
      </c>
      <c r="J558" s="62">
        <f>IF($D$1="FP",Stiffener_DK[[#This Row],[THK_DK_Fixed]],Stiffener_DK[[#This Row],[THK_DK_Slid]])</f>
        <v>0</v>
      </c>
      <c r="K558" s="62">
        <f>IF($D$1="FP",Stiffener_DK[[#This Row],[Bot_Dist_DK_Fixed]],Stiffener_DK[[#This Row],[Bot_Dist_DK_Slid]])</f>
        <v>0</v>
      </c>
      <c r="L558" s="62">
        <f>IF($D$1="FP",Stiffener_DK[[#This Row],[H_DK_Fixed]],Stiffener_DK[[#This Row],[Inset_DK_Slid]])</f>
        <v>0</v>
      </c>
      <c r="M558" s="62">
        <f>IF($D$1="FP",0,Stiffener_DK[[#This Row],[H_DK_Slid]])</f>
        <v>0</v>
      </c>
    </row>
    <row r="559" spans="2:18">
      <c r="B559" s="13">
        <v>125</v>
      </c>
      <c r="C559">
        <v>14</v>
      </c>
      <c r="D559">
        <v>20</v>
      </c>
      <c r="F559">
        <v>12</v>
      </c>
      <c r="G559">
        <v>35</v>
      </c>
      <c r="H559">
        <v>20</v>
      </c>
      <c r="I559">
        <v>100</v>
      </c>
      <c r="J559" s="61">
        <f>IF($D$1="FP",Stiffener_DK[[#This Row],[THK_DK_Fixed]],Stiffener_DK[[#This Row],[THK_DK_Slid]])</f>
        <v>12</v>
      </c>
      <c r="K559" s="61">
        <f>IF($D$1="FP",Stiffener_DK[[#This Row],[Bot_Dist_DK_Fixed]],Stiffener_DK[[#This Row],[Bot_Dist_DK_Slid]])</f>
        <v>35</v>
      </c>
      <c r="L559" s="61">
        <f>IF($D$1="FP",Stiffener_DK[[#This Row],[H_DK_Fixed]],Stiffener_DK[[#This Row],[Inset_DK_Slid]])</f>
        <v>20</v>
      </c>
      <c r="M559" s="61">
        <f>IF($D$1="FP",0,Stiffener_DK[[#This Row],[H_DK_Slid]])</f>
        <v>100</v>
      </c>
    </row>
    <row r="560" spans="2:18">
      <c r="B560" s="11">
        <v>150</v>
      </c>
      <c r="C560">
        <v>14</v>
      </c>
      <c r="D560">
        <v>20</v>
      </c>
      <c r="F560">
        <v>12</v>
      </c>
      <c r="G560">
        <v>35</v>
      </c>
      <c r="H560">
        <v>20</v>
      </c>
      <c r="I560">
        <v>100</v>
      </c>
      <c r="J560" s="62">
        <f>IF($D$1="FP",Stiffener_DK[[#This Row],[THK_DK_Fixed]],Stiffener_DK[[#This Row],[THK_DK_Slid]])</f>
        <v>12</v>
      </c>
      <c r="K560" s="62">
        <f>IF($D$1="FP",Stiffener_DK[[#This Row],[Bot_Dist_DK_Fixed]],Stiffener_DK[[#This Row],[Bot_Dist_DK_Slid]])</f>
        <v>35</v>
      </c>
      <c r="L560" s="62">
        <f>IF($D$1="FP",Stiffener_DK[[#This Row],[H_DK_Fixed]],Stiffener_DK[[#This Row],[Inset_DK_Slid]])</f>
        <v>20</v>
      </c>
      <c r="M560" s="62">
        <f>IF($D$1="FP",0,Stiffener_DK[[#This Row],[H_DK_Slid]])</f>
        <v>100</v>
      </c>
    </row>
    <row r="561" spans="2:13">
      <c r="B561" s="13">
        <v>200</v>
      </c>
      <c r="C561">
        <v>14</v>
      </c>
      <c r="D561">
        <v>20</v>
      </c>
      <c r="F561">
        <v>12</v>
      </c>
      <c r="G561">
        <v>35</v>
      </c>
      <c r="H561">
        <v>20</v>
      </c>
      <c r="I561">
        <v>100</v>
      </c>
      <c r="J561" s="61">
        <f>IF($D$1="FP",Stiffener_DK[[#This Row],[THK_DK_Fixed]],Stiffener_DK[[#This Row],[THK_DK_Slid]])</f>
        <v>12</v>
      </c>
      <c r="K561" s="61">
        <f>IF($D$1="FP",Stiffener_DK[[#This Row],[Bot_Dist_DK_Fixed]],Stiffener_DK[[#This Row],[Bot_Dist_DK_Slid]])</f>
        <v>35</v>
      </c>
      <c r="L561" s="61">
        <f>IF($D$1="FP",Stiffener_DK[[#This Row],[H_DK_Fixed]],Stiffener_DK[[#This Row],[Inset_DK_Slid]])</f>
        <v>20</v>
      </c>
      <c r="M561" s="61">
        <f>IF($D$1="FP",0,Stiffener_DK[[#This Row],[H_DK_Slid]])</f>
        <v>100</v>
      </c>
    </row>
    <row r="562" spans="2:13">
      <c r="B562" s="11">
        <v>250</v>
      </c>
      <c r="C562">
        <v>14</v>
      </c>
      <c r="D562">
        <v>20</v>
      </c>
      <c r="F562">
        <v>12</v>
      </c>
      <c r="G562">
        <v>35</v>
      </c>
      <c r="H562">
        <v>20</v>
      </c>
      <c r="I562">
        <v>100</v>
      </c>
      <c r="J562" s="62">
        <f>IF($D$1="FP",Stiffener_DK[[#This Row],[THK_DK_Fixed]],Stiffener_DK[[#This Row],[THK_DK_Slid]])</f>
        <v>12</v>
      </c>
      <c r="K562" s="62">
        <f>IF($D$1="FP",Stiffener_DK[[#This Row],[Bot_Dist_DK_Fixed]],Stiffener_DK[[#This Row],[Bot_Dist_DK_Slid]])</f>
        <v>35</v>
      </c>
      <c r="L562" s="62">
        <f>IF($D$1="FP",Stiffener_DK[[#This Row],[H_DK_Fixed]],Stiffener_DK[[#This Row],[Inset_DK_Slid]])</f>
        <v>20</v>
      </c>
      <c r="M562" s="62">
        <f>IF($D$1="FP",0,Stiffener_DK[[#This Row],[H_DK_Slid]])</f>
        <v>100</v>
      </c>
    </row>
    <row r="563" spans="2:13">
      <c r="B563" s="13">
        <v>300</v>
      </c>
      <c r="C563">
        <v>14</v>
      </c>
      <c r="D563">
        <v>30</v>
      </c>
      <c r="F563">
        <v>12</v>
      </c>
      <c r="G563">
        <v>24</v>
      </c>
      <c r="H563">
        <v>20</v>
      </c>
      <c r="I563">
        <v>100</v>
      </c>
      <c r="J563" s="61">
        <f>IF($D$1="FP",Stiffener_DK[[#This Row],[THK_DK_Fixed]],Stiffener_DK[[#This Row],[THK_DK_Slid]])</f>
        <v>12</v>
      </c>
      <c r="K563" s="61">
        <f>IF($D$1="FP",Stiffener_DK[[#This Row],[Bot_Dist_DK_Fixed]],Stiffener_DK[[#This Row],[Bot_Dist_DK_Slid]])</f>
        <v>24</v>
      </c>
      <c r="L563" s="61">
        <f>IF($D$1="FP",Stiffener_DK[[#This Row],[H_DK_Fixed]],Stiffener_DK[[#This Row],[Inset_DK_Slid]])</f>
        <v>20</v>
      </c>
      <c r="M563" s="61">
        <f>IF($D$1="FP",0,Stiffener_DK[[#This Row],[H_DK_Slid]])</f>
        <v>100</v>
      </c>
    </row>
    <row r="564" spans="2:13">
      <c r="B564" s="11">
        <v>350</v>
      </c>
      <c r="C564">
        <v>14</v>
      </c>
      <c r="D564">
        <v>30</v>
      </c>
      <c r="F564">
        <v>12</v>
      </c>
      <c r="G564">
        <v>24</v>
      </c>
      <c r="H564">
        <v>20</v>
      </c>
      <c r="I564">
        <v>100</v>
      </c>
      <c r="J564" s="62">
        <f>IF($D$1="FP",Stiffener_DK[[#This Row],[THK_DK_Fixed]],Stiffener_DK[[#This Row],[THK_DK_Slid]])</f>
        <v>12</v>
      </c>
      <c r="K564" s="62">
        <f>IF($D$1="FP",Stiffener_DK[[#This Row],[Bot_Dist_DK_Fixed]],Stiffener_DK[[#This Row],[Bot_Dist_DK_Slid]])</f>
        <v>24</v>
      </c>
      <c r="L564" s="62">
        <f>IF($D$1="FP",Stiffener_DK[[#This Row],[H_DK_Fixed]],Stiffener_DK[[#This Row],[Inset_DK_Slid]])</f>
        <v>20</v>
      </c>
      <c r="M564" s="62">
        <f>IF($D$1="FP",0,Stiffener_DK[[#This Row],[H_DK_Slid]])</f>
        <v>100</v>
      </c>
    </row>
    <row r="565" spans="2:13">
      <c r="B565" s="13">
        <v>400</v>
      </c>
      <c r="C565">
        <v>14</v>
      </c>
      <c r="D565">
        <v>30</v>
      </c>
      <c r="F565">
        <v>12</v>
      </c>
      <c r="G565">
        <v>24</v>
      </c>
      <c r="H565">
        <v>20</v>
      </c>
      <c r="I565">
        <v>100</v>
      </c>
      <c r="J565" s="61">
        <f>IF($D$1="FP",Stiffener_DK[[#This Row],[THK_DK_Fixed]],Stiffener_DK[[#This Row],[THK_DK_Slid]])</f>
        <v>12</v>
      </c>
      <c r="K565" s="61">
        <f>IF($D$1="FP",Stiffener_DK[[#This Row],[Bot_Dist_DK_Fixed]],Stiffener_DK[[#This Row],[Bot_Dist_DK_Slid]])</f>
        <v>24</v>
      </c>
      <c r="L565" s="61">
        <f>IF($D$1="FP",Stiffener_DK[[#This Row],[H_DK_Fixed]],Stiffener_DK[[#This Row],[Inset_DK_Slid]])</f>
        <v>20</v>
      </c>
      <c r="M565" s="61">
        <f>IF($D$1="FP",0,Stiffener_DK[[#This Row],[H_DK_Slid]])</f>
        <v>100</v>
      </c>
    </row>
    <row r="566" spans="2:13">
      <c r="B566" s="11">
        <v>450</v>
      </c>
      <c r="C566">
        <v>14</v>
      </c>
      <c r="D566">
        <v>30</v>
      </c>
      <c r="F566">
        <v>12</v>
      </c>
      <c r="G566">
        <v>24</v>
      </c>
      <c r="H566">
        <v>20</v>
      </c>
      <c r="I566">
        <v>100</v>
      </c>
      <c r="J566" s="62">
        <f>IF($D$1="FP",Stiffener_DK[[#This Row],[THK_DK_Fixed]],Stiffener_DK[[#This Row],[THK_DK_Slid]])</f>
        <v>12</v>
      </c>
      <c r="K566" s="62">
        <f>IF($D$1="FP",Stiffener_DK[[#This Row],[Bot_Dist_DK_Fixed]],Stiffener_DK[[#This Row],[Bot_Dist_DK_Slid]])</f>
        <v>24</v>
      </c>
      <c r="L566" s="62">
        <f>IF($D$1="FP",Stiffener_DK[[#This Row],[H_DK_Fixed]],Stiffener_DK[[#This Row],[Inset_DK_Slid]])</f>
        <v>20</v>
      </c>
      <c r="M566" s="62">
        <f>IF($D$1="FP",0,Stiffener_DK[[#This Row],[H_DK_Slid]])</f>
        <v>100</v>
      </c>
    </row>
    <row r="567" spans="2:13">
      <c r="B567" s="13">
        <v>500</v>
      </c>
      <c r="C567">
        <v>14</v>
      </c>
      <c r="D567">
        <v>30</v>
      </c>
      <c r="F567">
        <v>12</v>
      </c>
      <c r="G567">
        <v>24</v>
      </c>
      <c r="H567">
        <v>20</v>
      </c>
      <c r="I567">
        <v>100</v>
      </c>
      <c r="J567" s="61">
        <f>IF($D$1="FP",Stiffener_DK[[#This Row],[THK_DK_Fixed]],Stiffener_DK[[#This Row],[THK_DK_Slid]])</f>
        <v>12</v>
      </c>
      <c r="K567" s="61">
        <f>IF($D$1="FP",Stiffener_DK[[#This Row],[Bot_Dist_DK_Fixed]],Stiffener_DK[[#This Row],[Bot_Dist_DK_Slid]])</f>
        <v>24</v>
      </c>
      <c r="L567" s="61">
        <f>IF($D$1="FP",Stiffener_DK[[#This Row],[H_DK_Fixed]],Stiffener_DK[[#This Row],[Inset_DK_Slid]])</f>
        <v>20</v>
      </c>
      <c r="M567" s="61">
        <f>IF($D$1="FP",0,Stiffener_DK[[#This Row],[H_DK_Slid]])</f>
        <v>100</v>
      </c>
    </row>
    <row r="568" spans="2:13">
      <c r="B568" s="11">
        <v>600</v>
      </c>
      <c r="C568">
        <v>14</v>
      </c>
      <c r="D568">
        <v>30</v>
      </c>
      <c r="F568">
        <v>12</v>
      </c>
      <c r="G568">
        <v>24</v>
      </c>
      <c r="H568">
        <v>20</v>
      </c>
      <c r="I568">
        <v>100</v>
      </c>
      <c r="J568" s="62">
        <f>IF($D$1="FP",Stiffener_DK[[#This Row],[THK_DK_Fixed]],Stiffener_DK[[#This Row],[THK_DK_Slid]])</f>
        <v>12</v>
      </c>
      <c r="K568" s="62">
        <f>IF($D$1="FP",Stiffener_DK[[#This Row],[Bot_Dist_DK_Fixed]],Stiffener_DK[[#This Row],[Bot_Dist_DK_Slid]])</f>
        <v>24</v>
      </c>
      <c r="L568" s="62">
        <f>IF($D$1="FP",Stiffener_DK[[#This Row],[H_DK_Fixed]],Stiffener_DK[[#This Row],[Inset_DK_Slid]])</f>
        <v>20</v>
      </c>
      <c r="M568" s="62">
        <f>IF($D$1="FP",0,Stiffener_DK[[#This Row],[H_DK_Slid]])</f>
        <v>100</v>
      </c>
    </row>
    <row r="569" spans="2:13">
      <c r="B569" s="13">
        <v>700</v>
      </c>
      <c r="C569">
        <v>14</v>
      </c>
      <c r="D569">
        <v>30</v>
      </c>
      <c r="F569">
        <v>12</v>
      </c>
      <c r="G569">
        <v>24</v>
      </c>
      <c r="H569">
        <v>20</v>
      </c>
      <c r="I569">
        <v>100</v>
      </c>
      <c r="J569" s="61">
        <f>IF($D$1="FP",Stiffener_DK[[#This Row],[THK_DK_Fixed]],Stiffener_DK[[#This Row],[THK_DK_Slid]])</f>
        <v>12</v>
      </c>
      <c r="K569" s="61">
        <f>IF($D$1="FP",Stiffener_DK[[#This Row],[Bot_Dist_DK_Fixed]],Stiffener_DK[[#This Row],[Bot_Dist_DK_Slid]])</f>
        <v>24</v>
      </c>
      <c r="L569" s="61">
        <f>IF($D$1="FP",Stiffener_DK[[#This Row],[H_DK_Fixed]],Stiffener_DK[[#This Row],[Inset_DK_Slid]])</f>
        <v>20</v>
      </c>
      <c r="M569" s="61">
        <f>IF($D$1="FP",0,Stiffener_DK[[#This Row],[H_DK_Slid]])</f>
        <v>100</v>
      </c>
    </row>
    <row r="570" spans="2:13">
      <c r="B570" s="11">
        <v>800</v>
      </c>
      <c r="C570">
        <v>14</v>
      </c>
      <c r="D570">
        <v>30</v>
      </c>
      <c r="F570">
        <v>12</v>
      </c>
      <c r="G570">
        <v>24</v>
      </c>
      <c r="H570">
        <v>20</v>
      </c>
      <c r="I570">
        <v>100</v>
      </c>
      <c r="J570" s="62">
        <f>IF($D$1="FP",Stiffener_DK[[#This Row],[THK_DK_Fixed]],Stiffener_DK[[#This Row],[THK_DK_Slid]])</f>
        <v>12</v>
      </c>
      <c r="K570" s="62">
        <f>IF($D$1="FP",Stiffener_DK[[#This Row],[Bot_Dist_DK_Fixed]],Stiffener_DK[[#This Row],[Bot_Dist_DK_Slid]])</f>
        <v>24</v>
      </c>
      <c r="L570" s="62">
        <f>IF($D$1="FP",Stiffener_DK[[#This Row],[H_DK_Fixed]],Stiffener_DK[[#This Row],[Inset_DK_Slid]])</f>
        <v>20</v>
      </c>
      <c r="M570" s="62">
        <f>IF($D$1="FP",0,Stiffener_DK[[#This Row],[H_DK_Slid]])</f>
        <v>100</v>
      </c>
    </row>
    <row r="571" spans="2:13">
      <c r="B571" s="13">
        <v>900</v>
      </c>
      <c r="C571">
        <v>14</v>
      </c>
      <c r="D571">
        <v>30</v>
      </c>
      <c r="F571">
        <v>12</v>
      </c>
      <c r="G571">
        <v>24</v>
      </c>
      <c r="H571">
        <v>20</v>
      </c>
      <c r="I571">
        <v>100</v>
      </c>
      <c r="J571" s="61">
        <f>IF($D$1="FP",Stiffener_DK[[#This Row],[THK_DK_Fixed]],Stiffener_DK[[#This Row],[THK_DK_Slid]])</f>
        <v>12</v>
      </c>
      <c r="K571" s="61">
        <f>IF($D$1="FP",Stiffener_DK[[#This Row],[Bot_Dist_DK_Fixed]],Stiffener_DK[[#This Row],[Bot_Dist_DK_Slid]])</f>
        <v>24</v>
      </c>
      <c r="L571" s="61">
        <f>IF($D$1="FP",Stiffener_DK[[#This Row],[H_DK_Fixed]],Stiffener_DK[[#This Row],[Inset_DK_Slid]])</f>
        <v>20</v>
      </c>
      <c r="M571" s="61">
        <f>IF($D$1="FP",0,Stiffener_DK[[#This Row],[H_DK_Slid]])</f>
        <v>100</v>
      </c>
    </row>
    <row r="572" spans="2:13">
      <c r="B572" s="11">
        <v>1000</v>
      </c>
      <c r="C572">
        <v>14</v>
      </c>
      <c r="D572">
        <v>30</v>
      </c>
      <c r="F572">
        <v>12</v>
      </c>
      <c r="G572">
        <v>24</v>
      </c>
      <c r="H572">
        <v>20</v>
      </c>
      <c r="I572">
        <v>100</v>
      </c>
      <c r="J572" s="62">
        <f>IF($D$1="FP",Stiffener_DK[[#This Row],[THK_DK_Fixed]],Stiffener_DK[[#This Row],[THK_DK_Slid]])</f>
        <v>12</v>
      </c>
      <c r="K572" s="62">
        <f>IF($D$1="FP",Stiffener_DK[[#This Row],[Bot_Dist_DK_Fixed]],Stiffener_DK[[#This Row],[Bot_Dist_DK_Slid]])</f>
        <v>24</v>
      </c>
      <c r="L572" s="62">
        <f>IF($D$1="FP",Stiffener_DK[[#This Row],[H_DK_Fixed]],Stiffener_DK[[#This Row],[Inset_DK_Slid]])</f>
        <v>20</v>
      </c>
      <c r="M572" s="62">
        <f>IF($D$1="FP",0,Stiffener_DK[[#This Row],[H_DK_Slid]])</f>
        <v>100</v>
      </c>
    </row>
    <row r="573" spans="2:13">
      <c r="B573" s="13">
        <v>1200</v>
      </c>
      <c r="C573">
        <v>14</v>
      </c>
      <c r="D573">
        <v>30</v>
      </c>
      <c r="F573">
        <v>12</v>
      </c>
      <c r="G573">
        <v>24</v>
      </c>
      <c r="H573">
        <v>20</v>
      </c>
      <c r="I573">
        <v>100</v>
      </c>
      <c r="J573" s="54">
        <f>IF($D$1="FP",Stiffener_DK[[#This Row],[THK_DK_Fixed]],Stiffener_DK[[#This Row],[THK_DK_Slid]])</f>
        <v>12</v>
      </c>
      <c r="K573" s="54">
        <f>IF($D$1="FP",Stiffener_DK[[#This Row],[Bot_Dist_DK_Fixed]],Stiffener_DK[[#This Row],[Bot_Dist_DK_Slid]])</f>
        <v>24</v>
      </c>
      <c r="L573" s="54">
        <f>IF($D$1="FP",Stiffener_DK[[#This Row],[H_DK_Fixed]],Stiffener_DK[[#This Row],[Inset_DK_Slid]])</f>
        <v>20</v>
      </c>
      <c r="M573" s="54">
        <f>IF($D$1="FP",0,Stiffener_DK[[#This Row],[H_DK_Slid]])</f>
        <v>100</v>
      </c>
    </row>
    <row r="576" spans="2:13">
      <c r="B576" t="s">
        <v>806</v>
      </c>
    </row>
    <row r="577" spans="2:11">
      <c r="B577" s="15" t="s">
        <v>89</v>
      </c>
      <c r="C577" t="s">
        <v>807</v>
      </c>
      <c r="D577" t="s">
        <v>808</v>
      </c>
      <c r="E577" t="s">
        <v>809</v>
      </c>
      <c r="F577" t="s">
        <v>810</v>
      </c>
      <c r="G577" t="s">
        <v>811</v>
      </c>
      <c r="H577" t="s">
        <v>812</v>
      </c>
      <c r="I577" t="s">
        <v>813</v>
      </c>
      <c r="J577" t="s">
        <v>814</v>
      </c>
      <c r="K577" t="s">
        <v>815</v>
      </c>
    </row>
    <row r="578" spans="2:11">
      <c r="B578" s="11">
        <v>15</v>
      </c>
      <c r="C578">
        <v>0.7</v>
      </c>
      <c r="D578">
        <v>1.4</v>
      </c>
      <c r="E578">
        <v>2.4</v>
      </c>
      <c r="F578" s="1">
        <f>Lasten_DK[[#This Row],[FPX]]</f>
        <v>0.7</v>
      </c>
      <c r="G578" s="1">
        <f>Lasten_DK[[#This Row],[FPY]]</f>
        <v>1.4</v>
      </c>
      <c r="H578" s="1">
        <f>Lasten_DK[[#This Row],[FPZ]]</f>
        <v>2.4</v>
      </c>
      <c r="I578">
        <f>IF($D$1="FP",Lasten_DK[[#This Row],[FPX]],Lasten_DK[[#This Row],[ALLX]])</f>
        <v>0.7</v>
      </c>
      <c r="J578">
        <f>IF($D$1="FP",Lasten_DK[[#This Row],[FPY]],Lasten_DK[[#This Row],[ALLY]])</f>
        <v>1.4</v>
      </c>
      <c r="K578">
        <f>IF($D$1="FP",Lasten_DK[[#This Row],[FPZ]],Lasten_DK[[#This Row],[ALLZ]])</f>
        <v>2.4</v>
      </c>
    </row>
    <row r="579" spans="2:11">
      <c r="B579" s="13">
        <v>20</v>
      </c>
      <c r="C579">
        <v>0.9</v>
      </c>
      <c r="D579">
        <v>1.9</v>
      </c>
      <c r="E579">
        <v>3.1</v>
      </c>
      <c r="F579" s="1">
        <f>Lasten_DK[[#This Row],[FPX]]</f>
        <v>0.9</v>
      </c>
      <c r="G579" s="1">
        <f>Lasten_DK[[#This Row],[FPY]]</f>
        <v>1.9</v>
      </c>
      <c r="H579" s="1">
        <f>Lasten_DK[[#This Row],[FPZ]]</f>
        <v>3.1</v>
      </c>
      <c r="I579">
        <f>IF($D$1="FP",Lasten_DK[[#This Row],[FPX]],Lasten_DK[[#This Row],[ALLX]])</f>
        <v>0.9</v>
      </c>
      <c r="J579">
        <f>IF($D$1="FP",Lasten_DK[[#This Row],[FPY]],Lasten_DK[[#This Row],[ALLY]])</f>
        <v>1.9</v>
      </c>
      <c r="K579">
        <f>IF($D$1="FP",Lasten_DK[[#This Row],[FPZ]],Lasten_DK[[#This Row],[ALLZ]])</f>
        <v>3.1</v>
      </c>
    </row>
    <row r="580" spans="2:11">
      <c r="B580" s="11">
        <v>25</v>
      </c>
      <c r="C580">
        <v>1.1000000000000001</v>
      </c>
      <c r="D580">
        <v>2.2999999999999998</v>
      </c>
      <c r="E580">
        <v>3.5</v>
      </c>
      <c r="F580" s="1">
        <f>Lasten_DK[[#This Row],[FPX]]</f>
        <v>1.1000000000000001</v>
      </c>
      <c r="G580" s="1">
        <f>Lasten_DK[[#This Row],[FPY]]</f>
        <v>2.2999999999999998</v>
      </c>
      <c r="H580" s="1">
        <f>Lasten_DK[[#This Row],[FPZ]]</f>
        <v>3.5</v>
      </c>
      <c r="I580">
        <f>IF($D$1="FP",Lasten_DK[[#This Row],[FPX]],Lasten_DK[[#This Row],[ALLX]])</f>
        <v>1.1000000000000001</v>
      </c>
      <c r="J580">
        <f>IF($D$1="FP",Lasten_DK[[#This Row],[FPY]],Lasten_DK[[#This Row],[ALLY]])</f>
        <v>2.2999999999999998</v>
      </c>
      <c r="K580">
        <f>IF($D$1="FP",Lasten_DK[[#This Row],[FPZ]],Lasten_DK[[#This Row],[ALLZ]])</f>
        <v>3.5</v>
      </c>
    </row>
    <row r="581" spans="2:11">
      <c r="B581" s="13">
        <v>32</v>
      </c>
      <c r="C581">
        <v>1.3</v>
      </c>
      <c r="D581">
        <v>3</v>
      </c>
      <c r="E581">
        <v>4.2</v>
      </c>
      <c r="F581" s="1">
        <f>Lasten_DK[[#This Row],[FPX]]</f>
        <v>1.3</v>
      </c>
      <c r="G581" s="1">
        <f>Lasten_DK[[#This Row],[FPY]]</f>
        <v>3</v>
      </c>
      <c r="H581" s="1">
        <f>Lasten_DK[[#This Row],[FPZ]]</f>
        <v>4.2</v>
      </c>
      <c r="I581">
        <f>IF($D$1="FP",Lasten_DK[[#This Row],[FPX]],Lasten_DK[[#This Row],[ALLX]])</f>
        <v>1.3</v>
      </c>
      <c r="J581">
        <f>IF($D$1="FP",Lasten_DK[[#This Row],[FPY]],Lasten_DK[[#This Row],[ALLY]])</f>
        <v>3</v>
      </c>
      <c r="K581">
        <f>IF($D$1="FP",Lasten_DK[[#This Row],[FPZ]],Lasten_DK[[#This Row],[ALLZ]])</f>
        <v>4.2</v>
      </c>
    </row>
    <row r="582" spans="2:11">
      <c r="B582" s="11">
        <v>40</v>
      </c>
      <c r="C582">
        <v>1.5</v>
      </c>
      <c r="D582">
        <v>3.7</v>
      </c>
      <c r="E582">
        <v>4.9000000000000004</v>
      </c>
      <c r="F582" s="1">
        <f>Lasten_DK[[#This Row],[FPX]]</f>
        <v>1.5</v>
      </c>
      <c r="G582" s="1">
        <f>Lasten_DK[[#This Row],[FPY]]</f>
        <v>3.7</v>
      </c>
      <c r="H582" s="1">
        <f>Lasten_DK[[#This Row],[FPZ]]</f>
        <v>4.9000000000000004</v>
      </c>
      <c r="I582">
        <f>IF($D$1="FP",Lasten_DK[[#This Row],[FPX]],Lasten_DK[[#This Row],[ALLX]])</f>
        <v>1.5</v>
      </c>
      <c r="J582">
        <f>IF($D$1="FP",Lasten_DK[[#This Row],[FPY]],Lasten_DK[[#This Row],[ALLY]])</f>
        <v>3.7</v>
      </c>
      <c r="K582">
        <f>IF($D$1="FP",Lasten_DK[[#This Row],[FPZ]],Lasten_DK[[#This Row],[ALLZ]])</f>
        <v>4.9000000000000004</v>
      </c>
    </row>
    <row r="583" spans="2:11">
      <c r="B583" s="13">
        <v>50</v>
      </c>
      <c r="C583">
        <v>1.8</v>
      </c>
      <c r="D583">
        <v>4.7</v>
      </c>
      <c r="E583">
        <v>5.9</v>
      </c>
      <c r="F583" s="1">
        <f>Lasten_DK[[#This Row],[FPX]]</f>
        <v>1.8</v>
      </c>
      <c r="G583" s="1">
        <f>Lasten_DK[[#This Row],[FPY]]</f>
        <v>4.7</v>
      </c>
      <c r="H583" s="1">
        <f>Lasten_DK[[#This Row],[FPZ]]</f>
        <v>5.9</v>
      </c>
      <c r="I583">
        <f>IF($D$1="FP",Lasten_DK[[#This Row],[FPX]],Lasten_DK[[#This Row],[ALLX]])</f>
        <v>1.8</v>
      </c>
      <c r="J583">
        <f>IF($D$1="FP",Lasten_DK[[#This Row],[FPY]],Lasten_DK[[#This Row],[ALLY]])</f>
        <v>4.7</v>
      </c>
      <c r="K583">
        <f>IF($D$1="FP",Lasten_DK[[#This Row],[FPZ]],Lasten_DK[[#This Row],[ALLZ]])</f>
        <v>5.9</v>
      </c>
    </row>
    <row r="584" spans="2:11">
      <c r="B584" s="11">
        <v>65</v>
      </c>
      <c r="C584">
        <v>2.2000000000000002</v>
      </c>
      <c r="D584">
        <v>6.1</v>
      </c>
      <c r="E584">
        <v>7.4</v>
      </c>
      <c r="F584" s="1">
        <f>Lasten_DK[[#This Row],[FPX]]</f>
        <v>2.2000000000000002</v>
      </c>
      <c r="G584" s="1">
        <f>Lasten_DK[[#This Row],[FPY]]</f>
        <v>6.1</v>
      </c>
      <c r="H584" s="1">
        <f>Lasten_DK[[#This Row],[FPZ]]</f>
        <v>7.4</v>
      </c>
      <c r="I584">
        <f>IF($D$1="FP",Lasten_DK[[#This Row],[FPX]],Lasten_DK[[#This Row],[ALLX]])</f>
        <v>2.2000000000000002</v>
      </c>
      <c r="J584">
        <f>IF($D$1="FP",Lasten_DK[[#This Row],[FPY]],Lasten_DK[[#This Row],[ALLY]])</f>
        <v>6.1</v>
      </c>
      <c r="K584">
        <f>IF($D$1="FP",Lasten_DK[[#This Row],[FPZ]],Lasten_DK[[#This Row],[ALLZ]])</f>
        <v>7.4</v>
      </c>
    </row>
    <row r="585" spans="2:11">
      <c r="B585" s="13">
        <v>80</v>
      </c>
      <c r="C585">
        <v>2.7</v>
      </c>
      <c r="D585">
        <v>7.5</v>
      </c>
      <c r="E585">
        <v>9</v>
      </c>
      <c r="F585" s="1">
        <f>Lasten_DK[[#This Row],[FPX]]</f>
        <v>2.7</v>
      </c>
      <c r="G585" s="1">
        <f>Lasten_DK[[#This Row],[FPY]]</f>
        <v>7.5</v>
      </c>
      <c r="H585" s="1">
        <f>Lasten_DK[[#This Row],[FPZ]]</f>
        <v>9</v>
      </c>
      <c r="I585">
        <f>IF($D$1="FP",Lasten_DK[[#This Row],[FPX]],Lasten_DK[[#This Row],[ALLX]])</f>
        <v>2.7</v>
      </c>
      <c r="J585">
        <f>IF($D$1="FP",Lasten_DK[[#This Row],[FPY]],Lasten_DK[[#This Row],[ALLY]])</f>
        <v>7.5</v>
      </c>
      <c r="K585">
        <f>IF($D$1="FP",Lasten_DK[[#This Row],[FPZ]],Lasten_DK[[#This Row],[ALLZ]])</f>
        <v>9</v>
      </c>
    </row>
    <row r="586" spans="2:11">
      <c r="B586" s="11">
        <v>100</v>
      </c>
      <c r="C586">
        <v>3.4</v>
      </c>
      <c r="D586">
        <v>9.3000000000000007</v>
      </c>
      <c r="E586">
        <v>11.2</v>
      </c>
      <c r="F586" s="1">
        <f>Lasten_DK[[#This Row],[FPX]]</f>
        <v>3.4</v>
      </c>
      <c r="G586" s="1">
        <f>Lasten_DK[[#This Row],[FPY]]</f>
        <v>9.3000000000000007</v>
      </c>
      <c r="H586" s="1">
        <f>Lasten_DK[[#This Row],[FPZ]]</f>
        <v>11.2</v>
      </c>
      <c r="I586">
        <f>IF($D$1="FP",Lasten_DK[[#This Row],[FPX]],Lasten_DK[[#This Row],[ALLX]])</f>
        <v>3.4</v>
      </c>
      <c r="J586">
        <f>IF($D$1="FP",Lasten_DK[[#This Row],[FPY]],Lasten_DK[[#This Row],[ALLY]])</f>
        <v>9.3000000000000007</v>
      </c>
      <c r="K586">
        <f>IF($D$1="FP",Lasten_DK[[#This Row],[FPZ]],Lasten_DK[[#This Row],[ALLZ]])</f>
        <v>11.2</v>
      </c>
    </row>
    <row r="587" spans="2:11">
      <c r="B587" s="13">
        <v>125</v>
      </c>
      <c r="C587">
        <v>23.3</v>
      </c>
      <c r="D587">
        <v>11.7</v>
      </c>
      <c r="E587">
        <v>14.4</v>
      </c>
      <c r="F587">
        <v>4.3</v>
      </c>
      <c r="G587">
        <v>11.7</v>
      </c>
      <c r="H587">
        <v>14.4</v>
      </c>
      <c r="I587">
        <f>IF($D$1="FP",Lasten_DK[[#This Row],[FPX]],Lasten_DK[[#This Row],[ALLX]])</f>
        <v>4.3</v>
      </c>
      <c r="J587">
        <f>IF($D$1="FP",Lasten_DK[[#This Row],[FPY]],Lasten_DK[[#This Row],[ALLY]])</f>
        <v>11.7</v>
      </c>
      <c r="K587">
        <f>IF($D$1="FP",Lasten_DK[[#This Row],[FPZ]],Lasten_DK[[#This Row],[ALLZ]])</f>
        <v>14.4</v>
      </c>
    </row>
    <row r="588" spans="2:11">
      <c r="B588" s="11">
        <v>150</v>
      </c>
      <c r="C588">
        <v>28</v>
      </c>
      <c r="D588">
        <v>14</v>
      </c>
      <c r="E588">
        <v>18.100000000000001</v>
      </c>
      <c r="F588">
        <v>5.4</v>
      </c>
      <c r="G588">
        <v>14</v>
      </c>
      <c r="H588">
        <v>18.100000000000001</v>
      </c>
      <c r="I588">
        <f>IF($D$1="FP",Lasten_DK[[#This Row],[FPX]],Lasten_DK[[#This Row],[ALLX]])</f>
        <v>5.4</v>
      </c>
      <c r="J588">
        <f>IF($D$1="FP",Lasten_DK[[#This Row],[FPY]],Lasten_DK[[#This Row],[ALLY]])</f>
        <v>14</v>
      </c>
      <c r="K588">
        <f>IF($D$1="FP",Lasten_DK[[#This Row],[FPZ]],Lasten_DK[[#This Row],[ALLZ]])</f>
        <v>18.100000000000001</v>
      </c>
    </row>
    <row r="589" spans="2:11">
      <c r="B589" s="13">
        <v>200</v>
      </c>
      <c r="C589">
        <v>37.299999999999997</v>
      </c>
      <c r="D589">
        <v>18.600000000000001</v>
      </c>
      <c r="E589">
        <v>26.1</v>
      </c>
      <c r="F589">
        <v>7.8</v>
      </c>
      <c r="G589">
        <v>18.600000000000001</v>
      </c>
      <c r="H589">
        <v>26.1</v>
      </c>
      <c r="I589">
        <f>IF($D$1="FP",Lasten_DK[[#This Row],[FPX]],Lasten_DK[[#This Row],[ALLX]])</f>
        <v>7.8</v>
      </c>
      <c r="J589">
        <f>IF($D$1="FP",Lasten_DK[[#This Row],[FPY]],Lasten_DK[[#This Row],[ALLY]])</f>
        <v>18.600000000000001</v>
      </c>
      <c r="K589">
        <f>IF($D$1="FP",Lasten_DK[[#This Row],[FPZ]],Lasten_DK[[#This Row],[ALLZ]])</f>
        <v>26.1</v>
      </c>
    </row>
    <row r="590" spans="2:11">
      <c r="B590" s="11">
        <v>250</v>
      </c>
      <c r="C590">
        <v>46.6</v>
      </c>
      <c r="D590">
        <v>23.3</v>
      </c>
      <c r="E590">
        <v>33.9</v>
      </c>
      <c r="F590">
        <v>10.199999999999999</v>
      </c>
      <c r="G590">
        <v>23.3</v>
      </c>
      <c r="H590">
        <v>33.9</v>
      </c>
      <c r="I590">
        <f>IF($D$1="FP",Lasten_DK[[#This Row],[FPX]],Lasten_DK[[#This Row],[ALLX]])</f>
        <v>10.199999999999999</v>
      </c>
      <c r="J590">
        <f>IF($D$1="FP",Lasten_DK[[#This Row],[FPY]],Lasten_DK[[#This Row],[ALLY]])</f>
        <v>23.3</v>
      </c>
      <c r="K590">
        <f>IF($D$1="FP",Lasten_DK[[#This Row],[FPZ]],Lasten_DK[[#This Row],[ALLZ]])</f>
        <v>33.9</v>
      </c>
    </row>
    <row r="591" spans="2:11">
      <c r="B591" s="13">
        <v>300</v>
      </c>
      <c r="C591">
        <v>55.9</v>
      </c>
      <c r="D591">
        <v>28</v>
      </c>
      <c r="E591">
        <v>42.2</v>
      </c>
      <c r="F591">
        <v>12.6</v>
      </c>
      <c r="G591">
        <v>28</v>
      </c>
      <c r="H591">
        <v>42.2</v>
      </c>
      <c r="I591">
        <f>IF($D$1="FP",Lasten_DK[[#This Row],[FPX]],Lasten_DK[[#This Row],[ALLX]])</f>
        <v>12.6</v>
      </c>
      <c r="J591">
        <f>IF($D$1="FP",Lasten_DK[[#This Row],[FPY]],Lasten_DK[[#This Row],[ALLY]])</f>
        <v>28</v>
      </c>
      <c r="K591">
        <f>IF($D$1="FP",Lasten_DK[[#This Row],[FPZ]],Lasten_DK[[#This Row],[ALLZ]])</f>
        <v>42.2</v>
      </c>
    </row>
    <row r="592" spans="2:11">
      <c r="B592" s="11">
        <v>350</v>
      </c>
      <c r="C592">
        <v>65.2</v>
      </c>
      <c r="D592">
        <v>32.6</v>
      </c>
      <c r="E592">
        <v>48.8</v>
      </c>
      <c r="F592">
        <v>14.6</v>
      </c>
      <c r="G592">
        <v>32.6</v>
      </c>
      <c r="H592">
        <v>48.8</v>
      </c>
      <c r="I592">
        <f>IF($D$1="FP",Lasten_DK[[#This Row],[FPX]],Lasten_DK[[#This Row],[ALLX]])</f>
        <v>14.6</v>
      </c>
      <c r="J592">
        <f>IF($D$1="FP",Lasten_DK[[#This Row],[FPY]],Lasten_DK[[#This Row],[ALLY]])</f>
        <v>32.6</v>
      </c>
      <c r="K592">
        <f>IF($D$1="FP",Lasten_DK[[#This Row],[FPZ]],Lasten_DK[[#This Row],[ALLZ]])</f>
        <v>48.8</v>
      </c>
    </row>
    <row r="593" spans="2:11">
      <c r="B593" s="13">
        <v>400</v>
      </c>
      <c r="C593">
        <v>74.599999999999994</v>
      </c>
      <c r="D593">
        <v>37.299999999999997</v>
      </c>
      <c r="E593">
        <v>57.5</v>
      </c>
      <c r="F593">
        <v>17.2</v>
      </c>
      <c r="G593">
        <v>37.299999999999997</v>
      </c>
      <c r="H593">
        <v>57.5</v>
      </c>
      <c r="I593">
        <f>IF($D$1="FP",Lasten_DK[[#This Row],[FPX]],Lasten_DK[[#This Row],[ALLX]])</f>
        <v>17.2</v>
      </c>
      <c r="J593">
        <f>IF($D$1="FP",Lasten_DK[[#This Row],[FPY]],Lasten_DK[[#This Row],[ALLY]])</f>
        <v>37.299999999999997</v>
      </c>
      <c r="K593">
        <f>IF($D$1="FP",Lasten_DK[[#This Row],[FPZ]],Lasten_DK[[#This Row],[ALLZ]])</f>
        <v>57.5</v>
      </c>
    </row>
    <row r="594" spans="2:11">
      <c r="B594" s="11">
        <v>450</v>
      </c>
      <c r="I594">
        <f>IF($D$1="FP",Lasten_DK[[#This Row],[FPX]],Lasten_DK[[#This Row],[ALLX]])</f>
        <v>0</v>
      </c>
      <c r="J594">
        <f>IF($D$1="FP",Lasten_DK[[#This Row],[FPY]],Lasten_DK[[#This Row],[ALLY]])</f>
        <v>0</v>
      </c>
      <c r="K594">
        <f>IF($D$1="FP",Lasten_DK[[#This Row],[FPZ]],Lasten_DK[[#This Row],[ALLZ]])</f>
        <v>0</v>
      </c>
    </row>
    <row r="595" spans="2:11">
      <c r="B595" s="13">
        <v>500</v>
      </c>
      <c r="C595">
        <v>93.2</v>
      </c>
      <c r="D595">
        <v>46.6</v>
      </c>
      <c r="E595">
        <v>75.400000000000006</v>
      </c>
      <c r="F595">
        <v>22.6</v>
      </c>
      <c r="G595">
        <v>46.6</v>
      </c>
      <c r="H595">
        <v>75.400000000000006</v>
      </c>
      <c r="I595">
        <f>IF($D$1="FP",Lasten_DK[[#This Row],[FPX]],Lasten_DK[[#This Row],[ALLX]])</f>
        <v>22.6</v>
      </c>
      <c r="J595">
        <f>IF($D$1="FP",Lasten_DK[[#This Row],[FPY]],Lasten_DK[[#This Row],[ALLY]])</f>
        <v>46.6</v>
      </c>
      <c r="K595">
        <f>IF($D$1="FP",Lasten_DK[[#This Row],[FPZ]],Lasten_DK[[#This Row],[ALLZ]])</f>
        <v>75.400000000000006</v>
      </c>
    </row>
    <row r="596" spans="2:11">
      <c r="B596" s="11">
        <v>600</v>
      </c>
      <c r="C596">
        <v>111.9</v>
      </c>
      <c r="D596">
        <v>55.9</v>
      </c>
      <c r="E596">
        <v>99.1</v>
      </c>
      <c r="F596">
        <v>29.7</v>
      </c>
      <c r="G596">
        <v>50</v>
      </c>
      <c r="H596">
        <v>99.1</v>
      </c>
      <c r="I596">
        <f>IF($D$1="FP",Lasten_DK[[#This Row],[FPX]],Lasten_DK[[#This Row],[ALLX]])</f>
        <v>29.7</v>
      </c>
      <c r="J596">
        <f>IF($D$1="FP",Lasten_DK[[#This Row],[FPY]],Lasten_DK[[#This Row],[ALLY]])</f>
        <v>50</v>
      </c>
      <c r="K596">
        <f>IF($D$1="FP",Lasten_DK[[#This Row],[FPZ]],Lasten_DK[[#This Row],[ALLZ]])</f>
        <v>99.1</v>
      </c>
    </row>
    <row r="597" spans="2:11">
      <c r="B597" s="13">
        <v>700</v>
      </c>
      <c r="C597">
        <v>130.5</v>
      </c>
      <c r="D597">
        <v>65.2</v>
      </c>
      <c r="E597">
        <v>120.6</v>
      </c>
      <c r="F597">
        <v>36.200000000000003</v>
      </c>
      <c r="G597">
        <v>50</v>
      </c>
      <c r="H597">
        <v>120.6</v>
      </c>
      <c r="I597">
        <f>IF($D$1="FP",Lasten_DK[[#This Row],[FPX]],Lasten_DK[[#This Row],[ALLX]])</f>
        <v>36.200000000000003</v>
      </c>
      <c r="J597">
        <f>IF($D$1="FP",Lasten_DK[[#This Row],[FPY]],Lasten_DK[[#This Row],[ALLY]])</f>
        <v>50</v>
      </c>
      <c r="K597">
        <f>IF($D$1="FP",Lasten_DK[[#This Row],[FPZ]],Lasten_DK[[#This Row],[ALLZ]])</f>
        <v>120.6</v>
      </c>
    </row>
    <row r="598" spans="2:11">
      <c r="B598" s="11">
        <v>800</v>
      </c>
      <c r="C598">
        <v>149.1</v>
      </c>
      <c r="D598">
        <v>74.599999999999994</v>
      </c>
      <c r="E598">
        <v>144.19999999999999</v>
      </c>
      <c r="F598">
        <v>43.3</v>
      </c>
      <c r="G598">
        <v>50</v>
      </c>
      <c r="H598">
        <v>144.19999999999999</v>
      </c>
      <c r="I598">
        <f>IF($D$1="FP",Lasten_DK[[#This Row],[FPX]],Lasten_DK[[#This Row],[ALLX]])</f>
        <v>43.3</v>
      </c>
      <c r="J598">
        <f>IF($D$1="FP",Lasten_DK[[#This Row],[FPY]],Lasten_DK[[#This Row],[ALLY]])</f>
        <v>50</v>
      </c>
      <c r="K598">
        <f>IF($D$1="FP",Lasten_DK[[#This Row],[FPZ]],Lasten_DK[[#This Row],[ALLZ]])</f>
        <v>144.19999999999999</v>
      </c>
    </row>
    <row r="599" spans="2:11">
      <c r="B599" s="13">
        <v>900</v>
      </c>
      <c r="C599">
        <v>167.8</v>
      </c>
      <c r="D599">
        <v>83.9</v>
      </c>
      <c r="E599">
        <v>170.8</v>
      </c>
      <c r="F599">
        <v>51.2</v>
      </c>
      <c r="G599">
        <v>50</v>
      </c>
      <c r="H599">
        <v>170.8</v>
      </c>
      <c r="I599">
        <f>IF($D$1="FP",Lasten_DK[[#This Row],[FPX]],Lasten_DK[[#This Row],[ALLX]])</f>
        <v>51.2</v>
      </c>
      <c r="J599">
        <f>IF($D$1="FP",Lasten_DK[[#This Row],[FPY]],Lasten_DK[[#This Row],[ALLY]])</f>
        <v>50</v>
      </c>
      <c r="K599">
        <f>IF($D$1="FP",Lasten_DK[[#This Row],[FPZ]],Lasten_DK[[#This Row],[ALLZ]])</f>
        <v>170.8</v>
      </c>
    </row>
    <row r="600" spans="2:11">
      <c r="B600" s="11">
        <v>1000</v>
      </c>
      <c r="C600">
        <v>186.4</v>
      </c>
      <c r="D600">
        <v>93.2</v>
      </c>
      <c r="E600">
        <v>195.8</v>
      </c>
      <c r="F600">
        <v>58.7</v>
      </c>
      <c r="G600">
        <v>50</v>
      </c>
      <c r="H600">
        <v>195.8</v>
      </c>
      <c r="I600">
        <f>IF($D$1="FP",Lasten_DK[[#This Row],[FPX]],Lasten_DK[[#This Row],[ALLX]])</f>
        <v>58.7</v>
      </c>
      <c r="J600">
        <f>IF($D$1="FP",Lasten_DK[[#This Row],[FPY]],Lasten_DK[[#This Row],[ALLY]])</f>
        <v>50</v>
      </c>
      <c r="K600">
        <f>IF($D$1="FP",Lasten_DK[[#This Row],[FPZ]],Lasten_DK[[#This Row],[ALLZ]])</f>
        <v>195.8</v>
      </c>
    </row>
    <row r="601" spans="2:11">
      <c r="B601" s="13">
        <v>1200</v>
      </c>
      <c r="C601">
        <v>186.4</v>
      </c>
      <c r="D601">
        <v>93.2</v>
      </c>
      <c r="E601">
        <v>195.8</v>
      </c>
      <c r="F601">
        <v>64.400000000000006</v>
      </c>
      <c r="G601">
        <v>50</v>
      </c>
      <c r="H601">
        <v>214.5</v>
      </c>
      <c r="I601">
        <f>IF($D$1="FP",Lasten_DK[[#This Row],[FPX]],Lasten_DK[[#This Row],[ALLX]])</f>
        <v>64.400000000000006</v>
      </c>
      <c r="J601">
        <f>IF($D$1="FP",Lasten_DK[[#This Row],[FPY]],Lasten_DK[[#This Row],[ALLY]])</f>
        <v>50</v>
      </c>
      <c r="K601">
        <f>IF($D$1="FP",Lasten_DK[[#This Row],[FPZ]],Lasten_DK[[#This Row],[ALLZ]])</f>
        <v>214.5</v>
      </c>
    </row>
  </sheetData>
  <phoneticPr fontId="2" type="noConversion"/>
  <dataValidations count="3">
    <dataValidation type="list" allowBlank="1" showInputMessage="1" showErrorMessage="1" sqref="D1" xr:uid="{41A4D9B4-6384-40D6-8FE2-A7CD274FBE79}">
      <formula1>$B$486:$B$489</formula1>
    </dataValidation>
    <dataValidation type="list" allowBlank="1" showInputMessage="1" showErrorMessage="1" sqref="B1" xr:uid="{414B32D7-21EC-4C42-8CC7-3412DABB1EEF}">
      <formula1>$G$486:$G$487</formula1>
    </dataValidation>
    <dataValidation type="list" allowBlank="1" showInputMessage="1" showErrorMessage="1" sqref="F1" xr:uid="{9AE980D3-0254-41E5-B24C-979A9CCE9956}">
      <formula1>$I$486:$I$487</formula1>
    </dataValidation>
  </dataValidations>
  <pageMargins left="0.7" right="0.7" top="0.78740157499999996" bottom="0.78740157499999996" header="0.3" footer="0.3"/>
  <pageSetup paperSize="9" orientation="portrait" r:id="rId1"/>
  <drawing r:id="rId2"/>
  <tableParts count="48"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BA93E-91EC-4634-8612-ED615FE23B73}">
  <dimension ref="A2:M41"/>
  <sheetViews>
    <sheetView workbookViewId="0">
      <selection activeCell="L23" sqref="L23"/>
    </sheetView>
    <sheetView workbookViewId="1"/>
    <sheetView workbookViewId="2"/>
  </sheetViews>
  <sheetFormatPr baseColWidth="10" defaultRowHeight="12.75"/>
  <cols>
    <col min="3" max="3" width="18.140625" bestFit="1" customWidth="1"/>
    <col min="4" max="4" width="17.7109375" bestFit="1" customWidth="1"/>
    <col min="5" max="5" width="33.140625" customWidth="1"/>
    <col min="6" max="6" width="35.140625" bestFit="1" customWidth="1"/>
    <col min="9" max="9" width="33.7109375" bestFit="1" customWidth="1"/>
    <col min="10" max="10" width="40.7109375" customWidth="1"/>
    <col min="11" max="11" width="79.7109375" customWidth="1"/>
  </cols>
  <sheetData>
    <row r="2" spans="2:13">
      <c r="B2" t="s">
        <v>575</v>
      </c>
    </row>
    <row r="3" spans="2:13">
      <c r="B3" t="s">
        <v>333</v>
      </c>
      <c r="C3" t="s">
        <v>566</v>
      </c>
      <c r="D3" t="s">
        <v>567</v>
      </c>
      <c r="F3" s="78" t="s">
        <v>594</v>
      </c>
      <c r="J3" t="s">
        <v>592</v>
      </c>
      <c r="M3" s="63" t="s">
        <v>845</v>
      </c>
    </row>
    <row r="4" spans="2:13">
      <c r="B4" t="s">
        <v>24</v>
      </c>
      <c r="C4" t="s">
        <v>568</v>
      </c>
      <c r="D4" t="s">
        <v>571</v>
      </c>
      <c r="F4" s="79" t="s">
        <v>769</v>
      </c>
      <c r="J4" t="s">
        <v>593</v>
      </c>
      <c r="M4" s="63" t="s">
        <v>846</v>
      </c>
    </row>
    <row r="5" spans="2:13">
      <c r="B5" t="s">
        <v>21</v>
      </c>
      <c r="C5" t="s">
        <v>565</v>
      </c>
      <c r="D5" t="s">
        <v>574</v>
      </c>
      <c r="M5" t="str">
        <f>IF(LSTWLD!$B$1="Carbon",M3,M4)</f>
        <v>/EuC-CATA-SUPP/COMMON/MATERIAL/C-Steel</v>
      </c>
    </row>
    <row r="6" spans="2:13">
      <c r="B6" t="s">
        <v>360</v>
      </c>
      <c r="C6" t="s">
        <v>569</v>
      </c>
      <c r="D6" t="s">
        <v>572</v>
      </c>
      <c r="F6" t="s">
        <v>531</v>
      </c>
    </row>
    <row r="7" spans="2:13">
      <c r="B7" t="s">
        <v>624</v>
      </c>
      <c r="C7" t="s">
        <v>570</v>
      </c>
      <c r="D7" t="s">
        <v>573</v>
      </c>
      <c r="G7" t="s">
        <v>844</v>
      </c>
    </row>
    <row r="9" spans="2:13">
      <c r="B9" t="s">
        <v>589</v>
      </c>
      <c r="K9" t="str">
        <f>L23</f>
        <v>/EuC-CATA-SUPP/COMMON/SB-HEAVY-D Rtext ( 'Slide support - for W&amp;P pipes - VP primary support drawing no. 1.31-0' + STR ( ATTRIB PARA[74 ] ) + ' - DN ' + STR ( ATTRIB PARA[1 ] ) + ' - Assembly per drawing no. 1.31-084150 - ') Stext ( 'Gleitlager - fuer W&amp;S Leitungen - VP Primaerhalter Zeichnungsnr. 1.31-0' + STR ( ATTRIB PARA[74 ] ) + ' - DN ' + STR ( ATTRIB PARA[1 ] ) + ' - Zusammenbau lt. Zng. Nr. 1.31-084150 - ')</v>
      </c>
    </row>
    <row r="10" spans="2:13">
      <c r="B10" s="77" t="str">
        <f>IF(LSTWLD!$D$1="PFP",B4,IF(LSTWLD!$D$1="FP",B5,IF(LSTWLD!$D$1="GB",B6,IF(LSTWLD!$D$1="GS",B7,""))))</f>
        <v>SB</v>
      </c>
      <c r="C10" s="77" t="str">
        <f>IF(LSTWLD!$D$1="PFP",C4,IF(LSTWLD!$D$1="FP",C5,IF(LSTWLD!$D$1="GB",C6,IF(LSTWLD!$D$1="GS",C7,""))))</f>
        <v>Slide support</v>
      </c>
      <c r="D10" s="77" t="str">
        <f>IF(LSTWLD!$D$1="PFP",D4,IF(LSTWLD!$D$1="FP",D5,IF(LSTWLD!$D$1="GB",D6,IF(LSTWLD!$D$1="GS",D7,""))))</f>
        <v>Gleitlager</v>
      </c>
      <c r="E10" t="str">
        <f>IF(LSTWLD!B1="Stainless","SS","CS")</f>
        <v>CS</v>
      </c>
      <c r="G10" t="s">
        <v>840</v>
      </c>
      <c r="H10" t="s">
        <v>837</v>
      </c>
      <c r="K10" t="str">
        <f>L30</f>
        <v>/EuC-CATA-SUPP/COMMON/SB-HEAVY-CAT-D Rtext ( 'Slide support - for W&amp;P pipes - VP primary support drawing no. 1.31-0' + STR ( ATTRIB PARA[74 ] ) + ' - DN ' + STR ( ATTRIB PARA[1 ] ) + ' - Assembly per drawing no. 1.31-084150 - Cat. II &amp; III') Stext ( 'Gleitlager - fuer W&amp;S Leitungen - VP Primaerhalter Zeichnungsnr. 1.31-0' + STR ( ATTRIB PARA[74 ] ) + ' - DN ' + STR ( ATTRIB PARA[1 ] ) + ' - Zusammenbau lt. Zng. Nr. 1.31-084150 - Kat. II &amp; III')</v>
      </c>
    </row>
    <row r="13" spans="2:13">
      <c r="B13" t="s">
        <v>576</v>
      </c>
    </row>
    <row r="14" spans="2:13">
      <c r="B14" s="17" t="s">
        <v>333</v>
      </c>
      <c r="C14" s="17" t="s">
        <v>583</v>
      </c>
      <c r="D14" t="s">
        <v>584</v>
      </c>
      <c r="E14" s="17" t="s">
        <v>585</v>
      </c>
      <c r="F14" s="17" t="s">
        <v>586</v>
      </c>
      <c r="G14" s="17" t="s">
        <v>587</v>
      </c>
      <c r="H14" s="17" t="s">
        <v>588</v>
      </c>
      <c r="I14" s="17" t="s">
        <v>616</v>
      </c>
      <c r="J14" s="17" t="s">
        <v>617</v>
      </c>
    </row>
    <row r="15" spans="2:13">
      <c r="B15" s="11" t="s">
        <v>841</v>
      </c>
      <c r="C15" t="s">
        <v>579</v>
      </c>
      <c r="D15" t="s">
        <v>581</v>
      </c>
      <c r="E15" t="s">
        <v>765</v>
      </c>
      <c r="F15" t="s">
        <v>766</v>
      </c>
      <c r="G15" t="s">
        <v>590</v>
      </c>
      <c r="H15" t="s">
        <v>591</v>
      </c>
      <c r="I15" t="s">
        <v>619</v>
      </c>
      <c r="J15" t="s">
        <v>621</v>
      </c>
    </row>
    <row r="16" spans="2:13">
      <c r="B16" s="13" t="s">
        <v>842</v>
      </c>
      <c r="C16" t="s">
        <v>580</v>
      </c>
      <c r="D16" t="s">
        <v>582</v>
      </c>
      <c r="E16" t="s">
        <v>765</v>
      </c>
      <c r="F16" t="s">
        <v>766</v>
      </c>
      <c r="G16" t="s">
        <v>590</v>
      </c>
      <c r="H16" t="s">
        <v>591</v>
      </c>
      <c r="I16" t="s">
        <v>618</v>
      </c>
      <c r="J16" t="s">
        <v>622</v>
      </c>
    </row>
    <row r="17" spans="1:12">
      <c r="B17" s="11" t="s">
        <v>602</v>
      </c>
      <c r="C17" t="s">
        <v>578</v>
      </c>
      <c r="D17" t="s">
        <v>577</v>
      </c>
      <c r="E17" t="s">
        <v>768</v>
      </c>
      <c r="F17" t="s">
        <v>767</v>
      </c>
      <c r="G17" t="s">
        <v>590</v>
      </c>
      <c r="H17" t="s">
        <v>591</v>
      </c>
      <c r="I17" t="s">
        <v>620</v>
      </c>
      <c r="J17" t="s">
        <v>623</v>
      </c>
    </row>
    <row r="18" spans="1:12">
      <c r="B18" s="21"/>
    </row>
    <row r="19" spans="1:12">
      <c r="B19" t="s">
        <v>589</v>
      </c>
      <c r="I19" s="80" t="str">
        <f>IF(LSTWLD!$F$1="leicht","light",IF(LSTWLD!$F$1="schwer","heavy",""))</f>
        <v>heavy</v>
      </c>
      <c r="K19" t="s">
        <v>597</v>
      </c>
    </row>
    <row r="20" spans="1:12">
      <c r="B20" s="77" t="str">
        <f>IF(LSTWLD!$F$1="leicht",B15,IF(LSTWLD!$F$1="schwer",B16,""))</f>
        <v>HEAVY</v>
      </c>
      <c r="C20" s="77" t="str">
        <f>IF(LSTWLD!$F$1="leicht",C15,IF(LSTWLD!$F$1="schwer",C16,""))</f>
        <v>for W&amp;P pipes</v>
      </c>
      <c r="D20" s="77" t="str">
        <f>IF(LSTWLD!$F$1="leicht",D15,IF(LSTWLD!$F$1="schwer",D16,""))</f>
        <v>fuer W&amp;S Leitungen</v>
      </c>
      <c r="E20" s="77" t="str">
        <f>IF(LSTWLD!$F$1="leicht",E15,IF(LSTWLD!$F$1="schwer",E16,""))</f>
        <v>VP primary support drawing no. 1.31-0</v>
      </c>
      <c r="F20" s="77" t="str">
        <f>IF(LSTWLD!$F$1="leicht",F15,IF(LSTWLD!$F$1="schwer",F16,""))</f>
        <v>VP Primaerhalter Zeichnungsnr. 1.31-0</v>
      </c>
      <c r="G20" s="77" t="str">
        <f>IF(LSTWLD!$F$1="leicht",G15,IF(LSTWLD!$F$1="schwer",G16,""))</f>
        <v>Cat. II &amp; III</v>
      </c>
      <c r="H20" s="77" t="str">
        <f>IF(LSTWLD!$F$1="leicht",H15,IF(LSTWLD!$F$1="schwer",H16,""))</f>
        <v>Kat. II &amp; III</v>
      </c>
      <c r="I20" s="77" t="str">
        <f>IF(LSTWLD!$F$1="leicht",I15,IF(LSTWLD!$F$1="schwer",I16,""))</f>
        <v>Assembly per drawing no. 1.31-084150</v>
      </c>
      <c r="J20" s="77" t="str">
        <f>IF(LSTWLD!$F$1="leicht",J15,IF(LSTWLD!$F$1="schwer",J16,""))</f>
        <v>Zusammenbau lt. Zng. Nr. 1.31-084150</v>
      </c>
      <c r="K20" s="78" t="str">
        <f>_xlfn.TEXTJOIN(" ",TRUE,$K$19,$B$10,I19,C20)</f>
        <v>Support, SB heavy for W&amp;P pipes</v>
      </c>
      <c r="L20" s="77" t="str">
        <f>"'"&amp;K20&amp;"'"</f>
        <v>'Support, SB heavy for W&amp;P pipes'</v>
      </c>
    </row>
    <row r="21" spans="1:12">
      <c r="B21" s="77" t="str">
        <f>B17</f>
        <v>SC</v>
      </c>
      <c r="C21" s="77" t="str">
        <f t="shared" ref="C21:H21" si="0">C17</f>
        <v>for S&amp;C pipes</v>
      </c>
      <c r="D21" s="77" t="str">
        <f t="shared" si="0"/>
        <v>fuer D&amp;K Leitungen</v>
      </c>
      <c r="E21" s="77" t="str">
        <f t="shared" si="0"/>
        <v>VP primary support drawing no. 1.32-</v>
      </c>
      <c r="F21" s="77" t="str">
        <f t="shared" si="0"/>
        <v>VP Primaerhalter Zeichnungsnr. 1.32-</v>
      </c>
      <c r="G21" s="77" t="str">
        <f t="shared" si="0"/>
        <v>Cat. II &amp; III</v>
      </c>
      <c r="H21" s="77" t="str">
        <f t="shared" si="0"/>
        <v>Kat. II &amp; III</v>
      </c>
      <c r="I21" s="77" t="str">
        <f t="shared" ref="I21:J21" si="1">I17</f>
        <v>Assembly per drawing no. 1.32-125634</v>
      </c>
      <c r="J21" s="77" t="str">
        <f t="shared" si="1"/>
        <v>Zusammenbau lt. Zng. Nr. 1.32-125634</v>
      </c>
      <c r="K21" s="78" t="str">
        <f>_xlfn.TEXTJOIN(" ",TRUE,$K$19,$B$10,C21)</f>
        <v>Support, SB for S&amp;C pipes</v>
      </c>
      <c r="L21" s="77" t="str">
        <f>"'"&amp;K21&amp;"'"</f>
        <v>'Support, SB for S&amp;C pipes'</v>
      </c>
    </row>
    <row r="22" spans="1:12">
      <c r="A22" t="s">
        <v>614</v>
      </c>
    </row>
    <row r="23" spans="1:12">
      <c r="A23" t="s">
        <v>612</v>
      </c>
      <c r="B23" s="80" t="str">
        <f>_xlfn.TEXTJOIN(" - ",FALSE,"Rtext ( '"&amp;$C$10,C20,E20&amp;$F$4,$F$3,$I$20,"')")</f>
        <v>Rtext ( 'Slide support - for W&amp;P pipes - VP primary support drawing no. 1.31-0' + STR ( ATTRIB PARA[74 ] ) + ' - DN ' + STR ( ATTRIB PARA[1 ] ) + ' - Assembly per drawing no. 1.31-084150 - ')</v>
      </c>
      <c r="K23" s="77" t="str">
        <f>$F$6&amp;$B$10&amp;"-"&amp;B20&amp;"-D"</f>
        <v>/EuC-CATA-SUPP/COMMON/SB-HEAVY-D</v>
      </c>
      <c r="L23" t="str">
        <f>K23&amp;" "&amp;B23&amp;" "&amp;B24</f>
        <v>/EuC-CATA-SUPP/COMMON/SB-HEAVY-D Rtext ( 'Slide support - for W&amp;P pipes - VP primary support drawing no. 1.31-0' + STR ( ATTRIB PARA[74 ] ) + ' - DN ' + STR ( ATTRIB PARA[1 ] ) + ' - Assembly per drawing no. 1.31-084150 - ') Stext ( 'Gleitlager - fuer W&amp;S Leitungen - VP Primaerhalter Zeichnungsnr. 1.31-0' + STR ( ATTRIB PARA[74 ] ) + ' - DN ' + STR ( ATTRIB PARA[1 ] ) + ' - Zusammenbau lt. Zng. Nr. 1.31-084150 - ')</v>
      </c>
    </row>
    <row r="24" spans="1:12">
      <c r="A24" t="s">
        <v>613</v>
      </c>
      <c r="B24" s="80" t="str">
        <f>_xlfn.TEXTJOIN(" - ",FALSE,"Stext ( '"&amp;$D$10,D20,F20&amp;$F$4,$F$3,$J$20,"')")</f>
        <v>Stext ( 'Gleitlager - fuer W&amp;S Leitungen - VP Primaerhalter Zeichnungsnr. 1.31-0' + STR ( ATTRIB PARA[74 ] ) + ' - DN ' + STR ( ATTRIB PARA[1 ] ) + ' - Zusammenbau lt. Zng. Nr. 1.31-084150 - ')</v>
      </c>
    </row>
    <row r="25" spans="1:12">
      <c r="A25" t="s">
        <v>602</v>
      </c>
    </row>
    <row r="26" spans="1:12">
      <c r="B26" s="80" t="str">
        <f>_xlfn.TEXTJOIN(" - ",FALSE,"Rtext ( '"&amp;$C$10,C21,E21&amp;$F$4,$F$3,$I$21,"')")</f>
        <v>Rtext ( 'Slide support - for S&amp;C pipes - VP primary support drawing no. 1.32-' + STR ( ATTRIB PARA[74 ] ) + ' - DN ' + STR ( ATTRIB PARA[1 ] ) + ' - Assembly per drawing no. 1.32-125634 - ')</v>
      </c>
      <c r="K26" s="80" t="str">
        <f>$F$6&amp;$B$10&amp;"-"&amp;B21&amp;"-D"</f>
        <v>/EuC-CATA-SUPP/COMMON/SB-SC-D</v>
      </c>
      <c r="L26" t="str">
        <f>K26&amp;" "&amp;B26&amp;" "&amp;B27</f>
        <v>/EuC-CATA-SUPP/COMMON/SB-SC-D Rtext ( 'Slide support - for S&amp;C pipes - VP primary support drawing no. 1.32-' + STR ( ATTRIB PARA[74 ] ) + ' - DN ' + STR ( ATTRIB PARA[1 ] ) + ' - Assembly per drawing no. 1.32-125634 - ') Stext ( 'Gleitlager - fuer D&amp;K Leitungen - VP Primaerhalter Zeichnungsnr. 1.32-' + STR ( ATTRIB PARA[74 ] ) + ' - DN ' + STR ( ATTRIB PARA[1 ] ) + ' - Zusammenbau lt. Zng. Nr. 1.32-125634 - ')</v>
      </c>
    </row>
    <row r="27" spans="1:12">
      <c r="B27" s="80" t="str">
        <f>_xlfn.TEXTJOIN(" - ",FALSE,"Stext ( '"&amp;$D$10,D21,F21&amp;$F$4,$F$3,$J$21,"')")</f>
        <v>Stext ( 'Gleitlager - fuer D&amp;K Leitungen - VP Primaerhalter Zeichnungsnr. 1.32-' + STR ( ATTRIB PARA[74 ] ) + ' - DN ' + STR ( ATTRIB PARA[1 ] ) + ' - Zusammenbau lt. Zng. Nr. 1.32-125634 - ')</v>
      </c>
    </row>
    <row r="28" spans="1:12">
      <c r="A28" t="s">
        <v>615</v>
      </c>
    </row>
    <row r="30" spans="1:12">
      <c r="B30" s="80" t="str">
        <f>_xlfn.TEXTJOIN(" - ",FALSE,"Rtext ( '"&amp;$C$10,C20,E20&amp;$F$4,$F$3,$I$20,G20&amp;"')")</f>
        <v>Rtext ( 'Slide support - for W&amp;P pipes - VP primary support drawing no. 1.31-0' + STR ( ATTRIB PARA[74 ] ) + ' - DN ' + STR ( ATTRIB PARA[1 ] ) + ' - Assembly per drawing no. 1.31-084150 - Cat. II &amp; III')</v>
      </c>
      <c r="K30" s="77" t="str">
        <f>$F$6&amp;$B$10&amp;"-"&amp;B20&amp;"-CAT"&amp;"-D"</f>
        <v>/EuC-CATA-SUPP/COMMON/SB-HEAVY-CAT-D</v>
      </c>
      <c r="L30" t="str">
        <f>K30&amp;" "&amp;B30&amp;" "&amp;B31</f>
        <v>/EuC-CATA-SUPP/COMMON/SB-HEAVY-CAT-D Rtext ( 'Slide support - for W&amp;P pipes - VP primary support drawing no. 1.31-0' + STR ( ATTRIB PARA[74 ] ) + ' - DN ' + STR ( ATTRIB PARA[1 ] ) + ' - Assembly per drawing no. 1.31-084150 - Cat. II &amp; III') Stext ( 'Gleitlager - fuer W&amp;S Leitungen - VP Primaerhalter Zeichnungsnr. 1.31-0' + STR ( ATTRIB PARA[74 ] ) + ' - DN ' + STR ( ATTRIB PARA[1 ] ) + ' - Zusammenbau lt. Zng. Nr. 1.31-084150 - Kat. II &amp; III')</v>
      </c>
    </row>
    <row r="31" spans="1:12">
      <c r="B31" s="80" t="str">
        <f>_xlfn.TEXTJOIN(" - ",FALSE,"Stext ( '"&amp;$D$10,D20,F20&amp;$F$4,$F$3,$J$20,H20&amp;"')")</f>
        <v>Stext ( 'Gleitlager - fuer W&amp;S Leitungen - VP Primaerhalter Zeichnungsnr. 1.31-0' + STR ( ATTRIB PARA[74 ] ) + ' - DN ' + STR ( ATTRIB PARA[1 ] ) + ' - Zusammenbau lt. Zng. Nr. 1.31-084150 - Kat. II &amp; III')</v>
      </c>
    </row>
    <row r="33" spans="1:12">
      <c r="B33" s="80" t="str">
        <f>_xlfn.TEXTJOIN(" - ",FALSE,"Rtext ( '"&amp;$C$10,C21,E21&amp;$F$4,$F$3,$I$21,G21&amp;"')")</f>
        <v>Rtext ( 'Slide support - for S&amp;C pipes - VP primary support drawing no. 1.32-' + STR ( ATTRIB PARA[74 ] ) + ' - DN ' + STR ( ATTRIB PARA[1 ] ) + ' - Assembly per drawing no. 1.32-125634 - Cat. II &amp; III')</v>
      </c>
      <c r="K33" s="80" t="str">
        <f>$F$6&amp;$B$10&amp;"-"&amp;B21&amp;"-CAT"&amp;"-D"</f>
        <v>/EuC-CATA-SUPP/COMMON/SB-SC-CAT-D</v>
      </c>
      <c r="L33" t="str">
        <f>K33&amp;" "&amp;B33&amp;" "&amp;B34</f>
        <v>/EuC-CATA-SUPP/COMMON/SB-SC-CAT-D Rtext ( 'Slide support - for S&amp;C pipes - VP primary support drawing no. 1.32-' + STR ( ATTRIB PARA[74 ] ) + ' - DN ' + STR ( ATTRIB PARA[1 ] ) + ' - Assembly per drawing no. 1.32-125634 - Cat. II &amp; III') Stext ( 'Gleitlager - fuer D&amp;K Leitungen - VP Primaerhalter Zeichnungsnr. 1.32-' + STR ( ATTRIB PARA[74 ] ) + ' - DN ' + STR ( ATTRIB PARA[1 ] ) + ' - Zusammenbau lt. Zng. Nr. 1.32-125634 - Kat. II &amp; III')</v>
      </c>
    </row>
    <row r="34" spans="1:12">
      <c r="B34" s="80" t="str">
        <f>_xlfn.TEXTJOIN(" - ",FALSE,"Stext ( '"&amp;$D$10,D21,F21&amp;$F$4,$F$3,$J$21,H21&amp;"')")</f>
        <v>Stext ( 'Gleitlager - fuer D&amp;K Leitungen - VP Primaerhalter Zeichnungsnr. 1.32-' + STR ( ATTRIB PARA[74 ] ) + ' - DN ' + STR ( ATTRIB PARA[1 ] ) + ' - Zusammenbau lt. Zng. Nr. 1.32-125634 - Kat. II &amp; III')</v>
      </c>
    </row>
    <row r="36" spans="1:12">
      <c r="A36" t="s">
        <v>838</v>
      </c>
    </row>
    <row r="37" spans="1:12">
      <c r="B37" s="80" t="str">
        <f>_xlfn.TEXTJOIN(" - ",FALSE,"Rtext ( '"&amp;$C$10,C21,E21&amp;$F$4,$F$3,$I$21,$G$10&amp;"')")</f>
        <v>Rtext ( 'Slide support - for S&amp;C pipes - VP primary support drawing no. 1.32-' + STR ( ATTRIB PARA[74 ] ) + ' - DN ' + STR ( ATTRIB PARA[1 ] ) + ' - Assembly per drawing no. 1.32-125634 - with insert')</v>
      </c>
      <c r="K37" s="83" t="str">
        <f>$F$6&amp;$B$10&amp;"-"&amp;B21&amp;"-INS"&amp;"-D"</f>
        <v>/EuC-CATA-SUPP/COMMON/SB-SC-INS-D</v>
      </c>
      <c r="L37" t="str">
        <f>K37&amp;" "&amp;B37&amp;" "&amp;B38</f>
        <v>/EuC-CATA-SUPP/COMMON/SB-SC-INS-D Rtext ( 'Slide support - for S&amp;C pipes - VP primary support drawing no. 1.32-' + STR ( ATTRIB PARA[74 ] ) + ' - DN ' + STR ( ATTRIB PARA[1 ] ) + ' - Assembly per drawing no. 1.32-125634 - with insert') Stext ( 'Gleitlager - fuer D&amp;K Leitungen - VP Primaerhalter Zeichnungsnr. 1.32-' + STR ( ATTRIB PARA[74 ] ) + ' - DN ' + STR ( ATTRIB PARA[1 ] ) + ' - Zusammenbau lt. Zng. Nr. 1.32-125634 - mit Einlage')</v>
      </c>
    </row>
    <row r="38" spans="1:12">
      <c r="B38" s="80" t="str">
        <f>_xlfn.TEXTJOIN(" - ",FALSE,"Stext ( '"&amp;$D$10,D21,F21&amp;$F$4,$F$3,$J$21,H10&amp;"')")</f>
        <v>Stext ( 'Gleitlager - fuer D&amp;K Leitungen - VP Primaerhalter Zeichnungsnr. 1.32-' + STR ( ATTRIB PARA[74 ] ) + ' - DN ' + STR ( ATTRIB PARA[1 ] ) + ' - Zusammenbau lt. Zng. Nr. 1.32-125634 - mit Einlage')</v>
      </c>
    </row>
    <row r="39" spans="1:12">
      <c r="A39" t="s">
        <v>839</v>
      </c>
    </row>
    <row r="40" spans="1:12">
      <c r="B40" s="80" t="str">
        <f>_xlfn.TEXTJOIN(" - ",FALSE,"Rtext ( '"&amp;$C$10,C21,E21&amp;$F$4,$F$3,$I$21,G21,$G$10&amp;"')")</f>
        <v>Rtext ( 'Slide support - for S&amp;C pipes - VP primary support drawing no. 1.32-' + STR ( ATTRIB PARA[74 ] ) + ' - DN ' + STR ( ATTRIB PARA[1 ] ) + ' - Assembly per drawing no. 1.32-125634 - Cat. II &amp; III - with insert')</v>
      </c>
      <c r="K40" s="83" t="str">
        <f>$F$6&amp;$B$10&amp;"-"&amp;B21&amp;"-CAT-INS"&amp;"-D"</f>
        <v>/EuC-CATA-SUPP/COMMON/SB-SC-CAT-INS-D</v>
      </c>
      <c r="L40" t="str">
        <f>K40&amp;" "&amp;B40&amp;" "&amp;B41</f>
        <v>/EuC-CATA-SUPP/COMMON/SB-SC-CAT-INS-D Rtext ( 'Slide support - for S&amp;C pipes - VP primary support drawing no. 1.32-' + STR ( ATTRIB PARA[74 ] ) + ' - DN ' + STR ( ATTRIB PARA[1 ] ) + ' - Assembly per drawing no. 1.32-125634 - Cat. II &amp; III - with insert') Stext ( 'Gleitlager - fuer D&amp;K Leitungen - VP Primaerhalter Zeichnungsnr. 1.32-' + STR ( ATTRIB PARA[74 ] ) + ' - DN ' + STR ( ATTRIB PARA[1 ] ) + ' - Zusammenbau lt. Zng. Nr. 1.32-125634 - Kat. II &amp; III - mit Einlage')</v>
      </c>
    </row>
    <row r="41" spans="1:12">
      <c r="B41" s="80" t="str">
        <f>_xlfn.TEXTJOIN(" - ",FALSE,"Stext ( '"&amp;$D$10,D21,F21&amp;$F$4,$F$3,$J$21,H21,H10&amp;"')")</f>
        <v>Stext ( 'Gleitlager - fuer D&amp;K Leitungen - VP Primaerhalter Zeichnungsnr. 1.32-' + STR ( ATTRIB PARA[74 ] ) + ' - DN ' + STR ( ATTRIB PARA[1 ] ) + ' - Zusammenbau lt. Zng. Nr. 1.32-125634 - Kat. II &amp; III - mit Einlage')</v>
      </c>
    </row>
  </sheetData>
  <phoneticPr fontId="2" type="noConversion"/>
  <pageMargins left="0.7" right="0.7" top="0.78740157499999996" bottom="0.78740157499999996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24419-E182-4325-AF79-38DE0775F5CB}">
  <dimension ref="A1:CW60"/>
  <sheetViews>
    <sheetView tabSelected="1" topLeftCell="BW1" workbookViewId="0">
      <selection activeCell="CP22" sqref="CP22"/>
    </sheetView>
    <sheetView topLeftCell="CR1" workbookViewId="1">
      <selection activeCell="BZ6" sqref="BZ6"/>
    </sheetView>
    <sheetView workbookViewId="2"/>
  </sheetViews>
  <sheetFormatPr baseColWidth="10" defaultRowHeight="12.75"/>
  <cols>
    <col min="2" max="2" width="14.42578125" bestFit="1" customWidth="1"/>
    <col min="5" max="5" width="12.28515625" bestFit="1" customWidth="1"/>
    <col min="7" max="7" width="12.28515625" bestFit="1" customWidth="1"/>
    <col min="9" max="9" width="12.28515625" bestFit="1" customWidth="1"/>
    <col min="22" max="22" width="12.28515625" bestFit="1" customWidth="1"/>
    <col min="79" max="79" width="12.28515625" bestFit="1" customWidth="1"/>
    <col min="83" max="83" width="13" bestFit="1" customWidth="1"/>
    <col min="85" max="85" width="18.7109375" bestFit="1" customWidth="1"/>
    <col min="86" max="86" width="16.28515625" bestFit="1" customWidth="1"/>
    <col min="87" max="87" width="12.28515625" bestFit="1" customWidth="1"/>
    <col min="88" max="88" width="12.5703125" bestFit="1" customWidth="1"/>
    <col min="89" max="89" width="15.7109375" bestFit="1" customWidth="1"/>
    <col min="91" max="91" width="12.5703125" bestFit="1" customWidth="1"/>
    <col min="92" max="92" width="25.85546875" bestFit="1" customWidth="1"/>
    <col min="93" max="93" width="39" customWidth="1"/>
    <col min="94" max="94" width="35.140625" bestFit="1" customWidth="1"/>
    <col min="95" max="95" width="229.5703125" bestFit="1" customWidth="1"/>
    <col min="96" max="96" width="37.42578125" bestFit="1" customWidth="1"/>
    <col min="97" max="97" width="12.5703125" bestFit="1" customWidth="1"/>
    <col min="98" max="98" width="25.7109375" bestFit="1" customWidth="1"/>
    <col min="99" max="99" width="65.42578125" bestFit="1" customWidth="1"/>
    <col min="100" max="100" width="64" bestFit="1" customWidth="1"/>
  </cols>
  <sheetData>
    <row r="1" spans="1:101">
      <c r="A1" t="s">
        <v>407</v>
      </c>
      <c r="C1" t="s">
        <v>408</v>
      </c>
      <c r="E1" t="s">
        <v>376</v>
      </c>
    </row>
    <row r="2" spans="1:101" ht="147.75">
      <c r="A2" s="53" t="str">
        <f>LSTWLD!$B$1</f>
        <v>Carbon</v>
      </c>
      <c r="E2" s="26" t="s">
        <v>804</v>
      </c>
      <c r="F2" s="27" t="s">
        <v>805</v>
      </c>
      <c r="G2" s="26" t="s">
        <v>295</v>
      </c>
      <c r="H2" s="27" t="s">
        <v>296</v>
      </c>
      <c r="I2" s="26" t="s">
        <v>297</v>
      </c>
      <c r="J2" s="27" t="s">
        <v>298</v>
      </c>
      <c r="K2" s="49" t="s">
        <v>299</v>
      </c>
      <c r="L2" s="49" t="s">
        <v>300</v>
      </c>
      <c r="M2" s="45" t="s">
        <v>205</v>
      </c>
      <c r="N2" s="27" t="s">
        <v>304</v>
      </c>
      <c r="O2" s="26" t="s">
        <v>301</v>
      </c>
      <c r="P2" s="27" t="s">
        <v>206</v>
      </c>
      <c r="Q2" s="26" t="s">
        <v>207</v>
      </c>
      <c r="R2" s="27" t="s">
        <v>302</v>
      </c>
      <c r="S2" s="26" t="s">
        <v>208</v>
      </c>
      <c r="T2" s="49" t="s">
        <v>209</v>
      </c>
      <c r="U2" s="26" t="s">
        <v>303</v>
      </c>
      <c r="V2" s="26" t="s">
        <v>399</v>
      </c>
      <c r="W2" s="26" t="s">
        <v>400</v>
      </c>
      <c r="X2" s="26" t="s">
        <v>401</v>
      </c>
      <c r="Y2" s="26" t="s">
        <v>402</v>
      </c>
      <c r="Z2" s="27" t="s">
        <v>210</v>
      </c>
      <c r="AA2" s="49" t="s">
        <v>211</v>
      </c>
      <c r="AB2" s="37" t="s">
        <v>289</v>
      </c>
      <c r="AC2" s="38" t="s">
        <v>290</v>
      </c>
      <c r="AD2" s="38" t="s">
        <v>291</v>
      </c>
      <c r="AE2" s="38" t="s">
        <v>292</v>
      </c>
      <c r="AF2" s="49" t="s">
        <v>211</v>
      </c>
      <c r="AG2" s="49" t="s">
        <v>211</v>
      </c>
      <c r="AH2" s="27" t="s">
        <v>212</v>
      </c>
      <c r="AI2" s="26" t="s">
        <v>316</v>
      </c>
      <c r="AJ2" s="27" t="s">
        <v>213</v>
      </c>
      <c r="AK2" s="26" t="s">
        <v>483</v>
      </c>
      <c r="AL2" s="27" t="s">
        <v>308</v>
      </c>
      <c r="AM2" s="49" t="s">
        <v>211</v>
      </c>
      <c r="AN2" s="49" t="s">
        <v>211</v>
      </c>
      <c r="AO2" s="49" t="s">
        <v>211</v>
      </c>
      <c r="AP2" s="27" t="s">
        <v>214</v>
      </c>
      <c r="AQ2" s="26" t="s">
        <v>215</v>
      </c>
      <c r="AR2" s="49" t="s">
        <v>211</v>
      </c>
      <c r="AS2" s="26" t="s">
        <v>309</v>
      </c>
      <c r="AT2" s="27" t="s">
        <v>310</v>
      </c>
      <c r="AU2" s="26" t="s">
        <v>552</v>
      </c>
      <c r="AV2" s="49" t="s">
        <v>211</v>
      </c>
      <c r="AW2" s="26" t="s">
        <v>311</v>
      </c>
      <c r="AX2" s="27" t="s">
        <v>216</v>
      </c>
      <c r="AY2" s="26" t="s">
        <v>217</v>
      </c>
      <c r="AZ2" s="27" t="s">
        <v>312</v>
      </c>
      <c r="BA2" s="49" t="s">
        <v>211</v>
      </c>
      <c r="BB2" s="27" t="s">
        <v>607</v>
      </c>
      <c r="BC2" s="26" t="s">
        <v>313</v>
      </c>
      <c r="BD2" s="27" t="s">
        <v>314</v>
      </c>
      <c r="BE2" s="26" t="s">
        <v>268</v>
      </c>
      <c r="BF2" s="49" t="s">
        <v>211</v>
      </c>
      <c r="BG2" s="26" t="s">
        <v>267</v>
      </c>
      <c r="BH2" s="27" t="s">
        <v>315</v>
      </c>
      <c r="BI2" s="49" t="s">
        <v>211</v>
      </c>
      <c r="BJ2" s="49" t="s">
        <v>211</v>
      </c>
      <c r="BK2" s="49" t="s">
        <v>211</v>
      </c>
      <c r="BL2" s="37" t="s">
        <v>452</v>
      </c>
      <c r="BM2" s="38" t="s">
        <v>453</v>
      </c>
      <c r="BN2" s="37" t="s">
        <v>454</v>
      </c>
      <c r="BO2" s="38" t="s">
        <v>339</v>
      </c>
      <c r="BP2" s="49" t="s">
        <v>211</v>
      </c>
      <c r="BQ2" s="38" t="s">
        <v>325</v>
      </c>
      <c r="BR2" s="37" t="s">
        <v>269</v>
      </c>
      <c r="BS2" s="49" t="s">
        <v>211</v>
      </c>
      <c r="BT2" s="37" t="s">
        <v>327</v>
      </c>
      <c r="BU2" s="38" t="s">
        <v>608</v>
      </c>
      <c r="BV2" s="37" t="s">
        <v>270</v>
      </c>
      <c r="BW2" s="49" t="s">
        <v>211</v>
      </c>
      <c r="BX2" s="37" t="s">
        <v>326</v>
      </c>
      <c r="BY2" s="49" t="s">
        <v>211</v>
      </c>
      <c r="BZ2" s="26" t="s">
        <v>406</v>
      </c>
      <c r="CA2" s="26" t="s">
        <v>411</v>
      </c>
      <c r="CB2" s="27" t="s">
        <v>410</v>
      </c>
      <c r="CC2" s="26" t="s">
        <v>409</v>
      </c>
      <c r="CD2" s="27" t="s">
        <v>218</v>
      </c>
      <c r="CH2" s="53" t="str">
        <f>LSTWLD!$B$1</f>
        <v>Carbon</v>
      </c>
      <c r="CI2" s="53" t="str">
        <f>LSTWLD!$D$1</f>
        <v>GS</v>
      </c>
      <c r="CJ2" s="53" t="str">
        <f>LSTWLD!$F$1</f>
        <v>schwer</v>
      </c>
    </row>
    <row r="3" spans="1:101">
      <c r="A3" s="53" t="str">
        <f>LSTWLD!$D$1</f>
        <v>GS</v>
      </c>
      <c r="B3" s="69" t="s">
        <v>476</v>
      </c>
      <c r="C3" s="24"/>
      <c r="D3" s="24"/>
      <c r="E3" s="24" t="s">
        <v>229</v>
      </c>
      <c r="F3" s="24"/>
      <c r="G3" s="24"/>
      <c r="H3" s="24"/>
      <c r="I3" s="24"/>
      <c r="J3" s="24"/>
      <c r="K3" s="24"/>
      <c r="L3" s="24"/>
      <c r="M3" s="24"/>
      <c r="N3" s="29"/>
      <c r="O3" s="30" t="s">
        <v>230</v>
      </c>
      <c r="P3" s="30"/>
      <c r="Q3" s="30"/>
      <c r="R3" s="30"/>
      <c r="S3" s="30"/>
      <c r="T3" s="30"/>
      <c r="U3" s="30"/>
      <c r="V3" s="46" t="s">
        <v>397</v>
      </c>
      <c r="W3" s="46"/>
      <c r="X3" s="46"/>
      <c r="Y3" s="46"/>
      <c r="Z3" s="30"/>
      <c r="AA3" s="24"/>
      <c r="AB3" s="24" t="s">
        <v>307</v>
      </c>
      <c r="AC3" s="24"/>
      <c r="AD3" s="24"/>
      <c r="AE3" s="24"/>
      <c r="AF3" s="24"/>
      <c r="AG3" s="24"/>
      <c r="AH3" s="30" t="s">
        <v>236</v>
      </c>
      <c r="AI3" s="30"/>
      <c r="AJ3" s="30"/>
      <c r="AK3" s="30"/>
      <c r="AL3" s="23"/>
      <c r="AM3" s="30"/>
      <c r="AN3" s="24"/>
      <c r="AO3" s="24"/>
      <c r="AP3" s="50" t="s">
        <v>256</v>
      </c>
      <c r="AQ3" s="50"/>
      <c r="AR3" s="50"/>
      <c r="AS3" s="50"/>
      <c r="AT3" s="50"/>
      <c r="AU3" s="50"/>
      <c r="AV3" s="50"/>
      <c r="AW3" s="50"/>
      <c r="AX3" s="24" t="s">
        <v>103</v>
      </c>
      <c r="AY3" s="24"/>
      <c r="AZ3" s="24"/>
      <c r="BA3" s="24"/>
      <c r="BB3" s="24"/>
      <c r="BC3" s="24" t="s">
        <v>111</v>
      </c>
      <c r="BD3" s="24"/>
      <c r="BE3" s="24"/>
      <c r="BF3" s="24"/>
      <c r="BG3" s="24"/>
      <c r="BH3" s="24"/>
      <c r="BI3" s="50"/>
      <c r="BJ3" s="50"/>
      <c r="BK3" s="50"/>
      <c r="BL3" s="24" t="s">
        <v>338</v>
      </c>
      <c r="BM3" s="24"/>
      <c r="BN3" s="24"/>
      <c r="BO3" s="24"/>
      <c r="BP3" s="24"/>
      <c r="BQ3" s="24" t="s">
        <v>288</v>
      </c>
      <c r="BR3" s="24"/>
      <c r="BS3" s="24"/>
      <c r="BT3" s="24" t="s">
        <v>271</v>
      </c>
      <c r="BU3" s="24"/>
      <c r="BV3" s="24"/>
      <c r="BW3" s="24"/>
      <c r="BX3" s="24"/>
      <c r="BY3" s="24"/>
      <c r="BZ3" s="24"/>
      <c r="CA3" s="24"/>
      <c r="CB3" s="24"/>
      <c r="CC3" s="24"/>
      <c r="CD3" s="24"/>
      <c r="CE3" s="64" t="s">
        <v>317</v>
      </c>
      <c r="CF3" t="s">
        <v>318</v>
      </c>
      <c r="CP3" t="s">
        <v>849</v>
      </c>
      <c r="CR3" s="64" t="s">
        <v>388</v>
      </c>
      <c r="CS3" t="s">
        <v>389</v>
      </c>
      <c r="CT3" t="s">
        <v>516</v>
      </c>
    </row>
    <row r="4" spans="1:101">
      <c r="A4" s="52" t="str">
        <f>LSTWLD!$F$1</f>
        <v>schwer</v>
      </c>
      <c r="B4" s="23"/>
      <c r="C4" s="23"/>
      <c r="D4" s="23"/>
      <c r="E4" s="23" t="s">
        <v>219</v>
      </c>
      <c r="F4" s="23" t="s">
        <v>220</v>
      </c>
      <c r="G4" s="23" t="s">
        <v>221</v>
      </c>
      <c r="H4" s="23" t="s">
        <v>222</v>
      </c>
      <c r="I4" s="23" t="s">
        <v>223</v>
      </c>
      <c r="J4" s="23" t="s">
        <v>224</v>
      </c>
      <c r="K4" s="23" t="s">
        <v>225</v>
      </c>
      <c r="L4" s="23" t="s">
        <v>226</v>
      </c>
      <c r="M4" s="23" t="s">
        <v>227</v>
      </c>
      <c r="N4" s="28" t="s">
        <v>113</v>
      </c>
      <c r="O4" s="31" t="s">
        <v>91</v>
      </c>
      <c r="P4" s="31" t="s">
        <v>231</v>
      </c>
      <c r="Q4" s="31" t="s">
        <v>96</v>
      </c>
      <c r="R4" s="31" t="s">
        <v>232</v>
      </c>
      <c r="S4" s="31" t="s">
        <v>94</v>
      </c>
      <c r="T4" s="31"/>
      <c r="U4" s="31" t="s">
        <v>478</v>
      </c>
      <c r="V4" s="47" t="s">
        <v>110</v>
      </c>
      <c r="W4" s="47" t="s">
        <v>96</v>
      </c>
      <c r="X4" s="47" t="s">
        <v>277</v>
      </c>
      <c r="Y4" s="47" t="s">
        <v>118</v>
      </c>
      <c r="Z4" s="31" t="s">
        <v>235</v>
      </c>
      <c r="AA4" s="23"/>
      <c r="AB4" s="23" t="s">
        <v>482</v>
      </c>
      <c r="AC4" s="23"/>
      <c r="AD4" s="23"/>
      <c r="AE4" s="23"/>
      <c r="AF4" s="23"/>
      <c r="AG4" s="23"/>
      <c r="AH4" s="31"/>
      <c r="AI4" s="31" t="s">
        <v>606</v>
      </c>
      <c r="AJ4" s="31" t="s">
        <v>605</v>
      </c>
      <c r="AK4" s="31" t="s">
        <v>277</v>
      </c>
      <c r="AL4" s="23" t="s">
        <v>253</v>
      </c>
      <c r="AM4" s="31"/>
      <c r="AN4" s="23"/>
      <c r="AO4" s="23"/>
      <c r="AP4" s="51" t="s">
        <v>257</v>
      </c>
      <c r="AQ4" s="51" t="s">
        <v>258</v>
      </c>
      <c r="AR4" s="51"/>
      <c r="AS4" s="51" t="s">
        <v>260</v>
      </c>
      <c r="AT4" s="51" t="s">
        <v>261</v>
      </c>
      <c r="AU4" s="51" t="s">
        <v>263</v>
      </c>
      <c r="AV4" s="51" t="s">
        <v>847</v>
      </c>
      <c r="AW4" s="51" t="s">
        <v>264</v>
      </c>
      <c r="AX4" s="23"/>
      <c r="AY4" s="23"/>
      <c r="AZ4" s="23"/>
      <c r="BA4" s="23"/>
      <c r="BB4" s="23"/>
      <c r="BC4" s="34" t="s">
        <v>272</v>
      </c>
      <c r="BD4" s="34" t="s">
        <v>273</v>
      </c>
      <c r="BE4" s="34" t="s">
        <v>274</v>
      </c>
      <c r="BF4" s="34" t="s">
        <v>275</v>
      </c>
      <c r="BG4" s="34" t="s">
        <v>276</v>
      </c>
      <c r="BH4" s="34" t="s">
        <v>278</v>
      </c>
      <c r="BI4" s="51"/>
      <c r="BJ4" s="51"/>
      <c r="BK4" s="51"/>
      <c r="BL4" s="23" t="s">
        <v>277</v>
      </c>
      <c r="BM4" s="23" t="s">
        <v>118</v>
      </c>
      <c r="BN4" s="23" t="s">
        <v>96</v>
      </c>
      <c r="BO4" s="23" t="s">
        <v>279</v>
      </c>
      <c r="BP4" s="23"/>
      <c r="BQ4" s="34"/>
      <c r="BR4" s="34"/>
      <c r="BS4" s="34"/>
      <c r="BT4" s="23" t="s">
        <v>334</v>
      </c>
      <c r="BU4" s="23" t="s">
        <v>110</v>
      </c>
      <c r="BV4" s="23" t="s">
        <v>277</v>
      </c>
      <c r="BW4" s="23"/>
      <c r="BX4" s="23" t="s">
        <v>335</v>
      </c>
      <c r="BY4" s="23"/>
      <c r="BZ4" s="23" t="s">
        <v>556</v>
      </c>
      <c r="CA4" s="23" t="s">
        <v>553</v>
      </c>
      <c r="CB4" s="23" t="s">
        <v>554</v>
      </c>
      <c r="CC4" s="23" t="s">
        <v>555</v>
      </c>
      <c r="CD4" s="23"/>
      <c r="CP4" t="s">
        <v>848</v>
      </c>
      <c r="CR4" t="str">
        <f>SUBSTITUTE(LSTWLD!$D$1,"GS","SB")</f>
        <v>SB</v>
      </c>
      <c r="CS4" t="str">
        <f>IF(LSTWLD!$F$1="schwer","B","b")</f>
        <v>B</v>
      </c>
      <c r="CT4">
        <f>COUNTIF(CT6:CT29,0)</f>
        <v>0</v>
      </c>
      <c r="CU4" t="s">
        <v>534</v>
      </c>
      <c r="CV4" t="s">
        <v>535</v>
      </c>
    </row>
    <row r="5" spans="1:101">
      <c r="A5" s="43" t="s">
        <v>366</v>
      </c>
      <c r="B5" s="23" t="s">
        <v>89</v>
      </c>
      <c r="C5" s="23"/>
      <c r="D5" s="23" t="s">
        <v>125</v>
      </c>
      <c r="E5" s="23" t="s">
        <v>126</v>
      </c>
      <c r="F5" s="23" t="s">
        <v>127</v>
      </c>
      <c r="G5" s="23" t="s">
        <v>128</v>
      </c>
      <c r="H5" s="23" t="s">
        <v>129</v>
      </c>
      <c r="I5" s="23" t="s">
        <v>130</v>
      </c>
      <c r="J5" s="23" t="s">
        <v>131</v>
      </c>
      <c r="K5" s="23" t="s">
        <v>132</v>
      </c>
      <c r="L5" s="23" t="s">
        <v>133</v>
      </c>
      <c r="M5" s="23" t="s">
        <v>134</v>
      </c>
      <c r="N5" s="23" t="s">
        <v>135</v>
      </c>
      <c r="O5" s="23" t="s">
        <v>136</v>
      </c>
      <c r="P5" s="23" t="s">
        <v>137</v>
      </c>
      <c r="Q5" s="23" t="s">
        <v>138</v>
      </c>
      <c r="R5" s="23" t="s">
        <v>139</v>
      </c>
      <c r="S5" s="23" t="s">
        <v>140</v>
      </c>
      <c r="T5" s="23" t="s">
        <v>141</v>
      </c>
      <c r="U5" s="23" t="s">
        <v>142</v>
      </c>
      <c r="V5" s="23" t="s">
        <v>143</v>
      </c>
      <c r="W5" s="23" t="s">
        <v>144</v>
      </c>
      <c r="X5" s="23" t="s">
        <v>145</v>
      </c>
      <c r="Y5" s="23" t="s">
        <v>146</v>
      </c>
      <c r="Z5" s="23" t="s">
        <v>147</v>
      </c>
      <c r="AA5" s="23" t="s">
        <v>148</v>
      </c>
      <c r="AB5" s="23" t="s">
        <v>149</v>
      </c>
      <c r="AC5" s="23" t="s">
        <v>150</v>
      </c>
      <c r="AD5" s="23" t="s">
        <v>151</v>
      </c>
      <c r="AE5" s="23" t="s">
        <v>152</v>
      </c>
      <c r="AF5" s="23" t="s">
        <v>153</v>
      </c>
      <c r="AG5" s="23" t="s">
        <v>154</v>
      </c>
      <c r="AH5" s="23" t="s">
        <v>155</v>
      </c>
      <c r="AI5" s="23" t="s">
        <v>156</v>
      </c>
      <c r="AJ5" s="23" t="s">
        <v>157</v>
      </c>
      <c r="AK5" s="23" t="s">
        <v>158</v>
      </c>
      <c r="AL5" s="23" t="s">
        <v>159</v>
      </c>
      <c r="AM5" s="23" t="s">
        <v>160</v>
      </c>
      <c r="AN5" s="23" t="s">
        <v>161</v>
      </c>
      <c r="AO5" s="23" t="s">
        <v>162</v>
      </c>
      <c r="AP5" s="23" t="s">
        <v>163</v>
      </c>
      <c r="AQ5" s="23" t="s">
        <v>164</v>
      </c>
      <c r="AR5" s="23" t="s">
        <v>165</v>
      </c>
      <c r="AS5" s="23" t="s">
        <v>166</v>
      </c>
      <c r="AT5" s="23" t="s">
        <v>167</v>
      </c>
      <c r="AU5" s="23" t="s">
        <v>168</v>
      </c>
      <c r="AV5" s="23" t="s">
        <v>169</v>
      </c>
      <c r="AW5" s="23" t="s">
        <v>170</v>
      </c>
      <c r="AX5" s="23" t="s">
        <v>171</v>
      </c>
      <c r="AY5" s="23" t="s">
        <v>172</v>
      </c>
      <c r="AZ5" s="23" t="s">
        <v>173</v>
      </c>
      <c r="BA5" s="23" t="s">
        <v>174</v>
      </c>
      <c r="BB5" s="23" t="s">
        <v>175</v>
      </c>
      <c r="BC5" s="23" t="s">
        <v>176</v>
      </c>
      <c r="BD5" s="23" t="s">
        <v>177</v>
      </c>
      <c r="BE5" s="23" t="s">
        <v>178</v>
      </c>
      <c r="BF5" s="23" t="s">
        <v>179</v>
      </c>
      <c r="BG5" s="23" t="s">
        <v>180</v>
      </c>
      <c r="BH5" s="23" t="s">
        <v>181</v>
      </c>
      <c r="BI5" s="23" t="s">
        <v>182</v>
      </c>
      <c r="BJ5" s="23" t="s">
        <v>183</v>
      </c>
      <c r="BK5" s="23" t="s">
        <v>184</v>
      </c>
      <c r="BL5" s="23" t="s">
        <v>185</v>
      </c>
      <c r="BM5" s="23" t="s">
        <v>186</v>
      </c>
      <c r="BN5" s="23" t="s">
        <v>187</v>
      </c>
      <c r="BO5" s="23" t="s">
        <v>188</v>
      </c>
      <c r="BP5" s="23" t="s">
        <v>189</v>
      </c>
      <c r="BQ5" s="23" t="s">
        <v>190</v>
      </c>
      <c r="BR5" s="23" t="s">
        <v>191</v>
      </c>
      <c r="BS5" s="23" t="s">
        <v>192</v>
      </c>
      <c r="BT5" s="23" t="s">
        <v>193</v>
      </c>
      <c r="BU5" s="23" t="s">
        <v>194</v>
      </c>
      <c r="BV5" s="23" t="s">
        <v>195</v>
      </c>
      <c r="BW5" s="23" t="s">
        <v>196</v>
      </c>
      <c r="BX5" s="23" t="s">
        <v>197</v>
      </c>
      <c r="BY5" s="23" t="s">
        <v>198</v>
      </c>
      <c r="BZ5" s="23" t="s">
        <v>199</v>
      </c>
      <c r="CA5" s="23" t="s">
        <v>200</v>
      </c>
      <c r="CB5" s="23" t="s">
        <v>201</v>
      </c>
      <c r="CC5" s="23" t="s">
        <v>202</v>
      </c>
      <c r="CD5" s="23" t="s">
        <v>203</v>
      </c>
      <c r="CF5" s="24" t="s">
        <v>89</v>
      </c>
      <c r="CG5" s="24" t="s">
        <v>321</v>
      </c>
      <c r="CH5" s="24" t="s">
        <v>320</v>
      </c>
      <c r="CI5" s="24" t="s">
        <v>256</v>
      </c>
      <c r="CJ5" s="24" t="s">
        <v>367</v>
      </c>
      <c r="CK5" s="24" t="s">
        <v>111</v>
      </c>
      <c r="CL5" s="24" t="s">
        <v>319</v>
      </c>
      <c r="CM5" s="24" t="s">
        <v>322</v>
      </c>
      <c r="CN5" s="24" t="s">
        <v>492</v>
      </c>
      <c r="CO5" s="24" t="s">
        <v>394</v>
      </c>
      <c r="CP5" s="24" t="s">
        <v>395</v>
      </c>
      <c r="CQ5" s="24" t="s">
        <v>396</v>
      </c>
      <c r="CR5" t="str">
        <f>CONCATENATE("/EUC-VNX","_","00",$CS$4,"-","DN1","-","DN2","-0-0","_Func-",CR4)</f>
        <v>/EUC-VNX_00B-DN1-DN2-0-0_Func-SB</v>
      </c>
      <c r="CT5" t="s">
        <v>531</v>
      </c>
      <c r="CU5" s="67" t="s">
        <v>532</v>
      </c>
      <c r="CV5" t="s">
        <v>533</v>
      </c>
    </row>
    <row r="6" spans="1:101">
      <c r="A6" s="44" t="str">
        <f>$A$3</f>
        <v>GS</v>
      </c>
      <c r="B6" s="21">
        <v>15</v>
      </c>
      <c r="C6" s="21"/>
      <c r="D6" s="21"/>
      <c r="E6" s="21" cm="1">
        <f t="array" ref="E6:E29">Rohrschelle[DN]</f>
        <v>15</v>
      </c>
      <c r="F6" s="21" cm="1">
        <f t="array" ref="F6:F29">Rohrschelle[DN]</f>
        <v>15</v>
      </c>
      <c r="G6" s="21" cm="1">
        <f t="array" ref="G6:G29">Rohrschelle[OD]</f>
        <v>22</v>
      </c>
      <c r="H6" s="21" cm="1">
        <f t="array" ref="H6:H29">Rohrschelle[OD]</f>
        <v>22</v>
      </c>
      <c r="I6" s="21" t="str" cm="1">
        <f t="array" ref="I6:I29">Null[Coco]</f>
        <v>ATT</v>
      </c>
      <c r="J6" s="21" t="str" cm="1">
        <f t="array" ref="J6:J29">Null[Coco]</f>
        <v>ATT</v>
      </c>
      <c r="K6" s="21" cm="1">
        <f t="array" ref="K6:K29">Null[Null]</f>
        <v>0</v>
      </c>
      <c r="L6" s="21" cm="1">
        <f t="array" ref="L6:L29">Null[Null]</f>
        <v>0</v>
      </c>
      <c r="M6" s="21" t="str" cm="1">
        <f t="array" ref="M6:M29">SUBSTITUTE(TEXT(Gewicht_Sel[HL],"0,00"),",",".")</f>
        <v>0.85</v>
      </c>
      <c r="N6" s="21" t="str" cm="1">
        <f t="array" ref="N6:N29">SUBSTITUTE(Prim_Supp[CL],",",".")</f>
        <v>82</v>
      </c>
      <c r="O6" s="21" cm="1">
        <f t="array" ref="O6:O29">Rohrschelle[OD]</f>
        <v>22</v>
      </c>
      <c r="P6" s="21" cm="1">
        <f t="array" ref="P6:P29">Rohrschelle[C]+Rohrschelle[A]+Rohrschelle[C]</f>
        <v>96</v>
      </c>
      <c r="Q6" s="21" cm="1">
        <f t="array" ref="Q6:Q29">Rohrschelle[B]</f>
        <v>30</v>
      </c>
      <c r="R6" s="21" cm="1">
        <f t="array" ref="R6:R29">Rohrschelle[s/sC]</f>
        <v>5</v>
      </c>
      <c r="S6" s="21" cm="1">
        <f t="array" ref="S6:S29">Rohrschelle[f]</f>
        <v>7</v>
      </c>
      <c r="T6" s="25" cm="1">
        <f t="array" ref="T6:T29">Null[Null]</f>
        <v>0</v>
      </c>
      <c r="U6" s="25" t="str" cm="1">
        <f t="array" ref="U6:U29">SUBSTITUTE(Prim_Supp[CL]-Rohrschelle[s/sC]-(Rohrschelle[OD]/2),",",".")</f>
        <v>66</v>
      </c>
      <c r="V6" s="25" cm="1">
        <f t="array" ref="V6:V29">IF(Prim_Supp[Needs_L],L_Stahl_LH[H],0)</f>
        <v>0</v>
      </c>
      <c r="W6" s="25" cm="1">
        <f t="array" ref="W6:W29">IF(Prim_Supp[Needs_L],L_Stahl_LH[B],0)</f>
        <v>0</v>
      </c>
      <c r="X6" s="25" cm="1">
        <f t="array" ref="X6:X29">IF(Prim_Supp[Needs_L],L_Stahl_LH[S],0)</f>
        <v>0</v>
      </c>
      <c r="Y6" s="25" cm="1">
        <f t="array" ref="Y6:Y29">IF(Prim_Supp[Needs_L],L_Stahl_LH[L],0)</f>
        <v>0</v>
      </c>
      <c r="Z6" s="25" cm="1">
        <f t="array" ref="Z6:Z29">Null[Angle_LH]</f>
        <v>-30</v>
      </c>
      <c r="AA6" s="65" cm="1">
        <f t="array" ref="AA6:AA29">Null[Null]</f>
        <v>0</v>
      </c>
      <c r="AB6" s="65" cm="1">
        <f t="array" ref="AB6:AB29">Null[Null]</f>
        <v>0</v>
      </c>
      <c r="AC6" s="65" cm="1">
        <f t="array" ref="AC6:AC29">Null[Null]</f>
        <v>0</v>
      </c>
      <c r="AD6" s="65" cm="1">
        <f t="array" ref="AD6:AD29">Null[Null]</f>
        <v>0</v>
      </c>
      <c r="AE6" s="65" cm="1">
        <f t="array" ref="AE6:AE29">Null[Null]</f>
        <v>0</v>
      </c>
      <c r="AF6" s="65" cm="1">
        <f t="array" ref="AF6:AF29">Null[Null]</f>
        <v>0</v>
      </c>
      <c r="AG6" s="65" cm="1">
        <f t="array" ref="AG6:AG29">Null[Null]</f>
        <v>0</v>
      </c>
      <c r="AH6" s="25" t="str" cm="1">
        <f t="array" ref="AH6:AH29">IF(Prim_Supp[Ausf]="iT",U6,Prim_Supp[U_height])</f>
        <v>66</v>
      </c>
      <c r="AI6" s="25" cm="1">
        <f t="array" ref="AI6:AI29">Prim_Supp[W]</f>
        <v>60</v>
      </c>
      <c r="AJ6" s="25" cm="1">
        <f t="array" ref="AJ6:AJ29">Schuh_Laenge[L_Auswahl]</f>
        <v>120</v>
      </c>
      <c r="AK6" s="25" cm="1">
        <f t="array" ref="AK6:AK29">Prim_Supp[s_Blech]</f>
        <v>6</v>
      </c>
      <c r="AL6" s="25" cm="1">
        <f t="array" ref="AL6:AL29">IF(ISERROR(FIND("2",Prim_Supp[Ausf])),0,Schelle_Abs_vom_Rand[Abs_Auswahl])</f>
        <v>0</v>
      </c>
      <c r="AM6" s="25" cm="1">
        <f t="array" ref="AM6:AM29">Null[Null]</f>
        <v>0</v>
      </c>
      <c r="AN6" s="25" cm="1">
        <f t="array" ref="AN6:AN29">Null[Null]</f>
        <v>0</v>
      </c>
      <c r="AO6" s="25" cm="1">
        <f t="array" ref="AO6:AO29">Null[Null]</f>
        <v>0</v>
      </c>
      <c r="AP6" s="25" cm="1">
        <f t="array" ref="AP6:AP29">IF(Prim_Supp[Needs_Guide],SUBSTITUTE(Guide[GBBW],",","."),0)</f>
        <v>0</v>
      </c>
      <c r="AQ6" s="25" cm="1">
        <f t="array" ref="AQ6:AQ29">IF(Prim_Supp[Needs_Guide],SUBSTITUTE(Guide[GBIH],",","."),0)</f>
        <v>0</v>
      </c>
      <c r="AR6" s="25" cm="1">
        <f t="array" ref="AR6:AR29">Null[Null]</f>
        <v>0</v>
      </c>
      <c r="AS6" s="25" cm="1">
        <f t="array" ref="AS6:AS29">IF(Prim_Supp[Needs_Guide],SUBSTITUTE(Guide[GBWI],",","."),0)</f>
        <v>0</v>
      </c>
      <c r="AT6" s="25" cm="1">
        <f t="array" ref="AT6:AT29">IF(Prim_Supp[Needs_Guide],SUBSTITUTE(Guide[GBHE],",","."),0)</f>
        <v>0</v>
      </c>
      <c r="AU6" s="25" cm="1">
        <f t="array" ref="AU6:AU29">IF(Prim_Supp[Needs_Guide],SUBSTITUTE(Guide[GBLE],",","."),0)</f>
        <v>0</v>
      </c>
      <c r="AV6" s="25" cm="1">
        <f t="array" ref="AV6:AV29">IF(Prim_Supp[Needs_Guide],SUBSTITUTE(Guide[GBTH],",","."),0)</f>
        <v>0</v>
      </c>
      <c r="AW6" s="25" cm="1">
        <f t="array" ref="AW6:AW29">IF(Prim_Supp[Needs_Guide],SUBSTITUTE(Guide[GBDS],",","."),0)</f>
        <v>0</v>
      </c>
      <c r="AX6" s="25" cm="1">
        <f t="array" ref="AX6:AX29">IF(Prim_Supp[Needs_Cams],Flachnocken[A],0)</f>
        <v>0</v>
      </c>
      <c r="AY6" s="25" cm="1">
        <f t="array" ref="AY6:AY29">IF(Prim_Supp[Needs_Cams],Flachnocken[B],0)</f>
        <v>0</v>
      </c>
      <c r="AZ6" s="25" cm="1">
        <f t="array" ref="AZ6:AZ29">IF(Prim_Supp[Needs_Cams],Flachnocken[S],0)</f>
        <v>0</v>
      </c>
      <c r="BA6" s="25" cm="1">
        <f t="array" ref="BA6:BA29">Null[Null]</f>
        <v>0</v>
      </c>
      <c r="BB6" s="25" cm="1">
        <f t="array" ref="BB6:BB29">IF(Prim_Supp[Needs_Cams],IF(Flachnocken[STK_Auswahl]&lt;7,30,0),0)</f>
        <v>0</v>
      </c>
      <c r="BC6" s="25" cm="1">
        <f t="array" ref="BC6:BC29">IF(Prim_Supp[Needs_Axial],Axialstopp[BWID],0)</f>
        <v>0</v>
      </c>
      <c r="BD6" s="25" cm="1">
        <f t="array" ref="BD6:BD29">IF(Prim_Supp[Needs_Axial],Axialstopp[CLEA],0)</f>
        <v>0</v>
      </c>
      <c r="BE6" s="25" cm="1">
        <f t="array" ref="BE6:BE29">IF(Prim_Supp[Needs_Axial],Axialstopp[W],0)</f>
        <v>0</v>
      </c>
      <c r="BF6" s="25" cm="1">
        <f t="array" ref="BF6:BF29">Null[Null]</f>
        <v>0</v>
      </c>
      <c r="BG6" s="25" cm="1">
        <f t="array" ref="BG6:BG29">IF(Prim_Supp[Needs_Axial],Axialstopp[H],0)</f>
        <v>0</v>
      </c>
      <c r="BH6" s="25" cm="1">
        <f t="array" ref="BH6:BH29">IF(Prim_Supp[Needs_Axial],Axialstopp[L_Auswahl],0)</f>
        <v>0</v>
      </c>
      <c r="BI6" s="25" cm="1">
        <f t="array" ref="BI6:BI29">Null[Null]</f>
        <v>0</v>
      </c>
      <c r="BJ6" s="25" cm="1">
        <f t="array" ref="BJ6:BJ29">Null[Null]</f>
        <v>0</v>
      </c>
      <c r="BK6" s="25" cm="1">
        <f t="array" ref="BK6:BK29">Null[Null]</f>
        <v>0</v>
      </c>
      <c r="BL6" s="35" cm="1">
        <f t="array" ref="BL6:BL29">Null[Null]</f>
        <v>0</v>
      </c>
      <c r="BM6" s="25" cm="1">
        <f t="array" ref="BM6:BM29">Null[Null]</f>
        <v>0</v>
      </c>
      <c r="BN6" s="25" cm="1">
        <f t="array" ref="BN6:BN29">Null[Null]</f>
        <v>0</v>
      </c>
      <c r="BO6" s="35" cm="1">
        <f t="array" ref="BO6:BO29">Null[Null]</f>
        <v>0</v>
      </c>
      <c r="BP6" s="25" cm="1">
        <f t="array" ref="BP6:BP29">Null[Null]</f>
        <v>0</v>
      </c>
      <c r="BQ6" s="25" cm="1">
        <f t="array" ref="BQ6:BQ29">Prim_Supp[Ext]</f>
        <v>0</v>
      </c>
      <c r="BR6" s="25" cm="1">
        <f t="array" ref="BR6:BR29">Null[Null]</f>
        <v>0</v>
      </c>
      <c r="BS6" s="25" cm="1">
        <f t="array" ref="BS6:BS29">Null[Null]</f>
        <v>0</v>
      </c>
      <c r="BT6" s="35" cm="1">
        <f t="array" ref="BT6:BT29">Null[Null]</f>
        <v>0</v>
      </c>
      <c r="BU6" s="35" cm="1">
        <f t="array" ref="BU6:BU29">Null[Null]</f>
        <v>0</v>
      </c>
      <c r="BV6" s="25" cm="1">
        <f t="array" ref="BV6:BV29">Stiffener[THK_Auswahl]</f>
        <v>0</v>
      </c>
      <c r="BW6" s="25" cm="1">
        <f t="array" ref="BW6:BW29">Null[Null]</f>
        <v>0</v>
      </c>
      <c r="BX6" s="25" cm="1">
        <f t="array" ref="BX6:BX29">Null[Null]</f>
        <v>0</v>
      </c>
      <c r="BY6" s="25" cm="1">
        <f t="array" ref="BY6:BY29">Null[Null]</f>
        <v>0</v>
      </c>
      <c r="BZ6" s="25" t="str" cm="1">
        <f t="array" ref="BZ6:BZ29">DRWG[SEL_HL]</f>
        <v>84032</v>
      </c>
      <c r="CA6" s="25" cm="1">
        <f t="array" ref="CA6:CA29">Null[Null]</f>
        <v>0</v>
      </c>
      <c r="CB6" s="25" cm="1">
        <f t="array" ref="CB6:CB29">Null[Null]</f>
        <v>0</v>
      </c>
      <c r="CC6" s="25" cm="1">
        <f t="array" ref="CC6:CC29">Null[Null]</f>
        <v>0</v>
      </c>
      <c r="CD6" s="25" cm="1">
        <f t="array" ref="CD6:CD29">Weld[A_Auswahl]</f>
        <v>3</v>
      </c>
      <c r="CF6">
        <f>B6</f>
        <v>15</v>
      </c>
      <c r="CG6" t="str" cm="1">
        <f t="array" ref="CG6:CG29">IF(ISERROR(FIND("2",Prim_Supp[Ausf])),"S","D")</f>
        <v>S</v>
      </c>
      <c r="CH6" t="str" cm="1">
        <f t="array" ref="CH6:CH29">IF(ISERROR(FIND("U",Prim_Supp[Ausf])),IF(ISERROR(FIND("LL",Prim_Supp[Ausf])),"T","LL"),"U")</f>
        <v>T</v>
      </c>
      <c r="CI6" t="str">
        <f>IF(OR($A6="PFP",$A6="GB"),"GU"&amp;IF(CH6="U",IF($A$2="Carbon","","LL"),""),"X")</f>
        <v>X</v>
      </c>
      <c r="CJ6" s="48" t="s">
        <v>40</v>
      </c>
      <c r="CK6" t="str">
        <f>IF($A6="PFP","AX","X")</f>
        <v>X</v>
      </c>
      <c r="CL6" t="str" cm="1">
        <f t="array" ref="CL6:CL29">IF(OR($A6="PFP",$A6="FP"),"CL"&amp;TEXT(Flachnocken[STK_Auswahl],"00"),"CL"&amp;TEXT(Null[Null],"00"))</f>
        <v>CL00</v>
      </c>
      <c r="CM6" t="str" cm="1">
        <f t="array" ref="CM6:CM29">IF(ISERROR(FIND("v",Prim_Supp[Ausf])),"X","ST")</f>
        <v>X</v>
      </c>
      <c r="CN6" t="str">
        <f t="shared" ref="CN6:CN29" si="0">_xlfn.TEXTJOIN("_",FALSE,CG6:CM6)</f>
        <v>S_T_X_X_X_CL00_X</v>
      </c>
      <c r="CO6" t="str" cm="1">
        <f t="array" ref="CO6:CO29">CONCATENATE("EUC-VNX",Prim_Supp[Digit8],"00",Prim_Supp[Digit11],"-",Prim_Supp[DN],"-",Prim_Supp[DN],"-0-0")</f>
        <v>EUC-VNXC00B-15-15-0-0</v>
      </c>
      <c r="CP6" t="str">
        <f>IF($A$2="Carbon","_Csteel","")</f>
        <v>_Csteel</v>
      </c>
      <c r="CQ6" t="str">
        <f>_xlfn.TEXTJOIN(" ",FALSE,"PARA",E6:CD6)</f>
        <v>PARA 15 15 22 22 ATT ATT 0 0 0.85 82 22 96 30 5 7 0 66 0 0 0 0 -30 0 0 0 0 0 0 0 66 60 120 6 0 0 0 0 0 0 0 0 0 0 0 0 0 0 0 0 0 0 0 0 0 0 0 0 0 0 0 0 0 0 0 0 0 0 0 0 0 0 0 0 84032 0 0 0 3</v>
      </c>
      <c r="CR6" t="str">
        <f>"/"&amp;CO6&amp;CP6</f>
        <v>/EUC-VNXC00B-15-15-0-0_Csteel</v>
      </c>
      <c r="CT6">
        <f>COUNTIF(Codes!$A$3:$A$35,CATA!CN6)</f>
        <v>1</v>
      </c>
      <c r="CU6" t="str">
        <f>$CT$5&amp;$CN6&amp;"-"&amp;CU$5</f>
        <v>/EuC-CATA-SUPP/COMMON/S_T_X_X_X_CL00_X-GMSE</v>
      </c>
      <c r="CV6" t="str">
        <f>$CT$5&amp;$CN6&amp;"-"&amp;CV$5</f>
        <v>/EuC-CATA-SUPP/COMMON/S_T_X_X_X_CL00_X-PTSE</v>
      </c>
      <c r="CW6" t="str">
        <f>IF(VLOOKUP(CN6,Codes!$A$3:$C$35,3,FALSE)=0,CF6,"OK")</f>
        <v>OK</v>
      </c>
    </row>
    <row r="7" spans="1:101">
      <c r="A7" s="44" t="str">
        <f t="shared" ref="A7:A29" si="1">$A$3</f>
        <v>GS</v>
      </c>
      <c r="B7" s="21">
        <v>20</v>
      </c>
      <c r="C7" s="21"/>
      <c r="D7" s="21"/>
      <c r="E7" s="21">
        <v>20</v>
      </c>
      <c r="F7" s="21">
        <v>20</v>
      </c>
      <c r="G7" s="21">
        <v>27</v>
      </c>
      <c r="H7" s="21">
        <v>27</v>
      </c>
      <c r="I7" s="21" t="str">
        <v>ATT</v>
      </c>
      <c r="J7" s="21" t="str">
        <v>ATT</v>
      </c>
      <c r="K7" s="21">
        <v>0</v>
      </c>
      <c r="L7" s="21">
        <v>0</v>
      </c>
      <c r="M7" s="21" t="str">
        <v>0.90</v>
      </c>
      <c r="N7" s="21" t="str">
        <v>84.5</v>
      </c>
      <c r="O7" s="21">
        <v>27</v>
      </c>
      <c r="P7" s="21">
        <v>96</v>
      </c>
      <c r="Q7" s="21">
        <v>30</v>
      </c>
      <c r="R7" s="21">
        <v>5</v>
      </c>
      <c r="S7" s="21">
        <v>7</v>
      </c>
      <c r="T7" s="25">
        <v>0</v>
      </c>
      <c r="U7" s="25" t="str">
        <v>66</v>
      </c>
      <c r="V7" s="25">
        <v>0</v>
      </c>
      <c r="W7" s="25">
        <v>0</v>
      </c>
      <c r="X7" s="25">
        <v>0</v>
      </c>
      <c r="Y7" s="25">
        <v>0</v>
      </c>
      <c r="Z7" s="25">
        <v>-30</v>
      </c>
      <c r="AA7" s="65">
        <v>0</v>
      </c>
      <c r="AB7" s="65">
        <v>0</v>
      </c>
      <c r="AC7" s="65">
        <v>0</v>
      </c>
      <c r="AD7" s="65">
        <v>0</v>
      </c>
      <c r="AE7" s="65">
        <v>0</v>
      </c>
      <c r="AF7" s="65">
        <v>0</v>
      </c>
      <c r="AG7" s="65">
        <v>0</v>
      </c>
      <c r="AH7" s="25" t="str">
        <v>66</v>
      </c>
      <c r="AI7" s="25">
        <v>60</v>
      </c>
      <c r="AJ7" s="25">
        <v>120</v>
      </c>
      <c r="AK7" s="25">
        <v>6</v>
      </c>
      <c r="AL7" s="25">
        <v>0</v>
      </c>
      <c r="AM7" s="25">
        <v>0</v>
      </c>
      <c r="AN7" s="25">
        <v>0</v>
      </c>
      <c r="AO7" s="25">
        <v>0</v>
      </c>
      <c r="AP7" s="25">
        <v>0</v>
      </c>
      <c r="AQ7" s="25">
        <v>0</v>
      </c>
      <c r="AR7" s="25">
        <v>0</v>
      </c>
      <c r="AS7" s="25">
        <v>0</v>
      </c>
      <c r="AT7" s="25">
        <v>0</v>
      </c>
      <c r="AU7" s="25">
        <v>0</v>
      </c>
      <c r="AV7" s="25">
        <v>0</v>
      </c>
      <c r="AW7" s="25">
        <v>0</v>
      </c>
      <c r="AX7" s="25">
        <v>0</v>
      </c>
      <c r="AY7" s="25">
        <v>0</v>
      </c>
      <c r="AZ7" s="25">
        <v>0</v>
      </c>
      <c r="BA7" s="25">
        <v>0</v>
      </c>
      <c r="BB7" s="25">
        <v>0</v>
      </c>
      <c r="BC7" s="25">
        <v>0</v>
      </c>
      <c r="BD7" s="25">
        <v>0</v>
      </c>
      <c r="BE7" s="25">
        <v>0</v>
      </c>
      <c r="BF7" s="25">
        <v>0</v>
      </c>
      <c r="BG7" s="25">
        <v>0</v>
      </c>
      <c r="BH7" s="25">
        <v>0</v>
      </c>
      <c r="BI7" s="25">
        <v>0</v>
      </c>
      <c r="BJ7" s="25">
        <v>0</v>
      </c>
      <c r="BK7" s="25">
        <v>0</v>
      </c>
      <c r="BL7" s="35">
        <v>0</v>
      </c>
      <c r="BM7" s="25">
        <v>0</v>
      </c>
      <c r="BN7" s="25">
        <v>0</v>
      </c>
      <c r="BO7" s="35">
        <v>0</v>
      </c>
      <c r="BP7" s="25">
        <v>0</v>
      </c>
      <c r="BQ7" s="25">
        <v>0</v>
      </c>
      <c r="BR7" s="25">
        <v>0</v>
      </c>
      <c r="BS7" s="25">
        <v>0</v>
      </c>
      <c r="BT7" s="35">
        <v>0</v>
      </c>
      <c r="BU7" s="35">
        <v>0</v>
      </c>
      <c r="BV7" s="25">
        <v>0</v>
      </c>
      <c r="BW7" s="25">
        <v>0</v>
      </c>
      <c r="BX7" s="25">
        <v>0</v>
      </c>
      <c r="BY7" s="25">
        <v>0</v>
      </c>
      <c r="BZ7" s="25" t="str">
        <v>84033</v>
      </c>
      <c r="CA7" s="25">
        <v>0</v>
      </c>
      <c r="CB7" s="25">
        <v>0</v>
      </c>
      <c r="CC7" s="25">
        <v>0</v>
      </c>
      <c r="CD7" s="25">
        <v>3</v>
      </c>
      <c r="CF7">
        <f t="shared" ref="CF7:CF29" si="2">B7</f>
        <v>20</v>
      </c>
      <c r="CG7" t="str">
        <v>S</v>
      </c>
      <c r="CH7" t="str">
        <v>T</v>
      </c>
      <c r="CI7" t="str">
        <f t="shared" ref="CI7:CI29" si="3">IF(OR($A7="PFP",$A7="GB"),"GU"&amp;IF(CH7="U",IF($A$2="Carbon","","LL"),""),"X")</f>
        <v>X</v>
      </c>
      <c r="CJ7" s="48" t="s">
        <v>40</v>
      </c>
      <c r="CK7" t="str">
        <f t="shared" ref="CK7:CK29" si="4">IF($A7="PFP","AX","X")</f>
        <v>X</v>
      </c>
      <c r="CL7" t="str">
        <v>CL00</v>
      </c>
      <c r="CM7" t="str">
        <v>X</v>
      </c>
      <c r="CN7" t="str">
        <f t="shared" si="0"/>
        <v>S_T_X_X_X_CL00_X</v>
      </c>
      <c r="CO7" t="str">
        <v>EUC-VNXC00B-20-20-0-0</v>
      </c>
      <c r="CP7" t="str">
        <f t="shared" ref="CP7:CP29" si="5">IF($A$2="Carbon","_Csteel","")</f>
        <v>_Csteel</v>
      </c>
      <c r="CQ7" t="str">
        <f t="shared" ref="CQ7:CQ29" si="6">_xlfn.TEXTJOIN(" ",FALSE,"PARA",E7:CD7)</f>
        <v>PARA 20 20 27 27 ATT ATT 0 0 0.90 84.5 27 96 30 5 7 0 66 0 0 0 0 -30 0 0 0 0 0 0 0 66 60 120 6 0 0 0 0 0 0 0 0 0 0 0 0 0 0 0 0 0 0 0 0 0 0 0 0 0 0 0 0 0 0 0 0 0 0 0 0 0 0 0 0 84033 0 0 0 3</v>
      </c>
      <c r="CR7" t="str">
        <f t="shared" ref="CR7:CR29" si="7">"/"&amp;CO7&amp;CP7</f>
        <v>/EUC-VNXC00B-20-20-0-0_Csteel</v>
      </c>
      <c r="CT7">
        <f>COUNTIF(Codes!$A$3:$A$35,CATA!CN7)</f>
        <v>1</v>
      </c>
      <c r="CU7" t="str">
        <f t="shared" ref="CU7:CV29" si="8">$CT$5&amp;$CN7&amp;"-"&amp;CU$5</f>
        <v>/EuC-CATA-SUPP/COMMON/S_T_X_X_X_CL00_X-GMSE</v>
      </c>
      <c r="CV7" t="str">
        <f t="shared" si="8"/>
        <v>/EuC-CATA-SUPP/COMMON/S_T_X_X_X_CL00_X-PTSE</v>
      </c>
      <c r="CW7" t="str">
        <f>IF(VLOOKUP(CN7,Codes!$A$3:$C$35,3,FALSE)=0,CF7,"OK")</f>
        <v>OK</v>
      </c>
    </row>
    <row r="8" spans="1:101">
      <c r="A8" s="44" t="str">
        <f t="shared" si="1"/>
        <v>GS</v>
      </c>
      <c r="B8" s="21">
        <v>25</v>
      </c>
      <c r="C8" s="21"/>
      <c r="D8" s="21"/>
      <c r="E8" s="21">
        <v>25</v>
      </c>
      <c r="F8" s="21">
        <v>25</v>
      </c>
      <c r="G8" s="21">
        <v>34</v>
      </c>
      <c r="H8" s="21">
        <v>34</v>
      </c>
      <c r="I8" s="21" t="str">
        <v>ATT</v>
      </c>
      <c r="J8" s="21" t="str">
        <v>ATT</v>
      </c>
      <c r="K8" s="21">
        <v>0</v>
      </c>
      <c r="L8" s="21">
        <v>0</v>
      </c>
      <c r="M8" s="21" t="str">
        <v>0.96</v>
      </c>
      <c r="N8" s="21" t="str">
        <v>88</v>
      </c>
      <c r="O8" s="21">
        <v>34</v>
      </c>
      <c r="P8" s="21">
        <v>102</v>
      </c>
      <c r="Q8" s="21">
        <v>30</v>
      </c>
      <c r="R8" s="21">
        <v>5</v>
      </c>
      <c r="S8" s="21">
        <v>7</v>
      </c>
      <c r="T8" s="25">
        <v>0</v>
      </c>
      <c r="U8" s="25" t="str">
        <v>66</v>
      </c>
      <c r="V8" s="25">
        <v>0</v>
      </c>
      <c r="W8" s="25">
        <v>0</v>
      </c>
      <c r="X8" s="25">
        <v>0</v>
      </c>
      <c r="Y8" s="25">
        <v>0</v>
      </c>
      <c r="Z8" s="25">
        <v>-30</v>
      </c>
      <c r="AA8" s="65">
        <v>0</v>
      </c>
      <c r="AB8" s="65">
        <v>0</v>
      </c>
      <c r="AC8" s="65">
        <v>0</v>
      </c>
      <c r="AD8" s="65">
        <v>0</v>
      </c>
      <c r="AE8" s="65">
        <v>0</v>
      </c>
      <c r="AF8" s="65">
        <v>0</v>
      </c>
      <c r="AG8" s="65">
        <v>0</v>
      </c>
      <c r="AH8" s="25" t="str">
        <v>66</v>
      </c>
      <c r="AI8" s="25">
        <v>60</v>
      </c>
      <c r="AJ8" s="25">
        <v>120</v>
      </c>
      <c r="AK8" s="25">
        <v>6</v>
      </c>
      <c r="AL8" s="25">
        <v>0</v>
      </c>
      <c r="AM8" s="25">
        <v>0</v>
      </c>
      <c r="AN8" s="25">
        <v>0</v>
      </c>
      <c r="AO8" s="25">
        <v>0</v>
      </c>
      <c r="AP8" s="25">
        <v>0</v>
      </c>
      <c r="AQ8" s="25">
        <v>0</v>
      </c>
      <c r="AR8" s="25">
        <v>0</v>
      </c>
      <c r="AS8" s="25">
        <v>0</v>
      </c>
      <c r="AT8" s="25">
        <v>0</v>
      </c>
      <c r="AU8" s="25">
        <v>0</v>
      </c>
      <c r="AV8" s="25">
        <v>0</v>
      </c>
      <c r="AW8" s="25">
        <v>0</v>
      </c>
      <c r="AX8" s="25">
        <v>0</v>
      </c>
      <c r="AY8" s="25">
        <v>0</v>
      </c>
      <c r="AZ8" s="25">
        <v>0</v>
      </c>
      <c r="BA8" s="25">
        <v>0</v>
      </c>
      <c r="BB8" s="25">
        <v>0</v>
      </c>
      <c r="BC8" s="25">
        <v>0</v>
      </c>
      <c r="BD8" s="25">
        <v>0</v>
      </c>
      <c r="BE8" s="25">
        <v>0</v>
      </c>
      <c r="BF8" s="25">
        <v>0</v>
      </c>
      <c r="BG8" s="25">
        <v>0</v>
      </c>
      <c r="BH8" s="25">
        <v>0</v>
      </c>
      <c r="BI8" s="25">
        <v>0</v>
      </c>
      <c r="BJ8" s="25">
        <v>0</v>
      </c>
      <c r="BK8" s="25">
        <v>0</v>
      </c>
      <c r="BL8" s="35">
        <v>0</v>
      </c>
      <c r="BM8" s="25">
        <v>0</v>
      </c>
      <c r="BN8" s="25">
        <v>0</v>
      </c>
      <c r="BO8" s="35">
        <v>0</v>
      </c>
      <c r="BP8" s="25">
        <v>0</v>
      </c>
      <c r="BQ8" s="25">
        <v>0</v>
      </c>
      <c r="BR8" s="25">
        <v>0</v>
      </c>
      <c r="BS8" s="25">
        <v>0</v>
      </c>
      <c r="BT8" s="35">
        <v>0</v>
      </c>
      <c r="BU8" s="35">
        <v>0</v>
      </c>
      <c r="BV8" s="25">
        <v>0</v>
      </c>
      <c r="BW8" s="25">
        <v>0</v>
      </c>
      <c r="BX8" s="25">
        <v>0</v>
      </c>
      <c r="BY8" s="25">
        <v>0</v>
      </c>
      <c r="BZ8" s="25" t="str">
        <v>84034</v>
      </c>
      <c r="CA8" s="25">
        <v>0</v>
      </c>
      <c r="CB8" s="25">
        <v>0</v>
      </c>
      <c r="CC8" s="25">
        <v>0</v>
      </c>
      <c r="CD8" s="25">
        <v>3</v>
      </c>
      <c r="CF8">
        <f t="shared" si="2"/>
        <v>25</v>
      </c>
      <c r="CG8" t="str">
        <v>S</v>
      </c>
      <c r="CH8" t="str">
        <v>T</v>
      </c>
      <c r="CI8" t="str">
        <f t="shared" si="3"/>
        <v>X</v>
      </c>
      <c r="CJ8" s="48" t="s">
        <v>40</v>
      </c>
      <c r="CK8" t="str">
        <f t="shared" si="4"/>
        <v>X</v>
      </c>
      <c r="CL8" t="str">
        <v>CL00</v>
      </c>
      <c r="CM8" t="str">
        <v>X</v>
      </c>
      <c r="CN8" t="str">
        <f t="shared" si="0"/>
        <v>S_T_X_X_X_CL00_X</v>
      </c>
      <c r="CO8" t="str">
        <v>EUC-VNXC00B-25-25-0-0</v>
      </c>
      <c r="CP8" t="str">
        <f t="shared" si="5"/>
        <v>_Csteel</v>
      </c>
      <c r="CQ8" t="str">
        <f t="shared" si="6"/>
        <v>PARA 25 25 34 34 ATT ATT 0 0 0.96 88 34 102 30 5 7 0 66 0 0 0 0 -30 0 0 0 0 0 0 0 66 60 120 6 0 0 0 0 0 0 0 0 0 0 0 0 0 0 0 0 0 0 0 0 0 0 0 0 0 0 0 0 0 0 0 0 0 0 0 0 0 0 0 0 84034 0 0 0 3</v>
      </c>
      <c r="CR8" t="str">
        <f t="shared" si="7"/>
        <v>/EUC-VNXC00B-25-25-0-0_Csteel</v>
      </c>
      <c r="CT8">
        <f>COUNTIF(Codes!$A$3:$A$35,CATA!CN8)</f>
        <v>1</v>
      </c>
      <c r="CU8" t="str">
        <f t="shared" si="8"/>
        <v>/EuC-CATA-SUPP/COMMON/S_T_X_X_X_CL00_X-GMSE</v>
      </c>
      <c r="CV8" t="str">
        <f t="shared" si="8"/>
        <v>/EuC-CATA-SUPP/COMMON/S_T_X_X_X_CL00_X-PTSE</v>
      </c>
      <c r="CW8" t="str">
        <f>IF(VLOOKUP(CN8,Codes!$A$3:$C$35,3,FALSE)=0,CF8,"OK")</f>
        <v>OK</v>
      </c>
    </row>
    <row r="9" spans="1:101">
      <c r="A9" s="44" t="str">
        <f t="shared" si="1"/>
        <v>GS</v>
      </c>
      <c r="B9" s="21">
        <v>32</v>
      </c>
      <c r="C9" s="21"/>
      <c r="D9" s="21"/>
      <c r="E9" s="21">
        <v>32</v>
      </c>
      <c r="F9" s="21">
        <v>32</v>
      </c>
      <c r="G9" s="21">
        <v>43</v>
      </c>
      <c r="H9" s="21">
        <v>43</v>
      </c>
      <c r="I9" s="21" t="str">
        <v>ATT</v>
      </c>
      <c r="J9" s="21" t="str">
        <v>ATT</v>
      </c>
      <c r="K9" s="21">
        <v>0</v>
      </c>
      <c r="L9" s="21">
        <v>0</v>
      </c>
      <c r="M9" s="21" t="str">
        <v>0.98</v>
      </c>
      <c r="N9" s="21" t="str">
        <v>92.5</v>
      </c>
      <c r="O9" s="21">
        <v>43</v>
      </c>
      <c r="P9" s="21">
        <v>112</v>
      </c>
      <c r="Q9" s="21">
        <v>30</v>
      </c>
      <c r="R9" s="21">
        <v>5</v>
      </c>
      <c r="S9" s="21">
        <v>7</v>
      </c>
      <c r="T9" s="25">
        <v>0</v>
      </c>
      <c r="U9" s="25" t="str">
        <v>66</v>
      </c>
      <c r="V9" s="25">
        <v>0</v>
      </c>
      <c r="W9" s="25">
        <v>0</v>
      </c>
      <c r="X9" s="25">
        <v>0</v>
      </c>
      <c r="Y9" s="25">
        <v>0</v>
      </c>
      <c r="Z9" s="25">
        <v>-30</v>
      </c>
      <c r="AA9" s="65">
        <v>0</v>
      </c>
      <c r="AB9" s="65">
        <v>0</v>
      </c>
      <c r="AC9" s="65">
        <v>0</v>
      </c>
      <c r="AD9" s="65">
        <v>0</v>
      </c>
      <c r="AE9" s="65">
        <v>0</v>
      </c>
      <c r="AF9" s="65">
        <v>0</v>
      </c>
      <c r="AG9" s="65">
        <v>0</v>
      </c>
      <c r="AH9" s="25" t="str">
        <v>66</v>
      </c>
      <c r="AI9" s="25">
        <v>60</v>
      </c>
      <c r="AJ9" s="25">
        <v>120</v>
      </c>
      <c r="AK9" s="25">
        <v>6</v>
      </c>
      <c r="AL9" s="25">
        <v>0</v>
      </c>
      <c r="AM9" s="25">
        <v>0</v>
      </c>
      <c r="AN9" s="25">
        <v>0</v>
      </c>
      <c r="AO9" s="25">
        <v>0</v>
      </c>
      <c r="AP9" s="25">
        <v>0</v>
      </c>
      <c r="AQ9" s="25">
        <v>0</v>
      </c>
      <c r="AR9" s="25">
        <v>0</v>
      </c>
      <c r="AS9" s="25">
        <v>0</v>
      </c>
      <c r="AT9" s="25">
        <v>0</v>
      </c>
      <c r="AU9" s="25">
        <v>0</v>
      </c>
      <c r="AV9" s="25">
        <v>0</v>
      </c>
      <c r="AW9" s="25">
        <v>0</v>
      </c>
      <c r="AX9" s="25">
        <v>0</v>
      </c>
      <c r="AY9" s="25">
        <v>0</v>
      </c>
      <c r="AZ9" s="25">
        <v>0</v>
      </c>
      <c r="BA9" s="25">
        <v>0</v>
      </c>
      <c r="BB9" s="25">
        <v>0</v>
      </c>
      <c r="BC9" s="25">
        <v>0</v>
      </c>
      <c r="BD9" s="25">
        <v>0</v>
      </c>
      <c r="BE9" s="25">
        <v>0</v>
      </c>
      <c r="BF9" s="25">
        <v>0</v>
      </c>
      <c r="BG9" s="25">
        <v>0</v>
      </c>
      <c r="BH9" s="25">
        <v>0</v>
      </c>
      <c r="BI9" s="25">
        <v>0</v>
      </c>
      <c r="BJ9" s="25">
        <v>0</v>
      </c>
      <c r="BK9" s="25">
        <v>0</v>
      </c>
      <c r="BL9" s="35">
        <v>0</v>
      </c>
      <c r="BM9" s="25">
        <v>0</v>
      </c>
      <c r="BN9" s="25">
        <v>0</v>
      </c>
      <c r="BO9" s="35">
        <v>0</v>
      </c>
      <c r="BP9" s="25">
        <v>0</v>
      </c>
      <c r="BQ9" s="25">
        <v>0</v>
      </c>
      <c r="BR9" s="25">
        <v>0</v>
      </c>
      <c r="BS9" s="25">
        <v>0</v>
      </c>
      <c r="BT9" s="35">
        <v>0</v>
      </c>
      <c r="BU9" s="35">
        <v>0</v>
      </c>
      <c r="BV9" s="25">
        <v>0</v>
      </c>
      <c r="BW9" s="25">
        <v>0</v>
      </c>
      <c r="BX9" s="25">
        <v>0</v>
      </c>
      <c r="BY9" s="25">
        <v>0</v>
      </c>
      <c r="BZ9" s="25" t="str">
        <v>84035</v>
      </c>
      <c r="CA9" s="25">
        <v>0</v>
      </c>
      <c r="CB9" s="25">
        <v>0</v>
      </c>
      <c r="CC9" s="25">
        <v>0</v>
      </c>
      <c r="CD9" s="25">
        <v>3</v>
      </c>
      <c r="CF9">
        <f t="shared" si="2"/>
        <v>32</v>
      </c>
      <c r="CG9" t="str">
        <v>S</v>
      </c>
      <c r="CH9" t="str">
        <v>T</v>
      </c>
      <c r="CI9" t="str">
        <f t="shared" si="3"/>
        <v>X</v>
      </c>
      <c r="CJ9" s="48" t="s">
        <v>40</v>
      </c>
      <c r="CK9" t="str">
        <f t="shared" si="4"/>
        <v>X</v>
      </c>
      <c r="CL9" t="str">
        <v>CL00</v>
      </c>
      <c r="CM9" t="str">
        <v>X</v>
      </c>
      <c r="CN9" t="str">
        <f t="shared" si="0"/>
        <v>S_T_X_X_X_CL00_X</v>
      </c>
      <c r="CO9" t="str">
        <v>EUC-VNXC00B-32-32-0-0</v>
      </c>
      <c r="CP9" t="str">
        <f t="shared" si="5"/>
        <v>_Csteel</v>
      </c>
      <c r="CQ9" t="str">
        <f t="shared" si="6"/>
        <v>PARA 32 32 43 43 ATT ATT 0 0 0.98 92.5 43 112 30 5 7 0 66 0 0 0 0 -30 0 0 0 0 0 0 0 66 60 120 6 0 0 0 0 0 0 0 0 0 0 0 0 0 0 0 0 0 0 0 0 0 0 0 0 0 0 0 0 0 0 0 0 0 0 0 0 0 0 0 0 84035 0 0 0 3</v>
      </c>
      <c r="CR9" t="str">
        <f t="shared" si="7"/>
        <v>/EUC-VNXC00B-32-32-0-0_Csteel</v>
      </c>
      <c r="CT9">
        <f>COUNTIF(Codes!$A$3:$A$35,CATA!CN9)</f>
        <v>1</v>
      </c>
      <c r="CU9" t="str">
        <f t="shared" si="8"/>
        <v>/EuC-CATA-SUPP/COMMON/S_T_X_X_X_CL00_X-GMSE</v>
      </c>
      <c r="CV9" t="str">
        <f t="shared" si="8"/>
        <v>/EuC-CATA-SUPP/COMMON/S_T_X_X_X_CL00_X-PTSE</v>
      </c>
      <c r="CW9" t="str">
        <f>IF(VLOOKUP(CN9,Codes!$A$3:$C$35,3,FALSE)=0,CF9,"OK")</f>
        <v>OK</v>
      </c>
    </row>
    <row r="10" spans="1:101">
      <c r="A10" s="44" t="str">
        <f t="shared" si="1"/>
        <v>GS</v>
      </c>
      <c r="B10" s="21">
        <v>40</v>
      </c>
      <c r="C10" s="21"/>
      <c r="D10" s="21"/>
      <c r="E10" s="21">
        <v>40</v>
      </c>
      <c r="F10" s="21">
        <v>40</v>
      </c>
      <c r="G10" s="21">
        <v>49</v>
      </c>
      <c r="H10" s="21">
        <v>49</v>
      </c>
      <c r="I10" s="21" t="str">
        <v>ATT</v>
      </c>
      <c r="J10" s="21" t="str">
        <v>ATT</v>
      </c>
      <c r="K10" s="21">
        <v>0</v>
      </c>
      <c r="L10" s="21">
        <v>0</v>
      </c>
      <c r="M10" s="21" t="str">
        <v>1.00</v>
      </c>
      <c r="N10" s="21" t="str">
        <v>95.5</v>
      </c>
      <c r="O10" s="21">
        <v>49</v>
      </c>
      <c r="P10" s="21">
        <v>118</v>
      </c>
      <c r="Q10" s="21">
        <v>30</v>
      </c>
      <c r="R10" s="21">
        <v>5</v>
      </c>
      <c r="S10" s="21">
        <v>7</v>
      </c>
      <c r="T10" s="25">
        <v>0</v>
      </c>
      <c r="U10" s="25" t="str">
        <v>66</v>
      </c>
      <c r="V10" s="25">
        <v>0</v>
      </c>
      <c r="W10" s="25">
        <v>0</v>
      </c>
      <c r="X10" s="25">
        <v>0</v>
      </c>
      <c r="Y10" s="25">
        <v>0</v>
      </c>
      <c r="Z10" s="25">
        <v>-30</v>
      </c>
      <c r="AA10" s="65">
        <v>0</v>
      </c>
      <c r="AB10" s="65">
        <v>0</v>
      </c>
      <c r="AC10" s="65">
        <v>0</v>
      </c>
      <c r="AD10" s="65">
        <v>0</v>
      </c>
      <c r="AE10" s="65">
        <v>0</v>
      </c>
      <c r="AF10" s="65">
        <v>0</v>
      </c>
      <c r="AG10" s="65">
        <v>0</v>
      </c>
      <c r="AH10" s="25" t="str">
        <v>66</v>
      </c>
      <c r="AI10" s="25">
        <v>60</v>
      </c>
      <c r="AJ10" s="25">
        <v>120</v>
      </c>
      <c r="AK10" s="25">
        <v>6</v>
      </c>
      <c r="AL10" s="25">
        <v>0</v>
      </c>
      <c r="AM10" s="25">
        <v>0</v>
      </c>
      <c r="AN10" s="25">
        <v>0</v>
      </c>
      <c r="AO10" s="25">
        <v>0</v>
      </c>
      <c r="AP10" s="25">
        <v>0</v>
      </c>
      <c r="AQ10" s="25">
        <v>0</v>
      </c>
      <c r="AR10" s="25">
        <v>0</v>
      </c>
      <c r="AS10" s="25">
        <v>0</v>
      </c>
      <c r="AT10" s="25">
        <v>0</v>
      </c>
      <c r="AU10" s="25">
        <v>0</v>
      </c>
      <c r="AV10" s="25">
        <v>0</v>
      </c>
      <c r="AW10" s="25">
        <v>0</v>
      </c>
      <c r="AX10" s="25">
        <v>0</v>
      </c>
      <c r="AY10" s="25">
        <v>0</v>
      </c>
      <c r="AZ10" s="25">
        <v>0</v>
      </c>
      <c r="BA10" s="25">
        <v>0</v>
      </c>
      <c r="BB10" s="25">
        <v>0</v>
      </c>
      <c r="BC10" s="25">
        <v>0</v>
      </c>
      <c r="BD10" s="25">
        <v>0</v>
      </c>
      <c r="BE10" s="25">
        <v>0</v>
      </c>
      <c r="BF10" s="25">
        <v>0</v>
      </c>
      <c r="BG10" s="25">
        <v>0</v>
      </c>
      <c r="BH10" s="25">
        <v>0</v>
      </c>
      <c r="BI10" s="25">
        <v>0</v>
      </c>
      <c r="BJ10" s="25">
        <v>0</v>
      </c>
      <c r="BK10" s="25">
        <v>0</v>
      </c>
      <c r="BL10" s="35">
        <v>0</v>
      </c>
      <c r="BM10" s="25">
        <v>0</v>
      </c>
      <c r="BN10" s="25">
        <v>0</v>
      </c>
      <c r="BO10" s="35">
        <v>0</v>
      </c>
      <c r="BP10" s="25">
        <v>0</v>
      </c>
      <c r="BQ10" s="25">
        <v>0</v>
      </c>
      <c r="BR10" s="25">
        <v>0</v>
      </c>
      <c r="BS10" s="25">
        <v>0</v>
      </c>
      <c r="BT10" s="35">
        <v>0</v>
      </c>
      <c r="BU10" s="35">
        <v>0</v>
      </c>
      <c r="BV10" s="25">
        <v>0</v>
      </c>
      <c r="BW10" s="25">
        <v>0</v>
      </c>
      <c r="BX10" s="25">
        <v>0</v>
      </c>
      <c r="BY10" s="25">
        <v>0</v>
      </c>
      <c r="BZ10" s="25" t="str">
        <v>84036</v>
      </c>
      <c r="CA10" s="25">
        <v>0</v>
      </c>
      <c r="CB10" s="25">
        <v>0</v>
      </c>
      <c r="CC10" s="25">
        <v>0</v>
      </c>
      <c r="CD10" s="25">
        <v>3</v>
      </c>
      <c r="CF10">
        <f t="shared" si="2"/>
        <v>40</v>
      </c>
      <c r="CG10" t="str">
        <v>S</v>
      </c>
      <c r="CH10" t="str">
        <v>T</v>
      </c>
      <c r="CI10" t="str">
        <f t="shared" si="3"/>
        <v>X</v>
      </c>
      <c r="CJ10" s="48" t="s">
        <v>40</v>
      </c>
      <c r="CK10" t="str">
        <f t="shared" si="4"/>
        <v>X</v>
      </c>
      <c r="CL10" t="str">
        <v>CL00</v>
      </c>
      <c r="CM10" t="str">
        <v>X</v>
      </c>
      <c r="CN10" t="str">
        <f t="shared" si="0"/>
        <v>S_T_X_X_X_CL00_X</v>
      </c>
      <c r="CO10" t="str">
        <v>EUC-VNXC00B-40-40-0-0</v>
      </c>
      <c r="CP10" t="str">
        <f t="shared" si="5"/>
        <v>_Csteel</v>
      </c>
      <c r="CQ10" t="str">
        <f t="shared" si="6"/>
        <v>PARA 40 40 49 49 ATT ATT 0 0 1.00 95.5 49 118 30 5 7 0 66 0 0 0 0 -30 0 0 0 0 0 0 0 66 60 120 6 0 0 0 0 0 0 0 0 0 0 0 0 0 0 0 0 0 0 0 0 0 0 0 0 0 0 0 0 0 0 0 0 0 0 0 0 0 0 0 0 84036 0 0 0 3</v>
      </c>
      <c r="CR10" t="str">
        <f t="shared" si="7"/>
        <v>/EUC-VNXC00B-40-40-0-0_Csteel</v>
      </c>
      <c r="CT10">
        <f>COUNTIF(Codes!$A$3:$A$35,CATA!CN10)</f>
        <v>1</v>
      </c>
      <c r="CU10" t="str">
        <f t="shared" si="8"/>
        <v>/EuC-CATA-SUPP/COMMON/S_T_X_X_X_CL00_X-GMSE</v>
      </c>
      <c r="CV10" t="str">
        <f t="shared" si="8"/>
        <v>/EuC-CATA-SUPP/COMMON/S_T_X_X_X_CL00_X-PTSE</v>
      </c>
      <c r="CW10" t="str">
        <f>IF(VLOOKUP(CN10,Codes!$A$3:$C$35,3,FALSE)=0,CF10,"OK")</f>
        <v>OK</v>
      </c>
    </row>
    <row r="11" spans="1:101">
      <c r="A11" s="44" t="str">
        <f t="shared" si="1"/>
        <v>GS</v>
      </c>
      <c r="B11" s="21">
        <v>50</v>
      </c>
      <c r="C11" s="21"/>
      <c r="D11" s="21"/>
      <c r="E11" s="21">
        <v>50</v>
      </c>
      <c r="F11" s="21">
        <v>50</v>
      </c>
      <c r="G11" s="21">
        <v>61</v>
      </c>
      <c r="H11" s="21">
        <v>61</v>
      </c>
      <c r="I11" s="21" t="str">
        <v>ATT</v>
      </c>
      <c r="J11" s="21" t="str">
        <v>ATT</v>
      </c>
      <c r="K11" s="21">
        <v>0</v>
      </c>
      <c r="L11" s="21">
        <v>0</v>
      </c>
      <c r="M11" s="21" t="str">
        <v>1.32</v>
      </c>
      <c r="N11" s="21" t="str">
        <v>102.5</v>
      </c>
      <c r="O11" s="21">
        <v>61</v>
      </c>
      <c r="P11" s="21">
        <v>144</v>
      </c>
      <c r="Q11" s="21">
        <v>40</v>
      </c>
      <c r="R11" s="21">
        <v>6</v>
      </c>
      <c r="S11" s="21">
        <v>9</v>
      </c>
      <c r="T11" s="25">
        <v>0</v>
      </c>
      <c r="U11" s="25" t="str">
        <v>66</v>
      </c>
      <c r="V11" s="25">
        <v>0</v>
      </c>
      <c r="W11" s="25">
        <v>0</v>
      </c>
      <c r="X11" s="25">
        <v>0</v>
      </c>
      <c r="Y11" s="25">
        <v>0</v>
      </c>
      <c r="Z11" s="25">
        <v>-30</v>
      </c>
      <c r="AA11" s="65">
        <v>0</v>
      </c>
      <c r="AB11" s="65">
        <v>0</v>
      </c>
      <c r="AC11" s="65">
        <v>0</v>
      </c>
      <c r="AD11" s="65">
        <v>0</v>
      </c>
      <c r="AE11" s="65">
        <v>0</v>
      </c>
      <c r="AF11" s="65">
        <v>0</v>
      </c>
      <c r="AG11" s="65">
        <v>0</v>
      </c>
      <c r="AH11" s="25" t="str">
        <v>66</v>
      </c>
      <c r="AI11" s="25">
        <v>60</v>
      </c>
      <c r="AJ11" s="25">
        <v>120</v>
      </c>
      <c r="AK11" s="25">
        <v>6</v>
      </c>
      <c r="AL11" s="25">
        <v>0</v>
      </c>
      <c r="AM11" s="25">
        <v>0</v>
      </c>
      <c r="AN11" s="25">
        <v>0</v>
      </c>
      <c r="AO11" s="25">
        <v>0</v>
      </c>
      <c r="AP11" s="25">
        <v>0</v>
      </c>
      <c r="AQ11" s="25">
        <v>0</v>
      </c>
      <c r="AR11" s="25">
        <v>0</v>
      </c>
      <c r="AS11" s="25">
        <v>0</v>
      </c>
      <c r="AT11" s="25">
        <v>0</v>
      </c>
      <c r="AU11" s="25">
        <v>0</v>
      </c>
      <c r="AV11" s="25">
        <v>0</v>
      </c>
      <c r="AW11" s="25">
        <v>0</v>
      </c>
      <c r="AX11" s="25">
        <v>0</v>
      </c>
      <c r="AY11" s="25">
        <v>0</v>
      </c>
      <c r="AZ11" s="25">
        <v>0</v>
      </c>
      <c r="BA11" s="25">
        <v>0</v>
      </c>
      <c r="BB11" s="25">
        <v>0</v>
      </c>
      <c r="BC11" s="25">
        <v>0</v>
      </c>
      <c r="BD11" s="25">
        <v>0</v>
      </c>
      <c r="BE11" s="25">
        <v>0</v>
      </c>
      <c r="BF11" s="25">
        <v>0</v>
      </c>
      <c r="BG11" s="25">
        <v>0</v>
      </c>
      <c r="BH11" s="25">
        <v>0</v>
      </c>
      <c r="BI11" s="25">
        <v>0</v>
      </c>
      <c r="BJ11" s="25">
        <v>0</v>
      </c>
      <c r="BK11" s="25">
        <v>0</v>
      </c>
      <c r="BL11" s="35">
        <v>0</v>
      </c>
      <c r="BM11" s="25">
        <v>0</v>
      </c>
      <c r="BN11" s="25">
        <v>0</v>
      </c>
      <c r="BO11" s="35">
        <v>0</v>
      </c>
      <c r="BP11" s="25">
        <v>0</v>
      </c>
      <c r="BQ11" s="25">
        <v>0</v>
      </c>
      <c r="BR11" s="25">
        <v>0</v>
      </c>
      <c r="BS11" s="25">
        <v>0</v>
      </c>
      <c r="BT11" s="35">
        <v>0</v>
      </c>
      <c r="BU11" s="35">
        <v>0</v>
      </c>
      <c r="BV11" s="25">
        <v>0</v>
      </c>
      <c r="BW11" s="25">
        <v>0</v>
      </c>
      <c r="BX11" s="25">
        <v>0</v>
      </c>
      <c r="BY11" s="25">
        <v>0</v>
      </c>
      <c r="BZ11" s="25" t="str">
        <v>84037</v>
      </c>
      <c r="CA11" s="25">
        <v>0</v>
      </c>
      <c r="CB11" s="25">
        <v>0</v>
      </c>
      <c r="CC11" s="25">
        <v>0</v>
      </c>
      <c r="CD11" s="25">
        <v>4</v>
      </c>
      <c r="CF11">
        <f t="shared" si="2"/>
        <v>50</v>
      </c>
      <c r="CG11" t="str">
        <v>S</v>
      </c>
      <c r="CH11" t="str">
        <v>T</v>
      </c>
      <c r="CI11" t="str">
        <f t="shared" si="3"/>
        <v>X</v>
      </c>
      <c r="CJ11" s="48" t="s">
        <v>40</v>
      </c>
      <c r="CK11" t="str">
        <f t="shared" si="4"/>
        <v>X</v>
      </c>
      <c r="CL11" t="str">
        <v>CL00</v>
      </c>
      <c r="CM11" t="str">
        <v>X</v>
      </c>
      <c r="CN11" t="str">
        <f t="shared" si="0"/>
        <v>S_T_X_X_X_CL00_X</v>
      </c>
      <c r="CO11" t="str">
        <v>EUC-VNXC00B-50-50-0-0</v>
      </c>
      <c r="CP11" t="str">
        <f t="shared" si="5"/>
        <v>_Csteel</v>
      </c>
      <c r="CQ11" t="str">
        <f t="shared" si="6"/>
        <v>PARA 50 50 61 61 ATT ATT 0 0 1.32 102.5 61 144 40 6 9 0 66 0 0 0 0 -30 0 0 0 0 0 0 0 66 60 120 6 0 0 0 0 0 0 0 0 0 0 0 0 0 0 0 0 0 0 0 0 0 0 0 0 0 0 0 0 0 0 0 0 0 0 0 0 0 0 0 0 84037 0 0 0 4</v>
      </c>
      <c r="CR11" t="str">
        <f t="shared" si="7"/>
        <v>/EUC-VNXC00B-50-50-0-0_Csteel</v>
      </c>
      <c r="CT11">
        <f>COUNTIF(Codes!$A$3:$A$35,CATA!CN11)</f>
        <v>1</v>
      </c>
      <c r="CU11" t="str">
        <f t="shared" si="8"/>
        <v>/EuC-CATA-SUPP/COMMON/S_T_X_X_X_CL00_X-GMSE</v>
      </c>
      <c r="CV11" t="str">
        <f t="shared" si="8"/>
        <v>/EuC-CATA-SUPP/COMMON/S_T_X_X_X_CL00_X-PTSE</v>
      </c>
      <c r="CW11" t="str">
        <f>IF(VLOOKUP(CN11,Codes!$A$3:$C$35,3,FALSE)=0,CF11,"OK")</f>
        <v>OK</v>
      </c>
    </row>
    <row r="12" spans="1:101">
      <c r="A12" s="44" t="str">
        <f t="shared" si="1"/>
        <v>GS</v>
      </c>
      <c r="B12" s="21">
        <v>65</v>
      </c>
      <c r="C12" s="21"/>
      <c r="D12" s="21"/>
      <c r="E12" s="21">
        <v>65</v>
      </c>
      <c r="F12" s="21">
        <v>65</v>
      </c>
      <c r="G12" s="21">
        <v>77</v>
      </c>
      <c r="H12" s="21">
        <v>77</v>
      </c>
      <c r="I12" s="21" t="str">
        <v>ATT</v>
      </c>
      <c r="J12" s="21" t="str">
        <v>ATT</v>
      </c>
      <c r="K12" s="21">
        <v>0</v>
      </c>
      <c r="L12" s="21">
        <v>0</v>
      </c>
      <c r="M12" s="21" t="str">
        <v>1.39</v>
      </c>
      <c r="N12" s="21" t="str">
        <v>110.5</v>
      </c>
      <c r="O12" s="21">
        <v>77</v>
      </c>
      <c r="P12" s="21">
        <v>158</v>
      </c>
      <c r="Q12" s="21">
        <v>40</v>
      </c>
      <c r="R12" s="21">
        <v>6</v>
      </c>
      <c r="S12" s="21">
        <v>9</v>
      </c>
      <c r="T12" s="25">
        <v>0</v>
      </c>
      <c r="U12" s="25" t="str">
        <v>66</v>
      </c>
      <c r="V12" s="25">
        <v>0</v>
      </c>
      <c r="W12" s="25">
        <v>0</v>
      </c>
      <c r="X12" s="25">
        <v>0</v>
      </c>
      <c r="Y12" s="25">
        <v>0</v>
      </c>
      <c r="Z12" s="25">
        <v>-30</v>
      </c>
      <c r="AA12" s="65">
        <v>0</v>
      </c>
      <c r="AB12" s="65">
        <v>0</v>
      </c>
      <c r="AC12" s="65">
        <v>0</v>
      </c>
      <c r="AD12" s="65">
        <v>0</v>
      </c>
      <c r="AE12" s="65">
        <v>0</v>
      </c>
      <c r="AF12" s="65">
        <v>0</v>
      </c>
      <c r="AG12" s="65">
        <v>0</v>
      </c>
      <c r="AH12" s="25" t="str">
        <v>66</v>
      </c>
      <c r="AI12" s="25">
        <v>60</v>
      </c>
      <c r="AJ12" s="25">
        <v>120</v>
      </c>
      <c r="AK12" s="25">
        <v>6</v>
      </c>
      <c r="AL12" s="25">
        <v>0</v>
      </c>
      <c r="AM12" s="25">
        <v>0</v>
      </c>
      <c r="AN12" s="25">
        <v>0</v>
      </c>
      <c r="AO12" s="25">
        <v>0</v>
      </c>
      <c r="AP12" s="25">
        <v>0</v>
      </c>
      <c r="AQ12" s="25">
        <v>0</v>
      </c>
      <c r="AR12" s="25">
        <v>0</v>
      </c>
      <c r="AS12" s="25">
        <v>0</v>
      </c>
      <c r="AT12" s="25">
        <v>0</v>
      </c>
      <c r="AU12" s="25">
        <v>0</v>
      </c>
      <c r="AV12" s="25">
        <v>0</v>
      </c>
      <c r="AW12" s="25">
        <v>0</v>
      </c>
      <c r="AX12" s="25">
        <v>0</v>
      </c>
      <c r="AY12" s="25">
        <v>0</v>
      </c>
      <c r="AZ12" s="25">
        <v>0</v>
      </c>
      <c r="BA12" s="25">
        <v>0</v>
      </c>
      <c r="BB12" s="25">
        <v>0</v>
      </c>
      <c r="BC12" s="25">
        <v>0</v>
      </c>
      <c r="BD12" s="25">
        <v>0</v>
      </c>
      <c r="BE12" s="25">
        <v>0</v>
      </c>
      <c r="BF12" s="25">
        <v>0</v>
      </c>
      <c r="BG12" s="25">
        <v>0</v>
      </c>
      <c r="BH12" s="25">
        <v>0</v>
      </c>
      <c r="BI12" s="25">
        <v>0</v>
      </c>
      <c r="BJ12" s="25">
        <v>0</v>
      </c>
      <c r="BK12" s="25">
        <v>0</v>
      </c>
      <c r="BL12" s="35">
        <v>0</v>
      </c>
      <c r="BM12" s="25">
        <v>0</v>
      </c>
      <c r="BN12" s="25">
        <v>0</v>
      </c>
      <c r="BO12" s="35">
        <v>0</v>
      </c>
      <c r="BP12" s="25">
        <v>0</v>
      </c>
      <c r="BQ12" s="25">
        <v>0</v>
      </c>
      <c r="BR12" s="25">
        <v>0</v>
      </c>
      <c r="BS12" s="25">
        <v>0</v>
      </c>
      <c r="BT12" s="35">
        <v>0</v>
      </c>
      <c r="BU12" s="35">
        <v>0</v>
      </c>
      <c r="BV12" s="25">
        <v>0</v>
      </c>
      <c r="BW12" s="25">
        <v>0</v>
      </c>
      <c r="BX12" s="25">
        <v>0</v>
      </c>
      <c r="BY12" s="25">
        <v>0</v>
      </c>
      <c r="BZ12" s="25" t="str">
        <v>84038</v>
      </c>
      <c r="CA12" s="25">
        <v>0</v>
      </c>
      <c r="CB12" s="25">
        <v>0</v>
      </c>
      <c r="CC12" s="25">
        <v>0</v>
      </c>
      <c r="CD12" s="25">
        <v>4</v>
      </c>
      <c r="CF12">
        <f t="shared" si="2"/>
        <v>65</v>
      </c>
      <c r="CG12" t="str">
        <v>S</v>
      </c>
      <c r="CH12" t="str">
        <v>T</v>
      </c>
      <c r="CI12" t="str">
        <f t="shared" si="3"/>
        <v>X</v>
      </c>
      <c r="CJ12" s="48" t="s">
        <v>40</v>
      </c>
      <c r="CK12" t="str">
        <f t="shared" si="4"/>
        <v>X</v>
      </c>
      <c r="CL12" t="str">
        <v>CL00</v>
      </c>
      <c r="CM12" t="str">
        <v>X</v>
      </c>
      <c r="CN12" t="str">
        <f t="shared" si="0"/>
        <v>S_T_X_X_X_CL00_X</v>
      </c>
      <c r="CO12" t="str">
        <v>EUC-VNXC00B-65-65-0-0</v>
      </c>
      <c r="CP12" t="str">
        <f t="shared" si="5"/>
        <v>_Csteel</v>
      </c>
      <c r="CQ12" t="str">
        <f t="shared" si="6"/>
        <v>PARA 65 65 77 77 ATT ATT 0 0 1.39 110.5 77 158 40 6 9 0 66 0 0 0 0 -30 0 0 0 0 0 0 0 66 60 120 6 0 0 0 0 0 0 0 0 0 0 0 0 0 0 0 0 0 0 0 0 0 0 0 0 0 0 0 0 0 0 0 0 0 0 0 0 0 0 0 0 84038 0 0 0 4</v>
      </c>
      <c r="CR12" t="str">
        <f t="shared" si="7"/>
        <v>/EUC-VNXC00B-65-65-0-0_Csteel</v>
      </c>
      <c r="CT12">
        <f>COUNTIF(Codes!$A$3:$A$35,CATA!CN12)</f>
        <v>1</v>
      </c>
      <c r="CU12" t="str">
        <f t="shared" si="8"/>
        <v>/EuC-CATA-SUPP/COMMON/S_T_X_X_X_CL00_X-GMSE</v>
      </c>
      <c r="CV12" t="str">
        <f t="shared" si="8"/>
        <v>/EuC-CATA-SUPP/COMMON/S_T_X_X_X_CL00_X-PTSE</v>
      </c>
      <c r="CW12" t="str">
        <f>IF(VLOOKUP(CN12,Codes!$A$3:$C$35,3,FALSE)=0,CF12,"OK")</f>
        <v>OK</v>
      </c>
    </row>
    <row r="13" spans="1:101">
      <c r="A13" s="44" t="str">
        <f t="shared" si="1"/>
        <v>GS</v>
      </c>
      <c r="B13" s="21">
        <v>80</v>
      </c>
      <c r="C13" s="21"/>
      <c r="D13" s="21"/>
      <c r="E13" s="21">
        <v>80</v>
      </c>
      <c r="F13" s="21">
        <v>80</v>
      </c>
      <c r="G13" s="21">
        <v>89</v>
      </c>
      <c r="H13" s="21">
        <v>89</v>
      </c>
      <c r="I13" s="21" t="str">
        <v>ATT</v>
      </c>
      <c r="J13" s="21" t="str">
        <v>ATT</v>
      </c>
      <c r="K13" s="21">
        <v>0</v>
      </c>
      <c r="L13" s="21">
        <v>0</v>
      </c>
      <c r="M13" s="21" t="str">
        <v>1.30</v>
      </c>
      <c r="N13" s="21" t="str">
        <v>116.5</v>
      </c>
      <c r="O13" s="21">
        <v>89</v>
      </c>
      <c r="P13" s="21">
        <v>172</v>
      </c>
      <c r="Q13" s="21">
        <v>40</v>
      </c>
      <c r="R13" s="21">
        <v>6</v>
      </c>
      <c r="S13" s="21">
        <v>9</v>
      </c>
      <c r="T13" s="25">
        <v>0</v>
      </c>
      <c r="U13" s="25" t="str">
        <v>66</v>
      </c>
      <c r="V13" s="25">
        <v>0</v>
      </c>
      <c r="W13" s="25">
        <v>0</v>
      </c>
      <c r="X13" s="25">
        <v>0</v>
      </c>
      <c r="Y13" s="25">
        <v>0</v>
      </c>
      <c r="Z13" s="25">
        <v>-30</v>
      </c>
      <c r="AA13" s="65">
        <v>0</v>
      </c>
      <c r="AB13" s="65">
        <v>0</v>
      </c>
      <c r="AC13" s="65">
        <v>0</v>
      </c>
      <c r="AD13" s="65">
        <v>0</v>
      </c>
      <c r="AE13" s="65">
        <v>0</v>
      </c>
      <c r="AF13" s="65">
        <v>0</v>
      </c>
      <c r="AG13" s="65">
        <v>0</v>
      </c>
      <c r="AH13" s="25" t="str">
        <v>66</v>
      </c>
      <c r="AI13" s="25">
        <v>60</v>
      </c>
      <c r="AJ13" s="25">
        <v>120</v>
      </c>
      <c r="AK13" s="25">
        <v>6</v>
      </c>
      <c r="AL13" s="25">
        <v>0</v>
      </c>
      <c r="AM13" s="25">
        <v>0</v>
      </c>
      <c r="AN13" s="25">
        <v>0</v>
      </c>
      <c r="AO13" s="25">
        <v>0</v>
      </c>
      <c r="AP13" s="25">
        <v>0</v>
      </c>
      <c r="AQ13" s="25">
        <v>0</v>
      </c>
      <c r="AR13" s="25">
        <v>0</v>
      </c>
      <c r="AS13" s="25">
        <v>0</v>
      </c>
      <c r="AT13" s="25">
        <v>0</v>
      </c>
      <c r="AU13" s="25">
        <v>0</v>
      </c>
      <c r="AV13" s="25">
        <v>0</v>
      </c>
      <c r="AW13" s="25">
        <v>0</v>
      </c>
      <c r="AX13" s="25">
        <v>0</v>
      </c>
      <c r="AY13" s="25">
        <v>0</v>
      </c>
      <c r="AZ13" s="25">
        <v>0</v>
      </c>
      <c r="BA13" s="25">
        <v>0</v>
      </c>
      <c r="BB13" s="25">
        <v>0</v>
      </c>
      <c r="BC13" s="25">
        <v>0</v>
      </c>
      <c r="BD13" s="25">
        <v>0</v>
      </c>
      <c r="BE13" s="25">
        <v>0</v>
      </c>
      <c r="BF13" s="25">
        <v>0</v>
      </c>
      <c r="BG13" s="25">
        <v>0</v>
      </c>
      <c r="BH13" s="25">
        <v>0</v>
      </c>
      <c r="BI13" s="25">
        <v>0</v>
      </c>
      <c r="BJ13" s="25">
        <v>0</v>
      </c>
      <c r="BK13" s="25">
        <v>0</v>
      </c>
      <c r="BL13" s="35">
        <v>0</v>
      </c>
      <c r="BM13" s="25">
        <v>0</v>
      </c>
      <c r="BN13" s="25">
        <v>0</v>
      </c>
      <c r="BO13" s="35">
        <v>0</v>
      </c>
      <c r="BP13" s="25">
        <v>0</v>
      </c>
      <c r="BQ13" s="25">
        <v>0</v>
      </c>
      <c r="BR13" s="25">
        <v>0</v>
      </c>
      <c r="BS13" s="25">
        <v>0</v>
      </c>
      <c r="BT13" s="35">
        <v>0</v>
      </c>
      <c r="BU13" s="35">
        <v>0</v>
      </c>
      <c r="BV13" s="25">
        <v>0</v>
      </c>
      <c r="BW13" s="25">
        <v>0</v>
      </c>
      <c r="BX13" s="25">
        <v>0</v>
      </c>
      <c r="BY13" s="25">
        <v>0</v>
      </c>
      <c r="BZ13" s="25" t="str">
        <v>84039</v>
      </c>
      <c r="CA13" s="25">
        <v>0</v>
      </c>
      <c r="CB13" s="25">
        <v>0</v>
      </c>
      <c r="CC13" s="25">
        <v>0</v>
      </c>
      <c r="CD13" s="25">
        <v>4</v>
      </c>
      <c r="CF13">
        <f t="shared" si="2"/>
        <v>80</v>
      </c>
      <c r="CG13" t="str">
        <v>S</v>
      </c>
      <c r="CH13" t="str">
        <v>T</v>
      </c>
      <c r="CI13" t="str">
        <f t="shared" si="3"/>
        <v>X</v>
      </c>
      <c r="CJ13" s="48" t="s">
        <v>40</v>
      </c>
      <c r="CK13" t="str">
        <f t="shared" si="4"/>
        <v>X</v>
      </c>
      <c r="CL13" t="str">
        <v>CL00</v>
      </c>
      <c r="CM13" t="str">
        <v>X</v>
      </c>
      <c r="CN13" t="str">
        <f t="shared" si="0"/>
        <v>S_T_X_X_X_CL00_X</v>
      </c>
      <c r="CO13" t="str">
        <v>EUC-VNXC00B-80-80-0-0</v>
      </c>
      <c r="CP13" t="str">
        <f t="shared" si="5"/>
        <v>_Csteel</v>
      </c>
      <c r="CQ13" t="str">
        <f t="shared" si="6"/>
        <v>PARA 80 80 89 89 ATT ATT 0 0 1.30 116.5 89 172 40 6 9 0 66 0 0 0 0 -30 0 0 0 0 0 0 0 66 60 120 6 0 0 0 0 0 0 0 0 0 0 0 0 0 0 0 0 0 0 0 0 0 0 0 0 0 0 0 0 0 0 0 0 0 0 0 0 0 0 0 0 84039 0 0 0 4</v>
      </c>
      <c r="CR13" t="str">
        <f t="shared" si="7"/>
        <v>/EUC-VNXC00B-80-80-0-0_Csteel</v>
      </c>
      <c r="CT13">
        <f>COUNTIF(Codes!$A$3:$A$35,CATA!CN13)</f>
        <v>1</v>
      </c>
      <c r="CU13" t="str">
        <f t="shared" si="8"/>
        <v>/EuC-CATA-SUPP/COMMON/S_T_X_X_X_CL00_X-GMSE</v>
      </c>
      <c r="CV13" t="str">
        <f t="shared" si="8"/>
        <v>/EuC-CATA-SUPP/COMMON/S_T_X_X_X_CL00_X-PTSE</v>
      </c>
      <c r="CW13" t="str">
        <f>IF(VLOOKUP(CN13,Codes!$A$3:$C$35,3,FALSE)=0,CF13,"OK")</f>
        <v>OK</v>
      </c>
    </row>
    <row r="14" spans="1:101">
      <c r="A14" s="44" t="str">
        <f t="shared" si="1"/>
        <v>GS</v>
      </c>
      <c r="B14" s="21">
        <v>100</v>
      </c>
      <c r="C14" s="21"/>
      <c r="D14" s="21"/>
      <c r="E14" s="21">
        <v>100</v>
      </c>
      <c r="F14" s="21">
        <v>100</v>
      </c>
      <c r="G14" s="21">
        <v>115</v>
      </c>
      <c r="H14" s="21">
        <v>115</v>
      </c>
      <c r="I14" s="21" t="str">
        <v>ATT</v>
      </c>
      <c r="J14" s="21" t="str">
        <v>ATT</v>
      </c>
      <c r="K14" s="21">
        <v>0</v>
      </c>
      <c r="L14" s="21">
        <v>0</v>
      </c>
      <c r="M14" s="21" t="str">
        <v>6.16</v>
      </c>
      <c r="N14" s="21" t="str">
        <v>127.5</v>
      </c>
      <c r="O14" s="21">
        <v>115</v>
      </c>
      <c r="P14" s="21">
        <v>226</v>
      </c>
      <c r="Q14" s="21">
        <v>50</v>
      </c>
      <c r="R14" s="21">
        <v>8</v>
      </c>
      <c r="S14" s="21">
        <v>11</v>
      </c>
      <c r="T14" s="25">
        <v>0</v>
      </c>
      <c r="U14" s="25" t="str">
        <v>62</v>
      </c>
      <c r="V14" s="25">
        <v>0</v>
      </c>
      <c r="W14" s="25">
        <v>0</v>
      </c>
      <c r="X14" s="25">
        <v>0</v>
      </c>
      <c r="Y14" s="25">
        <v>0</v>
      </c>
      <c r="Z14" s="25">
        <v>-30</v>
      </c>
      <c r="AA14" s="65">
        <v>0</v>
      </c>
      <c r="AB14" s="65">
        <v>0</v>
      </c>
      <c r="AC14" s="65">
        <v>0</v>
      </c>
      <c r="AD14" s="65">
        <v>0</v>
      </c>
      <c r="AE14" s="65">
        <v>0</v>
      </c>
      <c r="AF14" s="65">
        <v>0</v>
      </c>
      <c r="AG14" s="65">
        <v>0</v>
      </c>
      <c r="AH14" s="25">
        <v>75</v>
      </c>
      <c r="AI14" s="25">
        <v>90</v>
      </c>
      <c r="AJ14" s="25">
        <v>300</v>
      </c>
      <c r="AK14" s="25">
        <v>6</v>
      </c>
      <c r="AL14" s="25">
        <v>10</v>
      </c>
      <c r="AM14" s="25">
        <v>0</v>
      </c>
      <c r="AN14" s="25">
        <v>0</v>
      </c>
      <c r="AO14" s="25">
        <v>0</v>
      </c>
      <c r="AP14" s="25">
        <v>0</v>
      </c>
      <c r="AQ14" s="25">
        <v>0</v>
      </c>
      <c r="AR14" s="25">
        <v>0</v>
      </c>
      <c r="AS14" s="25">
        <v>0</v>
      </c>
      <c r="AT14" s="25">
        <v>0</v>
      </c>
      <c r="AU14" s="25">
        <v>0</v>
      </c>
      <c r="AV14" s="25">
        <v>0</v>
      </c>
      <c r="AW14" s="25">
        <v>0</v>
      </c>
      <c r="AX14" s="25">
        <v>0</v>
      </c>
      <c r="AY14" s="25">
        <v>0</v>
      </c>
      <c r="AZ14" s="25">
        <v>0</v>
      </c>
      <c r="BA14" s="25">
        <v>0</v>
      </c>
      <c r="BB14" s="25">
        <v>0</v>
      </c>
      <c r="BC14" s="25">
        <v>0</v>
      </c>
      <c r="BD14" s="25">
        <v>0</v>
      </c>
      <c r="BE14" s="25">
        <v>0</v>
      </c>
      <c r="BF14" s="25">
        <v>0</v>
      </c>
      <c r="BG14" s="25">
        <v>0</v>
      </c>
      <c r="BH14" s="25">
        <v>0</v>
      </c>
      <c r="BI14" s="25">
        <v>0</v>
      </c>
      <c r="BJ14" s="25">
        <v>0</v>
      </c>
      <c r="BK14" s="25">
        <v>0</v>
      </c>
      <c r="BL14" s="35">
        <v>0</v>
      </c>
      <c r="BM14" s="25">
        <v>0</v>
      </c>
      <c r="BN14" s="25">
        <v>0</v>
      </c>
      <c r="BO14" s="35">
        <v>0</v>
      </c>
      <c r="BP14" s="25">
        <v>0</v>
      </c>
      <c r="BQ14" s="25">
        <v>30</v>
      </c>
      <c r="BR14" s="25">
        <v>0</v>
      </c>
      <c r="BS14" s="25">
        <v>0</v>
      </c>
      <c r="BT14" s="35">
        <v>0</v>
      </c>
      <c r="BU14" s="35">
        <v>0</v>
      </c>
      <c r="BV14" s="25">
        <v>0</v>
      </c>
      <c r="BW14" s="25">
        <v>0</v>
      </c>
      <c r="BX14" s="25">
        <v>0</v>
      </c>
      <c r="BY14" s="25">
        <v>0</v>
      </c>
      <c r="BZ14" s="25" t="str">
        <v>84040</v>
      </c>
      <c r="CA14" s="25">
        <v>0</v>
      </c>
      <c r="CB14" s="25">
        <v>0</v>
      </c>
      <c r="CC14" s="25">
        <v>0</v>
      </c>
      <c r="CD14" s="25">
        <v>5</v>
      </c>
      <c r="CF14">
        <f t="shared" si="2"/>
        <v>100</v>
      </c>
      <c r="CG14" t="str">
        <v>D</v>
      </c>
      <c r="CH14" t="str">
        <v>U</v>
      </c>
      <c r="CI14" t="str">
        <f t="shared" si="3"/>
        <v>X</v>
      </c>
      <c r="CJ14" s="48" t="s">
        <v>40</v>
      </c>
      <c r="CK14" t="str">
        <f t="shared" si="4"/>
        <v>X</v>
      </c>
      <c r="CL14" t="str">
        <v>CL00</v>
      </c>
      <c r="CM14" t="str">
        <v>X</v>
      </c>
      <c r="CN14" t="str">
        <f t="shared" si="0"/>
        <v>D_U_X_X_X_CL00_X</v>
      </c>
      <c r="CO14" t="str">
        <v>EUC-VNXJ00B-100-100-0-0</v>
      </c>
      <c r="CP14" t="str">
        <f t="shared" si="5"/>
        <v>_Csteel</v>
      </c>
      <c r="CQ14" t="str">
        <f t="shared" si="6"/>
        <v>PARA 100 100 115 115 ATT ATT 0 0 6.16 127.5 115 226 50 8 11 0 62 0 0 0 0 -30 0 0 0 0 0 0 0 75 90 300 6 10 0 0 0 0 0 0 0 0 0 0 0 0 0 0 0 0 0 0 0 0 0 0 0 0 0 0 0 0 0 0 30 0 0 0 0 0 0 0 0 84040 0 0 0 5</v>
      </c>
      <c r="CR14" t="str">
        <f t="shared" si="7"/>
        <v>/EUC-VNXJ00B-100-100-0-0_Csteel</v>
      </c>
      <c r="CT14">
        <f>COUNTIF(Codes!$A$3:$A$35,CATA!CN14)</f>
        <v>1</v>
      </c>
      <c r="CU14" t="str">
        <f t="shared" si="8"/>
        <v>/EuC-CATA-SUPP/COMMON/D_U_X_X_X_CL00_X-GMSE</v>
      </c>
      <c r="CV14" t="str">
        <f t="shared" si="8"/>
        <v>/EuC-CATA-SUPP/COMMON/D_U_X_X_X_CL00_X-PTSE</v>
      </c>
      <c r="CW14" t="str">
        <f>IF(VLOOKUP(CN14,Codes!$A$3:$C$35,3,FALSE)=0,CF14,"OK")</f>
        <v>OK</v>
      </c>
    </row>
    <row r="15" spans="1:101">
      <c r="A15" s="44" t="str">
        <f t="shared" si="1"/>
        <v>GS</v>
      </c>
      <c r="B15" s="21">
        <v>125</v>
      </c>
      <c r="C15" s="21"/>
      <c r="D15" s="21"/>
      <c r="E15" s="21">
        <v>125</v>
      </c>
      <c r="F15" s="21">
        <v>125</v>
      </c>
      <c r="G15" s="21">
        <v>140</v>
      </c>
      <c r="H15" s="21">
        <v>140</v>
      </c>
      <c r="I15" s="21" t="str">
        <v>ATT</v>
      </c>
      <c r="J15" s="21" t="str">
        <v>ATT</v>
      </c>
      <c r="K15" s="21">
        <v>0</v>
      </c>
      <c r="L15" s="21">
        <v>0</v>
      </c>
      <c r="M15" s="21" t="str">
        <v>6.39</v>
      </c>
      <c r="N15" s="21" t="str">
        <v>140</v>
      </c>
      <c r="O15" s="21">
        <v>140</v>
      </c>
      <c r="P15" s="21">
        <v>252</v>
      </c>
      <c r="Q15" s="21">
        <v>50</v>
      </c>
      <c r="R15" s="21">
        <v>8</v>
      </c>
      <c r="S15" s="21">
        <v>11</v>
      </c>
      <c r="T15" s="25">
        <v>0</v>
      </c>
      <c r="U15" s="25" t="str">
        <v>62</v>
      </c>
      <c r="V15" s="25">
        <v>0</v>
      </c>
      <c r="W15" s="25">
        <v>0</v>
      </c>
      <c r="X15" s="25">
        <v>0</v>
      </c>
      <c r="Y15" s="25">
        <v>0</v>
      </c>
      <c r="Z15" s="25">
        <v>-30</v>
      </c>
      <c r="AA15" s="65">
        <v>0</v>
      </c>
      <c r="AB15" s="65">
        <v>0</v>
      </c>
      <c r="AC15" s="65">
        <v>0</v>
      </c>
      <c r="AD15" s="65">
        <v>0</v>
      </c>
      <c r="AE15" s="65">
        <v>0</v>
      </c>
      <c r="AF15" s="65">
        <v>0</v>
      </c>
      <c r="AG15" s="65">
        <v>0</v>
      </c>
      <c r="AH15" s="25">
        <v>73</v>
      </c>
      <c r="AI15" s="25">
        <v>90</v>
      </c>
      <c r="AJ15" s="25">
        <v>300</v>
      </c>
      <c r="AK15" s="25">
        <v>6</v>
      </c>
      <c r="AL15" s="25">
        <v>10</v>
      </c>
      <c r="AM15" s="25">
        <v>0</v>
      </c>
      <c r="AN15" s="25">
        <v>0</v>
      </c>
      <c r="AO15" s="25">
        <v>0</v>
      </c>
      <c r="AP15" s="25">
        <v>0</v>
      </c>
      <c r="AQ15" s="25">
        <v>0</v>
      </c>
      <c r="AR15" s="25">
        <v>0</v>
      </c>
      <c r="AS15" s="25">
        <v>0</v>
      </c>
      <c r="AT15" s="25">
        <v>0</v>
      </c>
      <c r="AU15" s="25">
        <v>0</v>
      </c>
      <c r="AV15" s="25">
        <v>0</v>
      </c>
      <c r="AW15" s="25">
        <v>0</v>
      </c>
      <c r="AX15" s="25">
        <v>0</v>
      </c>
      <c r="AY15" s="25">
        <v>0</v>
      </c>
      <c r="AZ15" s="25">
        <v>0</v>
      </c>
      <c r="BA15" s="25">
        <v>0</v>
      </c>
      <c r="BB15" s="25">
        <v>0</v>
      </c>
      <c r="BC15" s="25">
        <v>0</v>
      </c>
      <c r="BD15" s="25">
        <v>0</v>
      </c>
      <c r="BE15" s="25">
        <v>0</v>
      </c>
      <c r="BF15" s="25">
        <v>0</v>
      </c>
      <c r="BG15" s="25">
        <v>0</v>
      </c>
      <c r="BH15" s="25">
        <v>0</v>
      </c>
      <c r="BI15" s="25">
        <v>0</v>
      </c>
      <c r="BJ15" s="25">
        <v>0</v>
      </c>
      <c r="BK15" s="25">
        <v>0</v>
      </c>
      <c r="BL15" s="35">
        <v>0</v>
      </c>
      <c r="BM15" s="25">
        <v>0</v>
      </c>
      <c r="BN15" s="25">
        <v>0</v>
      </c>
      <c r="BO15" s="35">
        <v>0</v>
      </c>
      <c r="BP15" s="25">
        <v>0</v>
      </c>
      <c r="BQ15" s="25">
        <v>30</v>
      </c>
      <c r="BR15" s="25">
        <v>0</v>
      </c>
      <c r="BS15" s="25">
        <v>0</v>
      </c>
      <c r="BT15" s="35">
        <v>0</v>
      </c>
      <c r="BU15" s="35">
        <v>0</v>
      </c>
      <c r="BV15" s="25">
        <v>0</v>
      </c>
      <c r="BW15" s="25">
        <v>0</v>
      </c>
      <c r="BX15" s="25">
        <v>0</v>
      </c>
      <c r="BY15" s="25">
        <v>0</v>
      </c>
      <c r="BZ15" s="25" t="str">
        <v>84041</v>
      </c>
      <c r="CA15" s="25">
        <v>0</v>
      </c>
      <c r="CB15" s="25">
        <v>0</v>
      </c>
      <c r="CC15" s="25">
        <v>0</v>
      </c>
      <c r="CD15" s="25">
        <v>5</v>
      </c>
      <c r="CF15">
        <f t="shared" si="2"/>
        <v>125</v>
      </c>
      <c r="CG15" t="str">
        <v>D</v>
      </c>
      <c r="CH15" t="str">
        <v>U</v>
      </c>
      <c r="CI15" t="str">
        <f t="shared" si="3"/>
        <v>X</v>
      </c>
      <c r="CJ15" s="48" t="s">
        <v>40</v>
      </c>
      <c r="CK15" t="str">
        <f t="shared" si="4"/>
        <v>X</v>
      </c>
      <c r="CL15" t="str">
        <v>CL00</v>
      </c>
      <c r="CM15" t="str">
        <v>X</v>
      </c>
      <c r="CN15" t="str">
        <f t="shared" si="0"/>
        <v>D_U_X_X_X_CL00_X</v>
      </c>
      <c r="CO15" t="str">
        <v>EUC-VNXJ00B-125-125-0-0</v>
      </c>
      <c r="CP15" t="str">
        <f t="shared" si="5"/>
        <v>_Csteel</v>
      </c>
      <c r="CQ15" t="str">
        <f t="shared" si="6"/>
        <v>PARA 125 125 140 140 ATT ATT 0 0 6.39 140 140 252 50 8 11 0 62 0 0 0 0 -30 0 0 0 0 0 0 0 73 90 300 6 10 0 0 0 0 0 0 0 0 0 0 0 0 0 0 0 0 0 0 0 0 0 0 0 0 0 0 0 0 0 0 30 0 0 0 0 0 0 0 0 84041 0 0 0 5</v>
      </c>
      <c r="CR15" t="str">
        <f t="shared" si="7"/>
        <v>/EUC-VNXJ00B-125-125-0-0_Csteel</v>
      </c>
      <c r="CT15">
        <f>COUNTIF(Codes!$A$3:$A$35,CATA!CN15)</f>
        <v>1</v>
      </c>
      <c r="CU15" t="str">
        <f t="shared" si="8"/>
        <v>/EuC-CATA-SUPP/COMMON/D_U_X_X_X_CL00_X-GMSE</v>
      </c>
      <c r="CV15" t="str">
        <f t="shared" si="8"/>
        <v>/EuC-CATA-SUPP/COMMON/D_U_X_X_X_CL00_X-PTSE</v>
      </c>
      <c r="CW15" t="str">
        <f>IF(VLOOKUP(CN15,Codes!$A$3:$C$35,3,FALSE)=0,CF15,"OK")</f>
        <v>OK</v>
      </c>
    </row>
    <row r="16" spans="1:101">
      <c r="A16" s="44" t="str">
        <f t="shared" si="1"/>
        <v>GS</v>
      </c>
      <c r="B16" s="21">
        <v>150</v>
      </c>
      <c r="C16" s="21"/>
      <c r="D16" s="21"/>
      <c r="E16" s="21">
        <v>150</v>
      </c>
      <c r="F16" s="21">
        <v>150</v>
      </c>
      <c r="G16" s="21">
        <v>169</v>
      </c>
      <c r="H16" s="21">
        <v>169</v>
      </c>
      <c r="I16" s="21" t="str">
        <v>ATT</v>
      </c>
      <c r="J16" s="21" t="str">
        <v>ATT</v>
      </c>
      <c r="K16" s="21">
        <v>0</v>
      </c>
      <c r="L16" s="21">
        <v>0</v>
      </c>
      <c r="M16" s="21" t="str">
        <v>7.21</v>
      </c>
      <c r="N16" s="21" t="str">
        <v>154.5</v>
      </c>
      <c r="O16" s="21">
        <v>169</v>
      </c>
      <c r="P16" s="21">
        <v>280</v>
      </c>
      <c r="Q16" s="21">
        <v>50</v>
      </c>
      <c r="R16" s="21">
        <v>8</v>
      </c>
      <c r="S16" s="21">
        <v>11</v>
      </c>
      <c r="T16" s="25">
        <v>0</v>
      </c>
      <c r="U16" s="25" t="str">
        <v>62</v>
      </c>
      <c r="V16" s="25">
        <v>0</v>
      </c>
      <c r="W16" s="25">
        <v>0</v>
      </c>
      <c r="X16" s="25">
        <v>0</v>
      </c>
      <c r="Y16" s="25">
        <v>0</v>
      </c>
      <c r="Z16" s="25">
        <v>-30</v>
      </c>
      <c r="AA16" s="65">
        <v>0</v>
      </c>
      <c r="AB16" s="65">
        <v>0</v>
      </c>
      <c r="AC16" s="65">
        <v>0</v>
      </c>
      <c r="AD16" s="65">
        <v>0</v>
      </c>
      <c r="AE16" s="65">
        <v>0</v>
      </c>
      <c r="AF16" s="65">
        <v>0</v>
      </c>
      <c r="AG16" s="65">
        <v>0</v>
      </c>
      <c r="AH16" s="25">
        <v>71</v>
      </c>
      <c r="AI16" s="25">
        <v>90</v>
      </c>
      <c r="AJ16" s="25">
        <v>300</v>
      </c>
      <c r="AK16" s="25">
        <v>6</v>
      </c>
      <c r="AL16" s="25">
        <v>10</v>
      </c>
      <c r="AM16" s="25">
        <v>0</v>
      </c>
      <c r="AN16" s="25">
        <v>0</v>
      </c>
      <c r="AO16" s="25">
        <v>0</v>
      </c>
      <c r="AP16" s="25">
        <v>0</v>
      </c>
      <c r="AQ16" s="25">
        <v>0</v>
      </c>
      <c r="AR16" s="25">
        <v>0</v>
      </c>
      <c r="AS16" s="25">
        <v>0</v>
      </c>
      <c r="AT16" s="25">
        <v>0</v>
      </c>
      <c r="AU16" s="25">
        <v>0</v>
      </c>
      <c r="AV16" s="25">
        <v>0</v>
      </c>
      <c r="AW16" s="25">
        <v>0</v>
      </c>
      <c r="AX16" s="25">
        <v>0</v>
      </c>
      <c r="AY16" s="25">
        <v>0</v>
      </c>
      <c r="AZ16" s="25">
        <v>0</v>
      </c>
      <c r="BA16" s="25">
        <v>0</v>
      </c>
      <c r="BB16" s="25">
        <v>0</v>
      </c>
      <c r="BC16" s="25">
        <v>0</v>
      </c>
      <c r="BD16" s="25">
        <v>0</v>
      </c>
      <c r="BE16" s="25">
        <v>0</v>
      </c>
      <c r="BF16" s="25">
        <v>0</v>
      </c>
      <c r="BG16" s="25">
        <v>0</v>
      </c>
      <c r="BH16" s="25">
        <v>0</v>
      </c>
      <c r="BI16" s="25">
        <v>0</v>
      </c>
      <c r="BJ16" s="25">
        <v>0</v>
      </c>
      <c r="BK16" s="25">
        <v>0</v>
      </c>
      <c r="BL16" s="35">
        <v>0</v>
      </c>
      <c r="BM16" s="25">
        <v>0</v>
      </c>
      <c r="BN16" s="25">
        <v>0</v>
      </c>
      <c r="BO16" s="35">
        <v>0</v>
      </c>
      <c r="BP16" s="25">
        <v>0</v>
      </c>
      <c r="BQ16">
        <v>30</v>
      </c>
      <c r="BR16" s="25">
        <v>0</v>
      </c>
      <c r="BS16" s="25">
        <v>0</v>
      </c>
      <c r="BT16" s="35">
        <v>0</v>
      </c>
      <c r="BU16" s="35">
        <v>0</v>
      </c>
      <c r="BV16" s="25">
        <v>0</v>
      </c>
      <c r="BW16" s="25">
        <v>0</v>
      </c>
      <c r="BX16" s="25">
        <v>0</v>
      </c>
      <c r="BY16" s="25">
        <v>0</v>
      </c>
      <c r="BZ16" s="25" t="str">
        <v>84042</v>
      </c>
      <c r="CA16" s="25">
        <v>0</v>
      </c>
      <c r="CB16" s="25">
        <v>0</v>
      </c>
      <c r="CC16" s="25">
        <v>0</v>
      </c>
      <c r="CD16" s="25">
        <v>6</v>
      </c>
      <c r="CF16">
        <f t="shared" si="2"/>
        <v>150</v>
      </c>
      <c r="CG16" t="str">
        <v>D</v>
      </c>
      <c r="CH16" t="str">
        <v>U</v>
      </c>
      <c r="CI16" t="str">
        <f t="shared" si="3"/>
        <v>X</v>
      </c>
      <c r="CJ16" s="48" t="s">
        <v>40</v>
      </c>
      <c r="CK16" t="str">
        <f t="shared" si="4"/>
        <v>X</v>
      </c>
      <c r="CL16" t="str">
        <v>CL00</v>
      </c>
      <c r="CM16" t="str">
        <v>X</v>
      </c>
      <c r="CN16" t="str">
        <f t="shared" si="0"/>
        <v>D_U_X_X_X_CL00_X</v>
      </c>
      <c r="CO16" t="str">
        <v>EUC-VNXJ00B-150-150-0-0</v>
      </c>
      <c r="CP16" t="str">
        <f t="shared" si="5"/>
        <v>_Csteel</v>
      </c>
      <c r="CQ16" t="str">
        <f t="shared" si="6"/>
        <v>PARA 150 150 169 169 ATT ATT 0 0 7.21 154.5 169 280 50 8 11 0 62 0 0 0 0 -30 0 0 0 0 0 0 0 71 90 300 6 10 0 0 0 0 0 0 0 0 0 0 0 0 0 0 0 0 0 0 0 0 0 0 0 0 0 0 0 0 0 0 30 0 0 0 0 0 0 0 0 84042 0 0 0 6</v>
      </c>
      <c r="CR16" t="str">
        <f t="shared" si="7"/>
        <v>/EUC-VNXJ00B-150-150-0-0_Csteel</v>
      </c>
      <c r="CT16">
        <f>COUNTIF(Codes!$A$3:$A$35,CATA!CN16)</f>
        <v>1</v>
      </c>
      <c r="CU16" t="str">
        <f t="shared" si="8"/>
        <v>/EuC-CATA-SUPP/COMMON/D_U_X_X_X_CL00_X-GMSE</v>
      </c>
      <c r="CV16" t="str">
        <f t="shared" si="8"/>
        <v>/EuC-CATA-SUPP/COMMON/D_U_X_X_X_CL00_X-PTSE</v>
      </c>
      <c r="CW16" t="str">
        <f>IF(VLOOKUP(CN16,Codes!$A$3:$C$35,3,FALSE)=0,CF16,"OK")</f>
        <v>OK</v>
      </c>
    </row>
    <row r="17" spans="1:101">
      <c r="A17" s="44" t="str">
        <f t="shared" si="1"/>
        <v>GS</v>
      </c>
      <c r="B17" s="21">
        <v>200</v>
      </c>
      <c r="C17" s="21"/>
      <c r="D17" s="21"/>
      <c r="E17" s="21">
        <v>200</v>
      </c>
      <c r="F17" s="21">
        <v>200</v>
      </c>
      <c r="G17" s="21">
        <v>220</v>
      </c>
      <c r="H17" s="21">
        <v>220</v>
      </c>
      <c r="I17" s="21" t="str">
        <v>ATT</v>
      </c>
      <c r="J17" s="21" t="str">
        <v>ATT</v>
      </c>
      <c r="K17" s="21">
        <v>0</v>
      </c>
      <c r="L17" s="21">
        <v>0</v>
      </c>
      <c r="M17" s="21" t="str">
        <v>7.92</v>
      </c>
      <c r="N17" s="21" t="str">
        <v>180</v>
      </c>
      <c r="O17" s="21">
        <v>220</v>
      </c>
      <c r="P17" s="21">
        <v>332</v>
      </c>
      <c r="Q17" s="21">
        <v>50</v>
      </c>
      <c r="R17" s="21">
        <v>8</v>
      </c>
      <c r="S17" s="21">
        <v>11</v>
      </c>
      <c r="T17" s="25">
        <v>0</v>
      </c>
      <c r="U17" s="25" t="str">
        <v>62</v>
      </c>
      <c r="V17" s="25">
        <v>0</v>
      </c>
      <c r="W17" s="25">
        <v>0</v>
      </c>
      <c r="X17" s="25">
        <v>0</v>
      </c>
      <c r="Y17" s="25">
        <v>0</v>
      </c>
      <c r="Z17" s="25">
        <v>-30</v>
      </c>
      <c r="AA17" s="65">
        <v>0</v>
      </c>
      <c r="AB17" s="65">
        <v>0</v>
      </c>
      <c r="AC17" s="65">
        <v>0</v>
      </c>
      <c r="AD17" s="65">
        <v>0</v>
      </c>
      <c r="AE17" s="65">
        <v>0</v>
      </c>
      <c r="AF17" s="65">
        <v>0</v>
      </c>
      <c r="AG17" s="65">
        <v>0</v>
      </c>
      <c r="AH17" s="35">
        <v>69</v>
      </c>
      <c r="AI17" s="25">
        <v>90</v>
      </c>
      <c r="AJ17" s="25">
        <v>300</v>
      </c>
      <c r="AK17" s="25">
        <v>6</v>
      </c>
      <c r="AL17" s="25">
        <v>10</v>
      </c>
      <c r="AM17" s="25">
        <v>0</v>
      </c>
      <c r="AN17" s="25">
        <v>0</v>
      </c>
      <c r="AO17" s="25">
        <v>0</v>
      </c>
      <c r="AP17" s="25">
        <v>0</v>
      </c>
      <c r="AQ17" s="25">
        <v>0</v>
      </c>
      <c r="AR17" s="25">
        <v>0</v>
      </c>
      <c r="AS17" s="25">
        <v>0</v>
      </c>
      <c r="AT17" s="25">
        <v>0</v>
      </c>
      <c r="AU17" s="25">
        <v>0</v>
      </c>
      <c r="AV17" s="25">
        <v>0</v>
      </c>
      <c r="AW17" s="25">
        <v>0</v>
      </c>
      <c r="AX17" s="25">
        <v>0</v>
      </c>
      <c r="AY17" s="25">
        <v>0</v>
      </c>
      <c r="AZ17" s="25">
        <v>0</v>
      </c>
      <c r="BA17" s="25">
        <v>0</v>
      </c>
      <c r="BB17" s="25">
        <v>0</v>
      </c>
      <c r="BC17" s="25">
        <v>0</v>
      </c>
      <c r="BD17" s="25">
        <v>0</v>
      </c>
      <c r="BE17" s="25">
        <v>0</v>
      </c>
      <c r="BF17" s="25">
        <v>0</v>
      </c>
      <c r="BG17" s="25">
        <v>0</v>
      </c>
      <c r="BH17" s="25">
        <v>0</v>
      </c>
      <c r="BI17" s="25">
        <v>0</v>
      </c>
      <c r="BJ17" s="25">
        <v>0</v>
      </c>
      <c r="BK17" s="25">
        <v>0</v>
      </c>
      <c r="BL17" s="35">
        <v>0</v>
      </c>
      <c r="BM17" s="25">
        <v>0</v>
      </c>
      <c r="BN17" s="25">
        <v>0</v>
      </c>
      <c r="BO17" s="35">
        <v>0</v>
      </c>
      <c r="BP17" s="25">
        <v>0</v>
      </c>
      <c r="BQ17" s="25">
        <v>30</v>
      </c>
      <c r="BR17" s="25">
        <v>0</v>
      </c>
      <c r="BS17" s="25">
        <v>0</v>
      </c>
      <c r="BT17" s="35">
        <v>0</v>
      </c>
      <c r="BU17" s="35">
        <v>0</v>
      </c>
      <c r="BV17" s="25">
        <v>0</v>
      </c>
      <c r="BW17" s="25">
        <v>0</v>
      </c>
      <c r="BX17" s="25">
        <v>0</v>
      </c>
      <c r="BY17" s="25">
        <v>0</v>
      </c>
      <c r="BZ17" s="25" t="str">
        <v>84043</v>
      </c>
      <c r="CA17" s="25">
        <v>0</v>
      </c>
      <c r="CB17" s="25">
        <v>0</v>
      </c>
      <c r="CC17" s="25">
        <v>0</v>
      </c>
      <c r="CD17" s="25">
        <v>6</v>
      </c>
      <c r="CF17">
        <f t="shared" si="2"/>
        <v>200</v>
      </c>
      <c r="CG17" t="str">
        <v>D</v>
      </c>
      <c r="CH17" t="str">
        <v>U</v>
      </c>
      <c r="CI17" t="str">
        <f t="shared" si="3"/>
        <v>X</v>
      </c>
      <c r="CJ17" s="48" t="s">
        <v>40</v>
      </c>
      <c r="CK17" t="str">
        <f t="shared" si="4"/>
        <v>X</v>
      </c>
      <c r="CL17" t="str">
        <v>CL00</v>
      </c>
      <c r="CM17" t="str">
        <v>X</v>
      </c>
      <c r="CN17" t="str">
        <f t="shared" si="0"/>
        <v>D_U_X_X_X_CL00_X</v>
      </c>
      <c r="CO17" t="str">
        <v>EUC-VNXJ00B-200-200-0-0</v>
      </c>
      <c r="CP17" t="str">
        <f t="shared" si="5"/>
        <v>_Csteel</v>
      </c>
      <c r="CQ17" t="str">
        <f t="shared" si="6"/>
        <v>PARA 200 200 220 220 ATT ATT 0 0 7.92 180 220 332 50 8 11 0 62 0 0 0 0 -30 0 0 0 0 0 0 0 69 90 300 6 10 0 0 0 0 0 0 0 0 0 0 0 0 0 0 0 0 0 0 0 0 0 0 0 0 0 0 0 0 0 0 30 0 0 0 0 0 0 0 0 84043 0 0 0 6</v>
      </c>
      <c r="CR17" t="str">
        <f t="shared" si="7"/>
        <v>/EUC-VNXJ00B-200-200-0-0_Csteel</v>
      </c>
      <c r="CT17">
        <f>COUNTIF(Codes!$A$3:$A$35,CATA!CN17)</f>
        <v>1</v>
      </c>
      <c r="CU17" t="str">
        <f t="shared" si="8"/>
        <v>/EuC-CATA-SUPP/COMMON/D_U_X_X_X_CL00_X-GMSE</v>
      </c>
      <c r="CV17" t="str">
        <f t="shared" si="8"/>
        <v>/EuC-CATA-SUPP/COMMON/D_U_X_X_X_CL00_X-PTSE</v>
      </c>
      <c r="CW17" t="str">
        <f>IF(VLOOKUP(CN17,Codes!$A$3:$C$35,3,FALSE)=0,CF17,"OK")</f>
        <v>OK</v>
      </c>
    </row>
    <row r="18" spans="1:101">
      <c r="A18" s="44" t="str">
        <f t="shared" si="1"/>
        <v>GS</v>
      </c>
      <c r="B18" s="21">
        <v>250</v>
      </c>
      <c r="C18" s="21"/>
      <c r="D18" s="21"/>
      <c r="E18" s="21">
        <v>250</v>
      </c>
      <c r="F18" s="21">
        <v>250</v>
      </c>
      <c r="G18" s="21">
        <v>273</v>
      </c>
      <c r="H18" s="21">
        <v>273</v>
      </c>
      <c r="I18" s="21" t="str">
        <v>ATT</v>
      </c>
      <c r="J18" s="21" t="str">
        <v>ATT</v>
      </c>
      <c r="K18" s="21">
        <v>0</v>
      </c>
      <c r="L18" s="21">
        <v>0</v>
      </c>
      <c r="M18" s="21" t="str">
        <v>10.39</v>
      </c>
      <c r="N18" s="21" t="str">
        <v>206.5</v>
      </c>
      <c r="O18" s="21">
        <v>273</v>
      </c>
      <c r="P18" s="21">
        <v>408</v>
      </c>
      <c r="Q18" s="21">
        <v>60</v>
      </c>
      <c r="R18" s="21">
        <v>8</v>
      </c>
      <c r="S18" s="21">
        <v>14</v>
      </c>
      <c r="T18" s="25">
        <v>0</v>
      </c>
      <c r="U18" s="25" t="str">
        <v>62</v>
      </c>
      <c r="V18" s="25">
        <v>0</v>
      </c>
      <c r="W18" s="25">
        <v>0</v>
      </c>
      <c r="X18" s="25">
        <v>0</v>
      </c>
      <c r="Y18" s="25">
        <v>0</v>
      </c>
      <c r="Z18" s="25">
        <v>-30</v>
      </c>
      <c r="AA18" s="65">
        <v>0</v>
      </c>
      <c r="AB18" s="65">
        <v>0</v>
      </c>
      <c r="AC18" s="65">
        <v>0</v>
      </c>
      <c r="AD18" s="65">
        <v>0</v>
      </c>
      <c r="AE18" s="65">
        <v>0</v>
      </c>
      <c r="AF18" s="65">
        <v>0</v>
      </c>
      <c r="AG18" s="65">
        <v>0</v>
      </c>
      <c r="AH18" s="35">
        <v>73</v>
      </c>
      <c r="AI18" s="25">
        <v>120</v>
      </c>
      <c r="AJ18" s="25">
        <v>300</v>
      </c>
      <c r="AK18" s="25">
        <v>6</v>
      </c>
      <c r="AL18" s="25">
        <v>10</v>
      </c>
      <c r="AM18" s="25">
        <v>0</v>
      </c>
      <c r="AN18" s="25">
        <v>0</v>
      </c>
      <c r="AO18" s="25">
        <v>0</v>
      </c>
      <c r="AP18" s="25">
        <v>0</v>
      </c>
      <c r="AQ18" s="25">
        <v>0</v>
      </c>
      <c r="AR18" s="25">
        <v>0</v>
      </c>
      <c r="AS18" s="25">
        <v>0</v>
      </c>
      <c r="AT18" s="25">
        <v>0</v>
      </c>
      <c r="AU18" s="25">
        <v>0</v>
      </c>
      <c r="AV18" s="25">
        <v>0</v>
      </c>
      <c r="AW18" s="25">
        <v>0</v>
      </c>
      <c r="AX18" s="25">
        <v>0</v>
      </c>
      <c r="AY18" s="25">
        <v>0</v>
      </c>
      <c r="AZ18" s="25">
        <v>0</v>
      </c>
      <c r="BA18" s="25">
        <v>0</v>
      </c>
      <c r="BB18" s="25">
        <v>0</v>
      </c>
      <c r="BC18" s="25">
        <v>0</v>
      </c>
      <c r="BD18" s="25">
        <v>0</v>
      </c>
      <c r="BE18" s="25">
        <v>0</v>
      </c>
      <c r="BF18" s="25">
        <v>0</v>
      </c>
      <c r="BG18" s="25">
        <v>0</v>
      </c>
      <c r="BH18" s="25">
        <v>0</v>
      </c>
      <c r="BI18" s="25">
        <v>0</v>
      </c>
      <c r="BJ18" s="25">
        <v>0</v>
      </c>
      <c r="BK18" s="25">
        <v>0</v>
      </c>
      <c r="BL18" s="35">
        <v>0</v>
      </c>
      <c r="BM18" s="25">
        <v>0</v>
      </c>
      <c r="BN18" s="25">
        <v>0</v>
      </c>
      <c r="BO18" s="35">
        <v>0</v>
      </c>
      <c r="BP18" s="25">
        <v>0</v>
      </c>
      <c r="BQ18" s="25">
        <v>30</v>
      </c>
      <c r="BR18" s="25">
        <v>0</v>
      </c>
      <c r="BS18" s="25">
        <v>0</v>
      </c>
      <c r="BT18" s="35">
        <v>0</v>
      </c>
      <c r="BU18" s="35">
        <v>0</v>
      </c>
      <c r="BV18" s="25">
        <v>0</v>
      </c>
      <c r="BW18" s="25">
        <v>0</v>
      </c>
      <c r="BX18" s="25">
        <v>0</v>
      </c>
      <c r="BY18" s="25">
        <v>0</v>
      </c>
      <c r="BZ18" s="25" t="str">
        <v>84044</v>
      </c>
      <c r="CA18" s="25">
        <v>0</v>
      </c>
      <c r="CB18" s="25">
        <v>0</v>
      </c>
      <c r="CC18" s="25">
        <v>0</v>
      </c>
      <c r="CD18" s="25">
        <v>6</v>
      </c>
      <c r="CF18">
        <f t="shared" si="2"/>
        <v>250</v>
      </c>
      <c r="CG18" t="str">
        <v>D</v>
      </c>
      <c r="CH18" t="str">
        <v>U</v>
      </c>
      <c r="CI18" t="str">
        <f t="shared" si="3"/>
        <v>X</v>
      </c>
      <c r="CJ18" s="48" t="s">
        <v>40</v>
      </c>
      <c r="CK18" t="str">
        <f t="shared" si="4"/>
        <v>X</v>
      </c>
      <c r="CL18" t="str">
        <v>CL00</v>
      </c>
      <c r="CM18" t="str">
        <v>X</v>
      </c>
      <c r="CN18" t="str">
        <f t="shared" si="0"/>
        <v>D_U_X_X_X_CL00_X</v>
      </c>
      <c r="CO18" t="str">
        <v>EUC-VNXJ00B-250-250-0-0</v>
      </c>
      <c r="CP18" t="str">
        <f t="shared" si="5"/>
        <v>_Csteel</v>
      </c>
      <c r="CQ18" t="str">
        <f t="shared" si="6"/>
        <v>PARA 250 250 273 273 ATT ATT 0 0 10.39 206.5 273 408 60 8 14 0 62 0 0 0 0 -30 0 0 0 0 0 0 0 73 120 300 6 10 0 0 0 0 0 0 0 0 0 0 0 0 0 0 0 0 0 0 0 0 0 0 0 0 0 0 0 0 0 0 30 0 0 0 0 0 0 0 0 84044 0 0 0 6</v>
      </c>
      <c r="CR18" t="str">
        <f t="shared" si="7"/>
        <v>/EUC-VNXJ00B-250-250-0-0_Csteel</v>
      </c>
      <c r="CT18">
        <f>COUNTIF(Codes!$A$3:$A$35,CATA!CN18)</f>
        <v>1</v>
      </c>
      <c r="CU18" t="str">
        <f t="shared" si="8"/>
        <v>/EuC-CATA-SUPP/COMMON/D_U_X_X_X_CL00_X-GMSE</v>
      </c>
      <c r="CV18" t="str">
        <f t="shared" si="8"/>
        <v>/EuC-CATA-SUPP/COMMON/D_U_X_X_X_CL00_X-PTSE</v>
      </c>
      <c r="CW18" t="str">
        <f>IF(VLOOKUP(CN18,Codes!$A$3:$C$35,3,FALSE)=0,CF18,"OK")</f>
        <v>OK</v>
      </c>
    </row>
    <row r="19" spans="1:101">
      <c r="A19" s="44" t="str">
        <f t="shared" si="1"/>
        <v>GS</v>
      </c>
      <c r="B19" s="21">
        <v>300</v>
      </c>
      <c r="C19" s="21"/>
      <c r="D19" s="21"/>
      <c r="E19" s="21">
        <v>300</v>
      </c>
      <c r="F19" s="21">
        <v>300</v>
      </c>
      <c r="G19" s="21">
        <v>324</v>
      </c>
      <c r="H19" s="21">
        <v>324</v>
      </c>
      <c r="I19" s="21" t="str">
        <v>ATT</v>
      </c>
      <c r="J19" s="21" t="str">
        <v>ATT</v>
      </c>
      <c r="K19" s="21">
        <v>0</v>
      </c>
      <c r="L19" s="21">
        <v>0</v>
      </c>
      <c r="M19" s="21" t="str">
        <v>11.76</v>
      </c>
      <c r="N19" s="21" t="str">
        <v>232</v>
      </c>
      <c r="O19" s="21">
        <v>324</v>
      </c>
      <c r="P19" s="21">
        <v>458</v>
      </c>
      <c r="Q19" s="21">
        <v>60</v>
      </c>
      <c r="R19" s="21">
        <v>8</v>
      </c>
      <c r="S19" s="21">
        <v>14</v>
      </c>
      <c r="T19" s="25">
        <v>0</v>
      </c>
      <c r="U19" s="25" t="str">
        <v>62</v>
      </c>
      <c r="V19" s="25">
        <v>0</v>
      </c>
      <c r="W19" s="25">
        <v>0</v>
      </c>
      <c r="X19" s="25">
        <v>0</v>
      </c>
      <c r="Y19" s="25">
        <v>0</v>
      </c>
      <c r="Z19" s="25">
        <v>-30</v>
      </c>
      <c r="AA19" s="65">
        <v>0</v>
      </c>
      <c r="AB19" s="65">
        <v>0</v>
      </c>
      <c r="AC19" s="65">
        <v>0</v>
      </c>
      <c r="AD19" s="65">
        <v>0</v>
      </c>
      <c r="AE19" s="65">
        <v>0</v>
      </c>
      <c r="AF19" s="65">
        <v>0</v>
      </c>
      <c r="AG19" s="65">
        <v>0</v>
      </c>
      <c r="AH19" s="35">
        <v>77</v>
      </c>
      <c r="AI19" s="25">
        <v>150</v>
      </c>
      <c r="AJ19" s="25">
        <v>300</v>
      </c>
      <c r="AK19" s="25">
        <v>6</v>
      </c>
      <c r="AL19" s="25">
        <v>10</v>
      </c>
      <c r="AM19" s="25">
        <v>0</v>
      </c>
      <c r="AN19" s="25">
        <v>0</v>
      </c>
      <c r="AO19" s="25">
        <v>0</v>
      </c>
      <c r="AP19" s="25">
        <v>0</v>
      </c>
      <c r="AQ19" s="25">
        <v>0</v>
      </c>
      <c r="AR19" s="25">
        <v>0</v>
      </c>
      <c r="AS19" s="25">
        <v>0</v>
      </c>
      <c r="AT19" s="25">
        <v>0</v>
      </c>
      <c r="AU19" s="25">
        <v>0</v>
      </c>
      <c r="AV19" s="25">
        <v>0</v>
      </c>
      <c r="AW19" s="25">
        <v>0</v>
      </c>
      <c r="AX19" s="25">
        <v>0</v>
      </c>
      <c r="AY19" s="25">
        <v>0</v>
      </c>
      <c r="AZ19" s="25">
        <v>0</v>
      </c>
      <c r="BA19" s="25">
        <v>0</v>
      </c>
      <c r="BB19" s="25">
        <v>0</v>
      </c>
      <c r="BC19" s="25">
        <v>0</v>
      </c>
      <c r="BD19" s="25">
        <v>0</v>
      </c>
      <c r="BE19" s="25">
        <v>0</v>
      </c>
      <c r="BF19" s="25">
        <v>0</v>
      </c>
      <c r="BG19" s="25">
        <v>0</v>
      </c>
      <c r="BH19" s="25">
        <v>0</v>
      </c>
      <c r="BI19" s="25">
        <v>0</v>
      </c>
      <c r="BJ19" s="25">
        <v>0</v>
      </c>
      <c r="BK19" s="25">
        <v>0</v>
      </c>
      <c r="BL19" s="35">
        <v>0</v>
      </c>
      <c r="BM19" s="25">
        <v>0</v>
      </c>
      <c r="BN19" s="25">
        <v>0</v>
      </c>
      <c r="BO19" s="35">
        <v>0</v>
      </c>
      <c r="BP19" s="25">
        <v>0</v>
      </c>
      <c r="BQ19" s="25">
        <v>30</v>
      </c>
      <c r="BR19" s="25">
        <v>0</v>
      </c>
      <c r="BS19" s="25">
        <v>0</v>
      </c>
      <c r="BT19" s="35">
        <v>0</v>
      </c>
      <c r="BU19" s="35">
        <v>0</v>
      </c>
      <c r="BV19" s="25">
        <v>0</v>
      </c>
      <c r="BW19" s="25">
        <v>0</v>
      </c>
      <c r="BX19" s="25">
        <v>0</v>
      </c>
      <c r="BY19" s="25">
        <v>0</v>
      </c>
      <c r="BZ19" s="25" t="str">
        <v>84045</v>
      </c>
      <c r="CA19" s="25">
        <v>0</v>
      </c>
      <c r="CB19" s="25">
        <v>0</v>
      </c>
      <c r="CC19" s="25">
        <v>0</v>
      </c>
      <c r="CD19" s="25">
        <v>6</v>
      </c>
      <c r="CF19">
        <f t="shared" si="2"/>
        <v>300</v>
      </c>
      <c r="CG19" t="str">
        <v>D</v>
      </c>
      <c r="CH19" t="str">
        <v>U</v>
      </c>
      <c r="CI19" t="str">
        <f t="shared" si="3"/>
        <v>X</v>
      </c>
      <c r="CJ19" s="48" t="s">
        <v>40</v>
      </c>
      <c r="CK19" t="str">
        <f t="shared" si="4"/>
        <v>X</v>
      </c>
      <c r="CL19" t="str">
        <v>CL00</v>
      </c>
      <c r="CM19" t="str">
        <v>X</v>
      </c>
      <c r="CN19" t="str">
        <f t="shared" si="0"/>
        <v>D_U_X_X_X_CL00_X</v>
      </c>
      <c r="CO19" t="str">
        <v>EUC-VNXJ00B-300-300-0-0</v>
      </c>
      <c r="CP19" t="str">
        <f t="shared" si="5"/>
        <v>_Csteel</v>
      </c>
      <c r="CQ19" t="str">
        <f t="shared" si="6"/>
        <v>PARA 300 300 324 324 ATT ATT 0 0 11.76 232 324 458 60 8 14 0 62 0 0 0 0 -30 0 0 0 0 0 0 0 77 150 300 6 10 0 0 0 0 0 0 0 0 0 0 0 0 0 0 0 0 0 0 0 0 0 0 0 0 0 0 0 0 0 0 30 0 0 0 0 0 0 0 0 84045 0 0 0 6</v>
      </c>
      <c r="CR19" t="str">
        <f t="shared" si="7"/>
        <v>/EUC-VNXJ00B-300-300-0-0_Csteel</v>
      </c>
      <c r="CT19">
        <f>COUNTIF(Codes!$A$3:$A$35,CATA!CN19)</f>
        <v>1</v>
      </c>
      <c r="CU19" t="str">
        <f t="shared" si="8"/>
        <v>/EuC-CATA-SUPP/COMMON/D_U_X_X_X_CL00_X-GMSE</v>
      </c>
      <c r="CV19" t="str">
        <f t="shared" si="8"/>
        <v>/EuC-CATA-SUPP/COMMON/D_U_X_X_X_CL00_X-PTSE</v>
      </c>
      <c r="CW19" t="str">
        <f>IF(VLOOKUP(CN19,Codes!$A$3:$C$35,3,FALSE)=0,CF19,"OK")</f>
        <v>OK</v>
      </c>
    </row>
    <row r="20" spans="1:101">
      <c r="A20" s="44" t="str">
        <f t="shared" si="1"/>
        <v>GS</v>
      </c>
      <c r="B20" s="21">
        <v>350</v>
      </c>
      <c r="C20" s="21"/>
      <c r="D20" s="21"/>
      <c r="E20" s="21">
        <v>350</v>
      </c>
      <c r="F20" s="21">
        <v>350</v>
      </c>
      <c r="G20" s="21">
        <v>356</v>
      </c>
      <c r="H20" s="21">
        <v>356</v>
      </c>
      <c r="I20" s="21" t="str">
        <v>ATT</v>
      </c>
      <c r="J20" s="21" t="str">
        <v>ATT</v>
      </c>
      <c r="K20" s="21">
        <v>0</v>
      </c>
      <c r="L20" s="21">
        <v>0</v>
      </c>
      <c r="M20" s="21" t="str">
        <v>12.53</v>
      </c>
      <c r="N20" s="21" t="str">
        <v>248</v>
      </c>
      <c r="O20" s="21">
        <v>356</v>
      </c>
      <c r="P20" s="21">
        <v>492</v>
      </c>
      <c r="Q20" s="21">
        <v>60</v>
      </c>
      <c r="R20" s="21">
        <v>8</v>
      </c>
      <c r="S20" s="21">
        <v>14</v>
      </c>
      <c r="T20" s="25">
        <v>0</v>
      </c>
      <c r="U20" s="25" t="str">
        <v>62</v>
      </c>
      <c r="V20" s="25">
        <v>0</v>
      </c>
      <c r="W20" s="25">
        <v>0</v>
      </c>
      <c r="X20" s="25">
        <v>0</v>
      </c>
      <c r="Y20" s="25">
        <v>0</v>
      </c>
      <c r="Z20" s="25">
        <v>-30</v>
      </c>
      <c r="AA20" s="65">
        <v>0</v>
      </c>
      <c r="AB20" s="65">
        <v>0</v>
      </c>
      <c r="AC20" s="65">
        <v>0</v>
      </c>
      <c r="AD20" s="65">
        <v>0</v>
      </c>
      <c r="AE20" s="65">
        <v>0</v>
      </c>
      <c r="AF20" s="65">
        <v>0</v>
      </c>
      <c r="AG20" s="65">
        <v>0</v>
      </c>
      <c r="AH20" s="35">
        <v>76</v>
      </c>
      <c r="AI20" s="25">
        <v>150</v>
      </c>
      <c r="AJ20" s="25">
        <v>300</v>
      </c>
      <c r="AK20" s="25">
        <v>6</v>
      </c>
      <c r="AL20" s="25">
        <v>10</v>
      </c>
      <c r="AM20" s="25">
        <v>0</v>
      </c>
      <c r="AN20" s="25">
        <v>0</v>
      </c>
      <c r="AO20" s="25">
        <v>0</v>
      </c>
      <c r="AP20" s="25">
        <v>0</v>
      </c>
      <c r="AQ20" s="25">
        <v>0</v>
      </c>
      <c r="AR20" s="25">
        <v>0</v>
      </c>
      <c r="AS20" s="25">
        <v>0</v>
      </c>
      <c r="AT20" s="25">
        <v>0</v>
      </c>
      <c r="AU20" s="25">
        <v>0</v>
      </c>
      <c r="AV20" s="25">
        <v>0</v>
      </c>
      <c r="AW20" s="25">
        <v>0</v>
      </c>
      <c r="AX20" s="25">
        <v>0</v>
      </c>
      <c r="AY20" s="25">
        <v>0</v>
      </c>
      <c r="AZ20" s="25">
        <v>0</v>
      </c>
      <c r="BA20" s="25">
        <v>0</v>
      </c>
      <c r="BB20" s="25">
        <v>0</v>
      </c>
      <c r="BC20" s="25">
        <v>0</v>
      </c>
      <c r="BD20" s="25">
        <v>0</v>
      </c>
      <c r="BE20" s="25">
        <v>0</v>
      </c>
      <c r="BF20" s="25">
        <v>0</v>
      </c>
      <c r="BG20" s="25">
        <v>0</v>
      </c>
      <c r="BH20" s="25">
        <v>0</v>
      </c>
      <c r="BI20" s="25">
        <v>0</v>
      </c>
      <c r="BJ20" s="25">
        <v>0</v>
      </c>
      <c r="BK20" s="25">
        <v>0</v>
      </c>
      <c r="BL20" s="35">
        <v>0</v>
      </c>
      <c r="BM20" s="25">
        <v>0</v>
      </c>
      <c r="BN20" s="25">
        <v>0</v>
      </c>
      <c r="BO20" s="35">
        <v>0</v>
      </c>
      <c r="BP20" s="25">
        <v>0</v>
      </c>
      <c r="BQ20" s="25">
        <v>30</v>
      </c>
      <c r="BR20" s="25">
        <v>0</v>
      </c>
      <c r="BS20" s="25">
        <v>0</v>
      </c>
      <c r="BT20" s="35">
        <v>0</v>
      </c>
      <c r="BU20" s="35">
        <v>0</v>
      </c>
      <c r="BV20" s="25">
        <v>0</v>
      </c>
      <c r="BW20" s="25">
        <v>0</v>
      </c>
      <c r="BX20" s="25">
        <v>0</v>
      </c>
      <c r="BY20" s="25">
        <v>0</v>
      </c>
      <c r="BZ20" s="25" t="str">
        <v>84046</v>
      </c>
      <c r="CA20" s="25">
        <v>0</v>
      </c>
      <c r="CB20" s="25">
        <v>0</v>
      </c>
      <c r="CC20" s="25">
        <v>0</v>
      </c>
      <c r="CD20" s="25">
        <v>6</v>
      </c>
      <c r="CF20">
        <f t="shared" si="2"/>
        <v>350</v>
      </c>
      <c r="CG20" t="str">
        <v>D</v>
      </c>
      <c r="CH20" t="str">
        <v>U</v>
      </c>
      <c r="CI20" t="str">
        <f t="shared" si="3"/>
        <v>X</v>
      </c>
      <c r="CJ20" s="48" t="s">
        <v>40</v>
      </c>
      <c r="CK20" t="str">
        <f t="shared" si="4"/>
        <v>X</v>
      </c>
      <c r="CL20" t="str">
        <v>CL00</v>
      </c>
      <c r="CM20" t="str">
        <v>X</v>
      </c>
      <c r="CN20" t="str">
        <f t="shared" si="0"/>
        <v>D_U_X_X_X_CL00_X</v>
      </c>
      <c r="CO20" t="str">
        <v>EUC-VNXJ00B-350-350-0-0</v>
      </c>
      <c r="CP20" t="str">
        <f t="shared" si="5"/>
        <v>_Csteel</v>
      </c>
      <c r="CQ20" t="str">
        <f t="shared" si="6"/>
        <v>PARA 350 350 356 356 ATT ATT 0 0 12.53 248 356 492 60 8 14 0 62 0 0 0 0 -30 0 0 0 0 0 0 0 76 150 300 6 10 0 0 0 0 0 0 0 0 0 0 0 0 0 0 0 0 0 0 0 0 0 0 0 0 0 0 0 0 0 0 30 0 0 0 0 0 0 0 0 84046 0 0 0 6</v>
      </c>
      <c r="CR20" t="str">
        <f t="shared" si="7"/>
        <v>/EUC-VNXJ00B-350-350-0-0_Csteel</v>
      </c>
      <c r="CT20">
        <f>COUNTIF(Codes!$A$3:$A$35,CATA!CN20)</f>
        <v>1</v>
      </c>
      <c r="CU20" t="str">
        <f t="shared" si="8"/>
        <v>/EuC-CATA-SUPP/COMMON/D_U_X_X_X_CL00_X-GMSE</v>
      </c>
      <c r="CV20" t="str">
        <f t="shared" si="8"/>
        <v>/EuC-CATA-SUPP/COMMON/D_U_X_X_X_CL00_X-PTSE</v>
      </c>
      <c r="CW20" t="str">
        <f>IF(VLOOKUP(CN20,Codes!$A$3:$C$35,3,FALSE)=0,CF20,"OK")</f>
        <v>OK</v>
      </c>
    </row>
    <row r="21" spans="1:101">
      <c r="A21" s="44" t="str">
        <f t="shared" si="1"/>
        <v>GS</v>
      </c>
      <c r="B21" s="21">
        <v>400</v>
      </c>
      <c r="C21" s="21"/>
      <c r="D21" s="21"/>
      <c r="E21" s="21">
        <v>400</v>
      </c>
      <c r="F21" s="21">
        <v>400</v>
      </c>
      <c r="G21" s="21">
        <v>407</v>
      </c>
      <c r="H21" s="21">
        <v>407</v>
      </c>
      <c r="I21" s="21" t="str">
        <v>ATT</v>
      </c>
      <c r="J21" s="21" t="str">
        <v>ATT</v>
      </c>
      <c r="K21" s="21">
        <v>0</v>
      </c>
      <c r="L21" s="21">
        <v>0</v>
      </c>
      <c r="M21" s="21" t="str">
        <v>28.00</v>
      </c>
      <c r="N21" s="21" t="str">
        <v>273.5</v>
      </c>
      <c r="O21" s="21">
        <v>407</v>
      </c>
      <c r="P21" s="21">
        <v>570</v>
      </c>
      <c r="Q21" s="21">
        <v>70</v>
      </c>
      <c r="R21" s="21">
        <v>10</v>
      </c>
      <c r="S21" s="21">
        <v>18</v>
      </c>
      <c r="T21" s="25">
        <v>0</v>
      </c>
      <c r="U21" s="25" t="str">
        <v>60</v>
      </c>
      <c r="V21" s="25">
        <v>0</v>
      </c>
      <c r="W21" s="25">
        <v>0</v>
      </c>
      <c r="X21" s="25">
        <v>0</v>
      </c>
      <c r="Y21" s="25">
        <v>0</v>
      </c>
      <c r="Z21" s="25">
        <v>-30</v>
      </c>
      <c r="AA21" s="65">
        <v>0</v>
      </c>
      <c r="AB21" s="65">
        <v>0</v>
      </c>
      <c r="AC21" s="65">
        <v>0</v>
      </c>
      <c r="AD21" s="65">
        <v>0</v>
      </c>
      <c r="AE21" s="65">
        <v>0</v>
      </c>
      <c r="AF21" s="65">
        <v>0</v>
      </c>
      <c r="AG21" s="65">
        <v>0</v>
      </c>
      <c r="AH21" s="35">
        <v>114</v>
      </c>
      <c r="AI21" s="25">
        <v>300</v>
      </c>
      <c r="AJ21" s="25">
        <v>400</v>
      </c>
      <c r="AK21" s="25">
        <v>8</v>
      </c>
      <c r="AL21" s="25">
        <v>10</v>
      </c>
      <c r="AM21" s="25">
        <v>0</v>
      </c>
      <c r="AN21" s="25">
        <v>0</v>
      </c>
      <c r="AO21" s="25">
        <v>0</v>
      </c>
      <c r="AP21" s="25">
        <v>0</v>
      </c>
      <c r="AQ21" s="25">
        <v>0</v>
      </c>
      <c r="AR21" s="25">
        <v>0</v>
      </c>
      <c r="AS21" s="25">
        <v>0</v>
      </c>
      <c r="AT21" s="25">
        <v>0</v>
      </c>
      <c r="AU21" s="25">
        <v>0</v>
      </c>
      <c r="AV21" s="25">
        <v>0</v>
      </c>
      <c r="AW21" s="25">
        <v>0</v>
      </c>
      <c r="AX21" s="25">
        <v>0</v>
      </c>
      <c r="AY21" s="25">
        <v>0</v>
      </c>
      <c r="AZ21" s="25">
        <v>0</v>
      </c>
      <c r="BA21" s="25">
        <v>0</v>
      </c>
      <c r="BB21" s="25">
        <v>0</v>
      </c>
      <c r="BC21" s="25">
        <v>0</v>
      </c>
      <c r="BD21" s="25">
        <v>0</v>
      </c>
      <c r="BE21" s="25">
        <v>0</v>
      </c>
      <c r="BF21" s="25">
        <v>0</v>
      </c>
      <c r="BG21" s="25">
        <v>0</v>
      </c>
      <c r="BH21" s="25">
        <v>0</v>
      </c>
      <c r="BI21" s="25">
        <v>0</v>
      </c>
      <c r="BJ21" s="25">
        <v>0</v>
      </c>
      <c r="BK21" s="25">
        <v>0</v>
      </c>
      <c r="BL21" s="35">
        <v>0</v>
      </c>
      <c r="BM21" s="25">
        <v>0</v>
      </c>
      <c r="BN21" s="25">
        <v>0</v>
      </c>
      <c r="BO21" s="35">
        <v>0</v>
      </c>
      <c r="BP21" s="25">
        <v>0</v>
      </c>
      <c r="BQ21" s="25">
        <v>30</v>
      </c>
      <c r="BR21" s="25">
        <v>0</v>
      </c>
      <c r="BS21" s="25">
        <v>0</v>
      </c>
      <c r="BT21" s="35">
        <v>0</v>
      </c>
      <c r="BU21" s="35">
        <v>0</v>
      </c>
      <c r="BV21" s="25">
        <v>8</v>
      </c>
      <c r="BW21" s="25">
        <v>0</v>
      </c>
      <c r="BX21" s="25">
        <v>0</v>
      </c>
      <c r="BY21" s="25">
        <v>0</v>
      </c>
      <c r="BZ21" s="25" t="str">
        <v>84047</v>
      </c>
      <c r="CA21" s="25">
        <v>0</v>
      </c>
      <c r="CB21" s="25">
        <v>0</v>
      </c>
      <c r="CC21" s="25">
        <v>0</v>
      </c>
      <c r="CD21" s="25">
        <v>6</v>
      </c>
      <c r="CF21">
        <f t="shared" si="2"/>
        <v>400</v>
      </c>
      <c r="CG21" t="str">
        <v>D</v>
      </c>
      <c r="CH21" t="str">
        <v>U</v>
      </c>
      <c r="CI21" t="str">
        <f t="shared" si="3"/>
        <v>X</v>
      </c>
      <c r="CJ21" s="48" t="s">
        <v>40</v>
      </c>
      <c r="CK21" t="str">
        <f t="shared" si="4"/>
        <v>X</v>
      </c>
      <c r="CL21" t="str">
        <v>CL00</v>
      </c>
      <c r="CM21" t="str">
        <v>ST</v>
      </c>
      <c r="CN21" t="str">
        <f t="shared" si="0"/>
        <v>D_U_X_X_X_CL00_ST</v>
      </c>
      <c r="CO21" t="str">
        <v>EUC-VNXJ00B-400-400-0-0</v>
      </c>
      <c r="CP21" t="str">
        <f t="shared" si="5"/>
        <v>_Csteel</v>
      </c>
      <c r="CQ21" t="str">
        <f t="shared" si="6"/>
        <v>PARA 400 400 407 407 ATT ATT 0 0 28.00 273.5 407 570 70 10 18 0 60 0 0 0 0 -30 0 0 0 0 0 0 0 114 300 400 8 10 0 0 0 0 0 0 0 0 0 0 0 0 0 0 0 0 0 0 0 0 0 0 0 0 0 0 0 0 0 0 30 0 0 0 0 8 0 0 0 84047 0 0 0 6</v>
      </c>
      <c r="CR21" t="str">
        <f t="shared" si="7"/>
        <v>/EUC-VNXJ00B-400-400-0-0_Csteel</v>
      </c>
      <c r="CT21">
        <f>COUNTIF(Codes!$A$3:$A$35,CATA!CN21)</f>
        <v>1</v>
      </c>
      <c r="CU21" t="str">
        <f t="shared" si="8"/>
        <v>/EuC-CATA-SUPP/COMMON/D_U_X_X_X_CL00_ST-GMSE</v>
      </c>
      <c r="CV21" t="str">
        <f t="shared" si="8"/>
        <v>/EuC-CATA-SUPP/COMMON/D_U_X_X_X_CL00_ST-PTSE</v>
      </c>
      <c r="CW21" t="str">
        <f>IF(VLOOKUP(CN21,Codes!$A$3:$C$35,3,FALSE)=0,CF21,"OK")</f>
        <v>OK</v>
      </c>
    </row>
    <row r="22" spans="1:101">
      <c r="A22" s="44" t="str">
        <f t="shared" si="1"/>
        <v>GS</v>
      </c>
      <c r="B22" s="21">
        <v>450</v>
      </c>
      <c r="C22" s="21"/>
      <c r="D22" s="21"/>
      <c r="E22" s="21">
        <v>450</v>
      </c>
      <c r="F22" s="21">
        <v>450</v>
      </c>
      <c r="G22" s="21">
        <v>458</v>
      </c>
      <c r="H22" s="21">
        <v>458</v>
      </c>
      <c r="I22" s="21" t="str">
        <v>ATT</v>
      </c>
      <c r="J22" s="21" t="str">
        <v>ATT</v>
      </c>
      <c r="K22" s="21">
        <v>0</v>
      </c>
      <c r="L22" s="21">
        <v>0</v>
      </c>
      <c r="M22" s="21" t="str">
        <v>33.58</v>
      </c>
      <c r="N22" s="21" t="str">
        <v>299</v>
      </c>
      <c r="O22" s="21">
        <v>458</v>
      </c>
      <c r="P22" s="21">
        <v>622</v>
      </c>
      <c r="Q22" s="21">
        <v>70</v>
      </c>
      <c r="R22" s="21">
        <v>10</v>
      </c>
      <c r="S22" s="21">
        <v>18</v>
      </c>
      <c r="T22" s="25">
        <v>0</v>
      </c>
      <c r="U22" s="25" t="str">
        <v>60</v>
      </c>
      <c r="V22" s="25">
        <v>0</v>
      </c>
      <c r="W22" s="25">
        <v>0</v>
      </c>
      <c r="X22" s="25">
        <v>0</v>
      </c>
      <c r="Y22" s="25">
        <v>0</v>
      </c>
      <c r="Z22" s="25">
        <v>-30</v>
      </c>
      <c r="AA22" s="65">
        <v>0</v>
      </c>
      <c r="AB22" s="65">
        <v>0</v>
      </c>
      <c r="AC22" s="65">
        <v>0</v>
      </c>
      <c r="AD22" s="65">
        <v>0</v>
      </c>
      <c r="AE22" s="65">
        <v>0</v>
      </c>
      <c r="AF22" s="65">
        <v>0</v>
      </c>
      <c r="AG22" s="65">
        <v>0</v>
      </c>
      <c r="AH22" s="35">
        <v>128</v>
      </c>
      <c r="AI22" s="25">
        <v>350</v>
      </c>
      <c r="AJ22" s="25">
        <v>400</v>
      </c>
      <c r="AK22" s="25">
        <v>8</v>
      </c>
      <c r="AL22" s="25">
        <v>10</v>
      </c>
      <c r="AM22" s="25">
        <v>0</v>
      </c>
      <c r="AN22" s="25">
        <v>0</v>
      </c>
      <c r="AO22" s="25">
        <v>0</v>
      </c>
      <c r="AP22" s="25">
        <v>0</v>
      </c>
      <c r="AQ22" s="25">
        <v>0</v>
      </c>
      <c r="AR22" s="25">
        <v>0</v>
      </c>
      <c r="AS22" s="25">
        <v>0</v>
      </c>
      <c r="AT22" s="25">
        <v>0</v>
      </c>
      <c r="AU22" s="25">
        <v>0</v>
      </c>
      <c r="AV22" s="25">
        <v>0</v>
      </c>
      <c r="AW22" s="25">
        <v>0</v>
      </c>
      <c r="AX22" s="25">
        <v>0</v>
      </c>
      <c r="AY22" s="25">
        <v>0</v>
      </c>
      <c r="AZ22" s="25">
        <v>0</v>
      </c>
      <c r="BA22" s="25">
        <v>0</v>
      </c>
      <c r="BB22" s="25">
        <v>0</v>
      </c>
      <c r="BC22" s="25">
        <v>0</v>
      </c>
      <c r="BD22" s="25">
        <v>0</v>
      </c>
      <c r="BE22" s="25">
        <v>0</v>
      </c>
      <c r="BF22" s="25">
        <v>0</v>
      </c>
      <c r="BG22" s="25">
        <v>0</v>
      </c>
      <c r="BH22" s="25">
        <v>0</v>
      </c>
      <c r="BI22" s="25">
        <v>0</v>
      </c>
      <c r="BJ22" s="25">
        <v>0</v>
      </c>
      <c r="BK22" s="25">
        <v>0</v>
      </c>
      <c r="BL22" s="35">
        <v>0</v>
      </c>
      <c r="BM22" s="25">
        <v>0</v>
      </c>
      <c r="BN22" s="25">
        <v>0</v>
      </c>
      <c r="BO22" s="35">
        <v>0</v>
      </c>
      <c r="BP22" s="25">
        <v>0</v>
      </c>
      <c r="BQ22" s="25">
        <v>30</v>
      </c>
      <c r="BR22" s="25">
        <v>0</v>
      </c>
      <c r="BS22" s="25">
        <v>0</v>
      </c>
      <c r="BT22" s="35">
        <v>0</v>
      </c>
      <c r="BU22" s="35">
        <v>0</v>
      </c>
      <c r="BV22" s="25">
        <v>8</v>
      </c>
      <c r="BW22" s="25">
        <v>0</v>
      </c>
      <c r="BX22" s="25">
        <v>0</v>
      </c>
      <c r="BY22" s="25">
        <v>0</v>
      </c>
      <c r="BZ22" s="25" t="str">
        <v>84048</v>
      </c>
      <c r="CA22" s="25">
        <v>0</v>
      </c>
      <c r="CB22" s="25">
        <v>0</v>
      </c>
      <c r="CC22" s="25">
        <v>0</v>
      </c>
      <c r="CD22" s="25">
        <v>6</v>
      </c>
      <c r="CF22">
        <f t="shared" si="2"/>
        <v>450</v>
      </c>
      <c r="CG22" t="str">
        <v>D</v>
      </c>
      <c r="CH22" t="str">
        <v>U</v>
      </c>
      <c r="CI22" t="str">
        <f t="shared" si="3"/>
        <v>X</v>
      </c>
      <c r="CJ22" s="48" t="s">
        <v>40</v>
      </c>
      <c r="CK22" t="str">
        <f t="shared" si="4"/>
        <v>X</v>
      </c>
      <c r="CL22" t="str">
        <v>CL00</v>
      </c>
      <c r="CM22" t="str">
        <v>ST</v>
      </c>
      <c r="CN22" t="str">
        <f t="shared" si="0"/>
        <v>D_U_X_X_X_CL00_ST</v>
      </c>
      <c r="CO22" t="str">
        <v>EUC-VNXJ00B-450-450-0-0</v>
      </c>
      <c r="CP22" t="str">
        <f t="shared" si="5"/>
        <v>_Csteel</v>
      </c>
      <c r="CQ22" t="str">
        <f t="shared" si="6"/>
        <v>PARA 450 450 458 458 ATT ATT 0 0 33.58 299 458 622 70 10 18 0 60 0 0 0 0 -30 0 0 0 0 0 0 0 128 350 400 8 10 0 0 0 0 0 0 0 0 0 0 0 0 0 0 0 0 0 0 0 0 0 0 0 0 0 0 0 0 0 0 30 0 0 0 0 8 0 0 0 84048 0 0 0 6</v>
      </c>
      <c r="CR22" t="str">
        <f t="shared" si="7"/>
        <v>/EUC-VNXJ00B-450-450-0-0_Csteel</v>
      </c>
      <c r="CT22">
        <f>COUNTIF(Codes!$A$3:$A$35,CATA!CN22)</f>
        <v>1</v>
      </c>
      <c r="CU22" t="str">
        <f t="shared" si="8"/>
        <v>/EuC-CATA-SUPP/COMMON/D_U_X_X_X_CL00_ST-GMSE</v>
      </c>
      <c r="CV22" t="str">
        <f t="shared" si="8"/>
        <v>/EuC-CATA-SUPP/COMMON/D_U_X_X_X_CL00_ST-PTSE</v>
      </c>
      <c r="CW22" t="str">
        <f>IF(VLOOKUP(CN22,Codes!$A$3:$C$35,3,FALSE)=0,CF22,"OK")</f>
        <v>OK</v>
      </c>
    </row>
    <row r="23" spans="1:101">
      <c r="A23" s="44" t="str">
        <f t="shared" si="1"/>
        <v>GS</v>
      </c>
      <c r="B23" s="21">
        <v>500</v>
      </c>
      <c r="C23" s="21"/>
      <c r="D23" s="21"/>
      <c r="E23" s="21">
        <v>500</v>
      </c>
      <c r="F23" s="21">
        <v>500</v>
      </c>
      <c r="G23" s="21">
        <v>508</v>
      </c>
      <c r="H23" s="21">
        <v>508</v>
      </c>
      <c r="I23" s="21" t="str">
        <v>ATT</v>
      </c>
      <c r="J23" s="21" t="str">
        <v>ATT</v>
      </c>
      <c r="K23" s="21">
        <v>0</v>
      </c>
      <c r="L23" s="21">
        <v>0</v>
      </c>
      <c r="M23" s="21" t="str">
        <v>33.40</v>
      </c>
      <c r="N23" s="21" t="str">
        <v>324</v>
      </c>
      <c r="O23" s="21">
        <v>508</v>
      </c>
      <c r="P23" s="21">
        <v>672</v>
      </c>
      <c r="Q23" s="21">
        <v>70</v>
      </c>
      <c r="R23" s="21">
        <v>10</v>
      </c>
      <c r="S23" s="21">
        <v>18</v>
      </c>
      <c r="T23" s="25">
        <v>0</v>
      </c>
      <c r="U23" s="25" t="str">
        <v>60</v>
      </c>
      <c r="V23" s="25">
        <v>0</v>
      </c>
      <c r="W23" s="25">
        <v>0</v>
      </c>
      <c r="X23" s="25">
        <v>0</v>
      </c>
      <c r="Y23" s="25">
        <v>0</v>
      </c>
      <c r="Z23" s="25">
        <v>-30</v>
      </c>
      <c r="AA23" s="65">
        <v>0</v>
      </c>
      <c r="AB23" s="65">
        <v>0</v>
      </c>
      <c r="AC23" s="65">
        <v>0</v>
      </c>
      <c r="AD23" s="65">
        <v>0</v>
      </c>
      <c r="AE23" s="65">
        <v>0</v>
      </c>
      <c r="AF23" s="65">
        <v>0</v>
      </c>
      <c r="AG23" s="65">
        <v>0</v>
      </c>
      <c r="AH23" s="35">
        <v>131</v>
      </c>
      <c r="AI23" s="25">
        <v>375</v>
      </c>
      <c r="AJ23" s="25">
        <v>400</v>
      </c>
      <c r="AK23" s="25">
        <v>8</v>
      </c>
      <c r="AL23" s="25">
        <v>10</v>
      </c>
      <c r="AM23" s="25">
        <v>0</v>
      </c>
      <c r="AN23" s="25">
        <v>0</v>
      </c>
      <c r="AO23" s="25">
        <v>0</v>
      </c>
      <c r="AP23" s="25">
        <v>0</v>
      </c>
      <c r="AQ23" s="25">
        <v>0</v>
      </c>
      <c r="AR23" s="25">
        <v>0</v>
      </c>
      <c r="AS23" s="25">
        <v>0</v>
      </c>
      <c r="AT23" s="25">
        <v>0</v>
      </c>
      <c r="AU23" s="25">
        <v>0</v>
      </c>
      <c r="AV23" s="25">
        <v>0</v>
      </c>
      <c r="AW23" s="25">
        <v>0</v>
      </c>
      <c r="AX23" s="25">
        <v>0</v>
      </c>
      <c r="AY23" s="25">
        <v>0</v>
      </c>
      <c r="AZ23" s="25">
        <v>0</v>
      </c>
      <c r="BA23" s="25">
        <v>0</v>
      </c>
      <c r="BB23" s="25">
        <v>0</v>
      </c>
      <c r="BC23" s="25">
        <v>0</v>
      </c>
      <c r="BD23" s="25">
        <v>0</v>
      </c>
      <c r="BE23" s="25">
        <v>0</v>
      </c>
      <c r="BF23" s="25">
        <v>0</v>
      </c>
      <c r="BG23" s="25">
        <v>0</v>
      </c>
      <c r="BH23" s="25">
        <v>0</v>
      </c>
      <c r="BI23" s="25">
        <v>0</v>
      </c>
      <c r="BJ23" s="25">
        <v>0</v>
      </c>
      <c r="BK23" s="25">
        <v>0</v>
      </c>
      <c r="BL23" s="35">
        <v>0</v>
      </c>
      <c r="BM23" s="25">
        <v>0</v>
      </c>
      <c r="BN23" s="25">
        <v>0</v>
      </c>
      <c r="BO23" s="35">
        <v>0</v>
      </c>
      <c r="BP23" s="25">
        <v>0</v>
      </c>
      <c r="BQ23" s="25">
        <v>30</v>
      </c>
      <c r="BR23" s="25">
        <v>0</v>
      </c>
      <c r="BS23" s="25">
        <v>0</v>
      </c>
      <c r="BT23" s="35">
        <v>0</v>
      </c>
      <c r="BU23" s="35">
        <v>0</v>
      </c>
      <c r="BV23" s="25">
        <v>8</v>
      </c>
      <c r="BW23" s="25">
        <v>0</v>
      </c>
      <c r="BX23" s="25">
        <v>0</v>
      </c>
      <c r="BY23" s="25">
        <v>0</v>
      </c>
      <c r="BZ23" s="25" t="str">
        <v>84049</v>
      </c>
      <c r="CA23" s="25">
        <v>0</v>
      </c>
      <c r="CB23" s="25">
        <v>0</v>
      </c>
      <c r="CC23" s="25">
        <v>0</v>
      </c>
      <c r="CD23" s="25">
        <v>6</v>
      </c>
      <c r="CF23">
        <f t="shared" si="2"/>
        <v>500</v>
      </c>
      <c r="CG23" t="str">
        <v>D</v>
      </c>
      <c r="CH23" t="str">
        <v>U</v>
      </c>
      <c r="CI23" t="str">
        <f t="shared" si="3"/>
        <v>X</v>
      </c>
      <c r="CJ23" s="48" t="s">
        <v>40</v>
      </c>
      <c r="CK23" t="str">
        <f t="shared" si="4"/>
        <v>X</v>
      </c>
      <c r="CL23" t="str">
        <v>CL00</v>
      </c>
      <c r="CM23" t="str">
        <v>ST</v>
      </c>
      <c r="CN23" t="str">
        <f t="shared" si="0"/>
        <v>D_U_X_X_X_CL00_ST</v>
      </c>
      <c r="CO23" t="str">
        <v>EUC-VNXJ00B-500-500-0-0</v>
      </c>
      <c r="CP23" t="str">
        <f t="shared" si="5"/>
        <v>_Csteel</v>
      </c>
      <c r="CQ23" t="str">
        <f t="shared" si="6"/>
        <v>PARA 500 500 508 508 ATT ATT 0 0 33.40 324 508 672 70 10 18 0 60 0 0 0 0 -30 0 0 0 0 0 0 0 131 375 400 8 10 0 0 0 0 0 0 0 0 0 0 0 0 0 0 0 0 0 0 0 0 0 0 0 0 0 0 0 0 0 0 30 0 0 0 0 8 0 0 0 84049 0 0 0 6</v>
      </c>
      <c r="CR23" t="str">
        <f t="shared" si="7"/>
        <v>/EUC-VNXJ00B-500-500-0-0_Csteel</v>
      </c>
      <c r="CT23">
        <f>COUNTIF(Codes!$A$3:$A$35,CATA!CN23)</f>
        <v>1</v>
      </c>
      <c r="CU23" t="str">
        <f t="shared" si="8"/>
        <v>/EuC-CATA-SUPP/COMMON/D_U_X_X_X_CL00_ST-GMSE</v>
      </c>
      <c r="CV23" t="str">
        <f t="shared" si="8"/>
        <v>/EuC-CATA-SUPP/COMMON/D_U_X_X_X_CL00_ST-PTSE</v>
      </c>
      <c r="CW23" t="str">
        <f>IF(VLOOKUP(CN23,Codes!$A$3:$C$35,3,FALSE)=0,CF23,"OK")</f>
        <v>OK</v>
      </c>
    </row>
    <row r="24" spans="1:101">
      <c r="A24" s="44" t="str">
        <f t="shared" si="1"/>
        <v>GS</v>
      </c>
      <c r="B24" s="21">
        <v>600</v>
      </c>
      <c r="C24" s="21"/>
      <c r="D24" s="21"/>
      <c r="E24" s="21">
        <v>600</v>
      </c>
      <c r="F24" s="21">
        <v>600</v>
      </c>
      <c r="G24" s="21">
        <v>610</v>
      </c>
      <c r="H24" s="21">
        <v>610</v>
      </c>
      <c r="I24" s="21" t="str">
        <v>ATT</v>
      </c>
      <c r="J24" s="21" t="str">
        <v>ATT</v>
      </c>
      <c r="K24" s="21">
        <v>0</v>
      </c>
      <c r="L24" s="21">
        <v>0</v>
      </c>
      <c r="M24" s="21" t="str">
        <v>48.34</v>
      </c>
      <c r="N24" s="21" t="str">
        <v>375</v>
      </c>
      <c r="O24" s="21">
        <v>610</v>
      </c>
      <c r="P24" s="21">
        <v>777</v>
      </c>
      <c r="Q24" s="21">
        <v>70</v>
      </c>
      <c r="R24" s="21">
        <v>10</v>
      </c>
      <c r="S24" s="21">
        <v>18</v>
      </c>
      <c r="T24" s="25">
        <v>0</v>
      </c>
      <c r="U24" s="25" t="str">
        <v>60</v>
      </c>
      <c r="V24" s="25">
        <v>0</v>
      </c>
      <c r="W24" s="25">
        <v>0</v>
      </c>
      <c r="X24" s="25">
        <v>0</v>
      </c>
      <c r="Y24" s="25">
        <v>0</v>
      </c>
      <c r="Z24" s="25">
        <v>-30</v>
      </c>
      <c r="AA24" s="65">
        <v>0</v>
      </c>
      <c r="AB24" s="65">
        <v>0</v>
      </c>
      <c r="AC24" s="65">
        <v>0</v>
      </c>
      <c r="AD24" s="65">
        <v>0</v>
      </c>
      <c r="AE24" s="65">
        <v>0</v>
      </c>
      <c r="AF24" s="65">
        <v>0</v>
      </c>
      <c r="AG24" s="65">
        <v>0</v>
      </c>
      <c r="AH24" s="35">
        <v>145</v>
      </c>
      <c r="AI24" s="25">
        <v>450</v>
      </c>
      <c r="AJ24" s="25">
        <v>400</v>
      </c>
      <c r="AK24" s="25">
        <v>10</v>
      </c>
      <c r="AL24" s="25">
        <v>10</v>
      </c>
      <c r="AM24" s="25">
        <v>0</v>
      </c>
      <c r="AN24" s="25">
        <v>0</v>
      </c>
      <c r="AO24" s="25">
        <v>0</v>
      </c>
      <c r="AP24" s="25">
        <v>0</v>
      </c>
      <c r="AQ24" s="25">
        <v>0</v>
      </c>
      <c r="AR24" s="25">
        <v>0</v>
      </c>
      <c r="AS24" s="25">
        <v>0</v>
      </c>
      <c r="AT24" s="25">
        <v>0</v>
      </c>
      <c r="AU24" s="25">
        <v>0</v>
      </c>
      <c r="AV24" s="25">
        <v>0</v>
      </c>
      <c r="AW24" s="25">
        <v>0</v>
      </c>
      <c r="AX24" s="25">
        <v>0</v>
      </c>
      <c r="AY24" s="25">
        <v>0</v>
      </c>
      <c r="AZ24" s="25">
        <v>0</v>
      </c>
      <c r="BA24" s="25">
        <v>0</v>
      </c>
      <c r="BB24" s="25">
        <v>0</v>
      </c>
      <c r="BC24" s="25">
        <v>0</v>
      </c>
      <c r="BD24" s="25">
        <v>0</v>
      </c>
      <c r="BE24" s="25">
        <v>0</v>
      </c>
      <c r="BF24" s="25">
        <v>0</v>
      </c>
      <c r="BG24" s="25">
        <v>0</v>
      </c>
      <c r="BH24" s="25">
        <v>0</v>
      </c>
      <c r="BI24" s="25">
        <v>0</v>
      </c>
      <c r="BJ24" s="25">
        <v>0</v>
      </c>
      <c r="BK24" s="25">
        <v>0</v>
      </c>
      <c r="BL24" s="35">
        <v>0</v>
      </c>
      <c r="BM24" s="25">
        <v>0</v>
      </c>
      <c r="BN24" s="25">
        <v>0</v>
      </c>
      <c r="BO24" s="35">
        <v>0</v>
      </c>
      <c r="BP24" s="25">
        <v>0</v>
      </c>
      <c r="BQ24" s="25">
        <v>30</v>
      </c>
      <c r="BR24" s="25">
        <v>0</v>
      </c>
      <c r="BS24" s="25">
        <v>0</v>
      </c>
      <c r="BT24" s="35">
        <v>0</v>
      </c>
      <c r="BU24" s="35">
        <v>0</v>
      </c>
      <c r="BV24" s="25">
        <v>10</v>
      </c>
      <c r="BW24" s="25">
        <v>0</v>
      </c>
      <c r="BX24" s="25">
        <v>0</v>
      </c>
      <c r="BY24" s="25">
        <v>0</v>
      </c>
      <c r="BZ24" s="25" t="str">
        <v>84050</v>
      </c>
      <c r="CA24" s="25">
        <v>0</v>
      </c>
      <c r="CB24" s="25">
        <v>0</v>
      </c>
      <c r="CC24" s="25">
        <v>0</v>
      </c>
      <c r="CD24" s="25">
        <v>6</v>
      </c>
      <c r="CF24">
        <f t="shared" si="2"/>
        <v>600</v>
      </c>
      <c r="CG24" t="str">
        <v>D</v>
      </c>
      <c r="CH24" t="str">
        <v>U</v>
      </c>
      <c r="CI24" t="str">
        <f t="shared" si="3"/>
        <v>X</v>
      </c>
      <c r="CJ24" s="48" t="s">
        <v>40</v>
      </c>
      <c r="CK24" t="str">
        <f t="shared" si="4"/>
        <v>X</v>
      </c>
      <c r="CL24" t="str">
        <v>CL00</v>
      </c>
      <c r="CM24" t="str">
        <v>ST</v>
      </c>
      <c r="CN24" t="str">
        <f t="shared" si="0"/>
        <v>D_U_X_X_X_CL00_ST</v>
      </c>
      <c r="CO24" t="str">
        <v>EUC-VNXJ00B-600-600-0-0</v>
      </c>
      <c r="CP24" t="str">
        <f t="shared" si="5"/>
        <v>_Csteel</v>
      </c>
      <c r="CQ24" t="str">
        <f t="shared" si="6"/>
        <v>PARA 600 600 610 610 ATT ATT 0 0 48.34 375 610 777 70 10 18 0 60 0 0 0 0 -30 0 0 0 0 0 0 0 145 450 400 10 10 0 0 0 0 0 0 0 0 0 0 0 0 0 0 0 0 0 0 0 0 0 0 0 0 0 0 0 0 0 0 30 0 0 0 0 10 0 0 0 84050 0 0 0 6</v>
      </c>
      <c r="CR24" t="str">
        <f t="shared" si="7"/>
        <v>/EUC-VNXJ00B-600-600-0-0_Csteel</v>
      </c>
      <c r="CT24">
        <f>COUNTIF(Codes!$A$3:$A$35,CATA!CN24)</f>
        <v>1</v>
      </c>
      <c r="CU24" t="str">
        <f t="shared" si="8"/>
        <v>/EuC-CATA-SUPP/COMMON/D_U_X_X_X_CL00_ST-GMSE</v>
      </c>
      <c r="CV24" t="str">
        <f t="shared" si="8"/>
        <v>/EuC-CATA-SUPP/COMMON/D_U_X_X_X_CL00_ST-PTSE</v>
      </c>
      <c r="CW24" t="str">
        <f>IF(VLOOKUP(CN24,Codes!$A$3:$C$35,3,FALSE)=0,CF24,"OK")</f>
        <v>OK</v>
      </c>
    </row>
    <row r="25" spans="1:101">
      <c r="A25" s="44" t="str">
        <f t="shared" si="1"/>
        <v>GS</v>
      </c>
      <c r="B25" s="21">
        <v>700</v>
      </c>
      <c r="C25" s="21"/>
      <c r="D25" s="21"/>
      <c r="E25" s="21">
        <v>700</v>
      </c>
      <c r="F25" s="21">
        <v>700</v>
      </c>
      <c r="G25" s="21">
        <v>712</v>
      </c>
      <c r="H25" s="21">
        <v>712</v>
      </c>
      <c r="I25" s="21" t="str">
        <v>ATT</v>
      </c>
      <c r="J25" s="21" t="str">
        <v>ATT</v>
      </c>
      <c r="K25" s="21">
        <v>0</v>
      </c>
      <c r="L25" s="21">
        <v>0</v>
      </c>
      <c r="M25" s="21" t="str">
        <v>57.67</v>
      </c>
      <c r="N25" s="21" t="str">
        <v>426</v>
      </c>
      <c r="O25" s="21">
        <v>712</v>
      </c>
      <c r="P25" s="21">
        <v>906</v>
      </c>
      <c r="Q25" s="21">
        <v>70</v>
      </c>
      <c r="R25" s="21">
        <v>10</v>
      </c>
      <c r="S25" s="21">
        <v>18</v>
      </c>
      <c r="T25" s="25">
        <v>0</v>
      </c>
      <c r="U25" s="25" t="str">
        <v>60</v>
      </c>
      <c r="V25" s="25">
        <v>0</v>
      </c>
      <c r="W25" s="25">
        <v>0</v>
      </c>
      <c r="X25" s="25">
        <v>0</v>
      </c>
      <c r="Y25" s="25">
        <v>0</v>
      </c>
      <c r="Z25" s="25">
        <v>-30</v>
      </c>
      <c r="AA25" s="65">
        <v>0</v>
      </c>
      <c r="AB25" s="65">
        <v>0</v>
      </c>
      <c r="AC25" s="65">
        <v>0</v>
      </c>
      <c r="AD25" s="65">
        <v>0</v>
      </c>
      <c r="AE25" s="65">
        <v>0</v>
      </c>
      <c r="AF25" s="65">
        <v>0</v>
      </c>
      <c r="AG25" s="65">
        <v>0</v>
      </c>
      <c r="AH25" s="35">
        <v>161</v>
      </c>
      <c r="AI25" s="25">
        <v>525</v>
      </c>
      <c r="AJ25" s="25">
        <v>400</v>
      </c>
      <c r="AK25" s="25">
        <v>10</v>
      </c>
      <c r="AL25" s="25">
        <v>10</v>
      </c>
      <c r="AM25" s="25">
        <v>0</v>
      </c>
      <c r="AN25" s="25">
        <v>0</v>
      </c>
      <c r="AO25" s="25">
        <v>0</v>
      </c>
      <c r="AP25" s="25">
        <v>0</v>
      </c>
      <c r="AQ25" s="25">
        <v>0</v>
      </c>
      <c r="AR25" s="25">
        <v>0</v>
      </c>
      <c r="AS25" s="25">
        <v>0</v>
      </c>
      <c r="AT25" s="25">
        <v>0</v>
      </c>
      <c r="AU25" s="25">
        <v>0</v>
      </c>
      <c r="AV25" s="25">
        <v>0</v>
      </c>
      <c r="AW25" s="25">
        <v>0</v>
      </c>
      <c r="AX25" s="25">
        <v>0</v>
      </c>
      <c r="AY25" s="25">
        <v>0</v>
      </c>
      <c r="AZ25" s="25">
        <v>0</v>
      </c>
      <c r="BA25" s="25">
        <v>0</v>
      </c>
      <c r="BB25" s="25">
        <v>0</v>
      </c>
      <c r="BC25" s="25">
        <v>0</v>
      </c>
      <c r="BD25" s="25">
        <v>0</v>
      </c>
      <c r="BE25" s="25">
        <v>0</v>
      </c>
      <c r="BF25" s="25">
        <v>0</v>
      </c>
      <c r="BG25" s="25">
        <v>0</v>
      </c>
      <c r="BH25" s="25">
        <v>0</v>
      </c>
      <c r="BI25" s="25">
        <v>0</v>
      </c>
      <c r="BJ25" s="25">
        <v>0</v>
      </c>
      <c r="BK25" s="25">
        <v>0</v>
      </c>
      <c r="BL25" s="35">
        <v>0</v>
      </c>
      <c r="BM25" s="25">
        <v>0</v>
      </c>
      <c r="BN25" s="25">
        <v>0</v>
      </c>
      <c r="BO25" s="35">
        <v>0</v>
      </c>
      <c r="BP25" s="25">
        <v>0</v>
      </c>
      <c r="BQ25" s="25">
        <v>30</v>
      </c>
      <c r="BR25" s="25">
        <v>0</v>
      </c>
      <c r="BS25" s="25">
        <v>0</v>
      </c>
      <c r="BT25" s="35">
        <v>0</v>
      </c>
      <c r="BU25" s="35">
        <v>0</v>
      </c>
      <c r="BV25" s="25">
        <v>10</v>
      </c>
      <c r="BW25" s="25">
        <v>0</v>
      </c>
      <c r="BX25" s="25">
        <v>0</v>
      </c>
      <c r="BY25" s="25">
        <v>0</v>
      </c>
      <c r="BZ25" s="25" t="str">
        <v>84051</v>
      </c>
      <c r="CA25" s="25">
        <v>0</v>
      </c>
      <c r="CB25" s="25">
        <v>0</v>
      </c>
      <c r="CC25" s="25">
        <v>0</v>
      </c>
      <c r="CD25" s="25">
        <v>6</v>
      </c>
      <c r="CF25">
        <f t="shared" si="2"/>
        <v>700</v>
      </c>
      <c r="CG25" t="str">
        <v>D</v>
      </c>
      <c r="CH25" t="str">
        <v>U</v>
      </c>
      <c r="CI25" t="str">
        <f t="shared" si="3"/>
        <v>X</v>
      </c>
      <c r="CJ25" s="48" t="s">
        <v>40</v>
      </c>
      <c r="CK25" t="str">
        <f t="shared" si="4"/>
        <v>X</v>
      </c>
      <c r="CL25" t="str">
        <v>CL00</v>
      </c>
      <c r="CM25" t="str">
        <v>ST</v>
      </c>
      <c r="CN25" t="str">
        <f t="shared" si="0"/>
        <v>D_U_X_X_X_CL00_ST</v>
      </c>
      <c r="CO25" t="str">
        <v>EUC-VNXJ00B-700-700-0-0</v>
      </c>
      <c r="CP25" t="str">
        <f t="shared" si="5"/>
        <v>_Csteel</v>
      </c>
      <c r="CQ25" t="str">
        <f t="shared" si="6"/>
        <v>PARA 700 700 712 712 ATT ATT 0 0 57.67 426 712 906 70 10 18 0 60 0 0 0 0 -30 0 0 0 0 0 0 0 161 525 400 10 10 0 0 0 0 0 0 0 0 0 0 0 0 0 0 0 0 0 0 0 0 0 0 0 0 0 0 0 0 0 0 30 0 0 0 0 10 0 0 0 84051 0 0 0 6</v>
      </c>
      <c r="CR25" t="str">
        <f t="shared" si="7"/>
        <v>/EUC-VNXJ00B-700-700-0-0_Csteel</v>
      </c>
      <c r="CT25">
        <f>COUNTIF(Codes!$A$3:$A$35,CATA!CN25)</f>
        <v>1</v>
      </c>
      <c r="CU25" t="str">
        <f t="shared" si="8"/>
        <v>/EuC-CATA-SUPP/COMMON/D_U_X_X_X_CL00_ST-GMSE</v>
      </c>
      <c r="CV25" t="str">
        <f t="shared" si="8"/>
        <v>/EuC-CATA-SUPP/COMMON/D_U_X_X_X_CL00_ST-PTSE</v>
      </c>
      <c r="CW25" t="str">
        <f>IF(VLOOKUP(CN25,Codes!$A$3:$C$35,3,FALSE)=0,CF25,"OK")</f>
        <v>OK</v>
      </c>
    </row>
    <row r="26" spans="1:101">
      <c r="A26" s="44" t="str">
        <f t="shared" si="1"/>
        <v>GS</v>
      </c>
      <c r="B26" s="21">
        <v>800</v>
      </c>
      <c r="C26" s="21"/>
      <c r="D26" s="21"/>
      <c r="E26" s="21">
        <v>800</v>
      </c>
      <c r="F26" s="21">
        <v>800</v>
      </c>
      <c r="G26" s="21">
        <v>814</v>
      </c>
      <c r="H26" s="21">
        <v>814</v>
      </c>
      <c r="I26" s="21" t="str">
        <v>ATT</v>
      </c>
      <c r="J26" s="21" t="str">
        <v>ATT</v>
      </c>
      <c r="K26" s="21">
        <v>0</v>
      </c>
      <c r="L26" s="21">
        <v>0</v>
      </c>
      <c r="M26" s="21" t="str">
        <v>85.68</v>
      </c>
      <c r="N26" s="21" t="str">
        <v>476.5</v>
      </c>
      <c r="O26" s="21">
        <v>814</v>
      </c>
      <c r="P26" s="21">
        <v>1008</v>
      </c>
      <c r="Q26" s="21">
        <v>80</v>
      </c>
      <c r="R26" s="21">
        <v>10</v>
      </c>
      <c r="S26" s="21">
        <v>18</v>
      </c>
      <c r="T26" s="25">
        <v>0</v>
      </c>
      <c r="U26" s="25" t="str">
        <v>59.5</v>
      </c>
      <c r="V26" s="25">
        <v>0</v>
      </c>
      <c r="W26" s="25">
        <v>0</v>
      </c>
      <c r="X26" s="25">
        <v>0</v>
      </c>
      <c r="Y26" s="25">
        <v>0</v>
      </c>
      <c r="Z26" s="25">
        <v>-30</v>
      </c>
      <c r="AA26" s="65">
        <v>0</v>
      </c>
      <c r="AB26" s="65">
        <v>0</v>
      </c>
      <c r="AC26" s="65">
        <v>0</v>
      </c>
      <c r="AD26" s="65">
        <v>0</v>
      </c>
      <c r="AE26" s="65">
        <v>0</v>
      </c>
      <c r="AF26" s="65">
        <v>0</v>
      </c>
      <c r="AG26" s="65">
        <v>0</v>
      </c>
      <c r="AH26" s="35">
        <v>173</v>
      </c>
      <c r="AI26" s="25">
        <v>600</v>
      </c>
      <c r="AJ26" s="25">
        <v>400</v>
      </c>
      <c r="AK26" s="25">
        <v>15</v>
      </c>
      <c r="AL26" s="25">
        <v>10</v>
      </c>
      <c r="AM26" s="25">
        <v>0</v>
      </c>
      <c r="AN26" s="25">
        <v>0</v>
      </c>
      <c r="AO26" s="25">
        <v>0</v>
      </c>
      <c r="AP26" s="25">
        <v>0</v>
      </c>
      <c r="AQ26" s="25">
        <v>0</v>
      </c>
      <c r="AR26" s="25">
        <v>0</v>
      </c>
      <c r="AS26" s="25">
        <v>0</v>
      </c>
      <c r="AT26" s="25">
        <v>0</v>
      </c>
      <c r="AU26" s="25">
        <v>0</v>
      </c>
      <c r="AV26" s="25">
        <v>0</v>
      </c>
      <c r="AW26" s="25">
        <v>0</v>
      </c>
      <c r="AX26" s="25">
        <v>0</v>
      </c>
      <c r="AY26" s="25">
        <v>0</v>
      </c>
      <c r="AZ26" s="25">
        <v>0</v>
      </c>
      <c r="BA26" s="25">
        <v>0</v>
      </c>
      <c r="BB26" s="25">
        <v>0</v>
      </c>
      <c r="BC26" s="25">
        <v>0</v>
      </c>
      <c r="BD26" s="25">
        <v>0</v>
      </c>
      <c r="BE26" s="25">
        <v>0</v>
      </c>
      <c r="BF26" s="25">
        <v>0</v>
      </c>
      <c r="BG26" s="25">
        <v>0</v>
      </c>
      <c r="BH26" s="25">
        <v>0</v>
      </c>
      <c r="BI26" s="25">
        <v>0</v>
      </c>
      <c r="BJ26" s="25">
        <v>0</v>
      </c>
      <c r="BK26" s="25">
        <v>0</v>
      </c>
      <c r="BL26" s="35">
        <v>0</v>
      </c>
      <c r="BM26" s="25">
        <v>0</v>
      </c>
      <c r="BN26" s="25">
        <v>0</v>
      </c>
      <c r="BO26" s="35">
        <v>0</v>
      </c>
      <c r="BP26" s="25">
        <v>0</v>
      </c>
      <c r="BQ26" s="25">
        <v>30</v>
      </c>
      <c r="BR26" s="25">
        <v>0</v>
      </c>
      <c r="BS26" s="25">
        <v>0</v>
      </c>
      <c r="BT26" s="35">
        <v>0</v>
      </c>
      <c r="BU26" s="35">
        <v>0</v>
      </c>
      <c r="BV26" s="25">
        <v>15</v>
      </c>
      <c r="BW26" s="25">
        <v>0</v>
      </c>
      <c r="BX26" s="25">
        <v>0</v>
      </c>
      <c r="BY26" s="25">
        <v>0</v>
      </c>
      <c r="BZ26" s="25" t="str">
        <v>84052</v>
      </c>
      <c r="CA26" s="25">
        <v>0</v>
      </c>
      <c r="CB26" s="25">
        <v>0</v>
      </c>
      <c r="CC26" s="25">
        <v>0</v>
      </c>
      <c r="CD26" s="25">
        <v>8</v>
      </c>
      <c r="CF26">
        <f t="shared" si="2"/>
        <v>800</v>
      </c>
      <c r="CG26" t="str">
        <v>D</v>
      </c>
      <c r="CH26" t="str">
        <v>U</v>
      </c>
      <c r="CI26" t="str">
        <f t="shared" si="3"/>
        <v>X</v>
      </c>
      <c r="CJ26" s="48" t="s">
        <v>40</v>
      </c>
      <c r="CK26" t="str">
        <f t="shared" si="4"/>
        <v>X</v>
      </c>
      <c r="CL26" t="str">
        <v>CL00</v>
      </c>
      <c r="CM26" t="str">
        <v>ST</v>
      </c>
      <c r="CN26" t="str">
        <f t="shared" si="0"/>
        <v>D_U_X_X_X_CL00_ST</v>
      </c>
      <c r="CO26" t="str">
        <v>EUC-VNXJ00B-800-800-0-0</v>
      </c>
      <c r="CP26" t="str">
        <f t="shared" si="5"/>
        <v>_Csteel</v>
      </c>
      <c r="CQ26" t="str">
        <f t="shared" si="6"/>
        <v>PARA 800 800 814 814 ATT ATT 0 0 85.68 476.5 814 1008 80 10 18 0 59.5 0 0 0 0 -30 0 0 0 0 0 0 0 173 600 400 15 10 0 0 0 0 0 0 0 0 0 0 0 0 0 0 0 0 0 0 0 0 0 0 0 0 0 0 0 0 0 0 30 0 0 0 0 15 0 0 0 84052 0 0 0 8</v>
      </c>
      <c r="CR26" t="str">
        <f t="shared" si="7"/>
        <v>/EUC-VNXJ00B-800-800-0-0_Csteel</v>
      </c>
      <c r="CT26">
        <f>COUNTIF(Codes!$A$3:$A$35,CATA!CN26)</f>
        <v>1</v>
      </c>
      <c r="CU26" t="str">
        <f t="shared" si="8"/>
        <v>/EuC-CATA-SUPP/COMMON/D_U_X_X_X_CL00_ST-GMSE</v>
      </c>
      <c r="CV26" t="str">
        <f t="shared" si="8"/>
        <v>/EuC-CATA-SUPP/COMMON/D_U_X_X_X_CL00_ST-PTSE</v>
      </c>
      <c r="CW26" t="str">
        <f>IF(VLOOKUP(CN26,Codes!$A$3:$C$35,3,FALSE)=0,CF26,"OK")</f>
        <v>OK</v>
      </c>
    </row>
    <row r="27" spans="1:101">
      <c r="A27" s="44" t="str">
        <f t="shared" si="1"/>
        <v>GS</v>
      </c>
      <c r="B27" s="21">
        <v>900</v>
      </c>
      <c r="C27" s="21"/>
      <c r="D27" s="21"/>
      <c r="E27" s="21">
        <v>900</v>
      </c>
      <c r="F27" s="21">
        <v>900</v>
      </c>
      <c r="G27" s="21">
        <v>916</v>
      </c>
      <c r="H27" s="21">
        <v>916</v>
      </c>
      <c r="I27" s="21" t="str">
        <v>ATT</v>
      </c>
      <c r="J27" s="21" t="str">
        <v>ATT</v>
      </c>
      <c r="K27" s="21">
        <v>0</v>
      </c>
      <c r="L27" s="21">
        <v>0</v>
      </c>
      <c r="M27" s="21" t="str">
        <v>100.68</v>
      </c>
      <c r="N27" s="21" t="str">
        <v>527.5</v>
      </c>
      <c r="O27" s="21">
        <v>916</v>
      </c>
      <c r="P27" s="21">
        <v>1120</v>
      </c>
      <c r="Q27" s="21">
        <v>90</v>
      </c>
      <c r="R27" s="21">
        <v>10</v>
      </c>
      <c r="S27" s="21">
        <v>18</v>
      </c>
      <c r="T27" s="25">
        <v>0</v>
      </c>
      <c r="U27" s="25" t="str">
        <v>59.5</v>
      </c>
      <c r="V27" s="25">
        <v>0</v>
      </c>
      <c r="W27" s="25">
        <v>0</v>
      </c>
      <c r="X27" s="25">
        <v>0</v>
      </c>
      <c r="Y27" s="25">
        <v>0</v>
      </c>
      <c r="Z27" s="25">
        <v>-30</v>
      </c>
      <c r="AA27" s="65">
        <v>0</v>
      </c>
      <c r="AB27" s="65">
        <v>0</v>
      </c>
      <c r="AC27" s="65">
        <v>0</v>
      </c>
      <c r="AD27" s="65">
        <v>0</v>
      </c>
      <c r="AE27" s="65">
        <v>0</v>
      </c>
      <c r="AF27" s="65">
        <v>0</v>
      </c>
      <c r="AG27" s="65">
        <v>0</v>
      </c>
      <c r="AH27" s="35">
        <v>189</v>
      </c>
      <c r="AI27" s="25">
        <v>675</v>
      </c>
      <c r="AJ27" s="25">
        <v>400</v>
      </c>
      <c r="AK27" s="25">
        <v>15</v>
      </c>
      <c r="AL27" s="25">
        <v>10</v>
      </c>
      <c r="AM27" s="25">
        <v>0</v>
      </c>
      <c r="AN27" s="25">
        <v>0</v>
      </c>
      <c r="AO27" s="25">
        <v>0</v>
      </c>
      <c r="AP27" s="25">
        <v>0</v>
      </c>
      <c r="AQ27" s="25">
        <v>0</v>
      </c>
      <c r="AR27" s="25">
        <v>0</v>
      </c>
      <c r="AS27" s="25">
        <v>0</v>
      </c>
      <c r="AT27" s="25">
        <v>0</v>
      </c>
      <c r="AU27" s="25">
        <v>0</v>
      </c>
      <c r="AV27" s="25">
        <v>0</v>
      </c>
      <c r="AW27" s="25">
        <v>0</v>
      </c>
      <c r="AX27" s="25">
        <v>0</v>
      </c>
      <c r="AY27" s="25">
        <v>0</v>
      </c>
      <c r="AZ27" s="25">
        <v>0</v>
      </c>
      <c r="BA27" s="25">
        <v>0</v>
      </c>
      <c r="BB27" s="25">
        <v>0</v>
      </c>
      <c r="BC27" s="25">
        <v>0</v>
      </c>
      <c r="BD27" s="25">
        <v>0</v>
      </c>
      <c r="BE27" s="25">
        <v>0</v>
      </c>
      <c r="BF27" s="25">
        <v>0</v>
      </c>
      <c r="BG27" s="25">
        <v>0</v>
      </c>
      <c r="BH27" s="25">
        <v>0</v>
      </c>
      <c r="BI27" s="25">
        <v>0</v>
      </c>
      <c r="BJ27" s="25">
        <v>0</v>
      </c>
      <c r="BK27" s="25">
        <v>0</v>
      </c>
      <c r="BL27" s="35">
        <v>0</v>
      </c>
      <c r="BM27" s="25">
        <v>0</v>
      </c>
      <c r="BN27" s="25">
        <v>0</v>
      </c>
      <c r="BO27" s="35">
        <v>0</v>
      </c>
      <c r="BP27" s="25">
        <v>0</v>
      </c>
      <c r="BQ27" s="25">
        <v>30</v>
      </c>
      <c r="BR27" s="25">
        <v>0</v>
      </c>
      <c r="BS27" s="25">
        <v>0</v>
      </c>
      <c r="BT27" s="35">
        <v>0</v>
      </c>
      <c r="BU27" s="35">
        <v>0</v>
      </c>
      <c r="BV27" s="25">
        <v>15</v>
      </c>
      <c r="BW27" s="25">
        <v>0</v>
      </c>
      <c r="BX27" s="25">
        <v>0</v>
      </c>
      <c r="BY27" s="25">
        <v>0</v>
      </c>
      <c r="BZ27" s="25" t="str">
        <v>84053</v>
      </c>
      <c r="CA27" s="25">
        <v>0</v>
      </c>
      <c r="CB27" s="25">
        <v>0</v>
      </c>
      <c r="CC27" s="25">
        <v>0</v>
      </c>
      <c r="CD27" s="25">
        <v>8</v>
      </c>
      <c r="CF27">
        <f t="shared" si="2"/>
        <v>900</v>
      </c>
      <c r="CG27" t="str">
        <v>D</v>
      </c>
      <c r="CH27" t="str">
        <v>U</v>
      </c>
      <c r="CI27" t="str">
        <f t="shared" si="3"/>
        <v>X</v>
      </c>
      <c r="CJ27" s="48" t="s">
        <v>40</v>
      </c>
      <c r="CK27" t="str">
        <f t="shared" si="4"/>
        <v>X</v>
      </c>
      <c r="CL27" t="str">
        <v>CL00</v>
      </c>
      <c r="CM27" t="str">
        <v>ST</v>
      </c>
      <c r="CN27" t="str">
        <f t="shared" si="0"/>
        <v>D_U_X_X_X_CL00_ST</v>
      </c>
      <c r="CO27" t="str">
        <v>EUC-VNXJ00B-900-900-0-0</v>
      </c>
      <c r="CP27" t="str">
        <f t="shared" si="5"/>
        <v>_Csteel</v>
      </c>
      <c r="CQ27" t="str">
        <f t="shared" si="6"/>
        <v>PARA 900 900 916 916 ATT ATT 0 0 100.68 527.5 916 1120 90 10 18 0 59.5 0 0 0 0 -30 0 0 0 0 0 0 0 189 675 400 15 10 0 0 0 0 0 0 0 0 0 0 0 0 0 0 0 0 0 0 0 0 0 0 0 0 0 0 0 0 0 0 30 0 0 0 0 15 0 0 0 84053 0 0 0 8</v>
      </c>
      <c r="CR27" t="str">
        <f t="shared" si="7"/>
        <v>/EUC-VNXJ00B-900-900-0-0_Csteel</v>
      </c>
      <c r="CT27">
        <f>COUNTIF(Codes!$A$3:$A$35,CATA!CN27)</f>
        <v>1</v>
      </c>
      <c r="CU27" t="str">
        <f t="shared" si="8"/>
        <v>/EuC-CATA-SUPP/COMMON/D_U_X_X_X_CL00_ST-GMSE</v>
      </c>
      <c r="CV27" t="str">
        <f t="shared" si="8"/>
        <v>/EuC-CATA-SUPP/COMMON/D_U_X_X_X_CL00_ST-PTSE</v>
      </c>
      <c r="CW27" t="str">
        <f>IF(VLOOKUP(CN27,Codes!$A$3:$C$35,3,FALSE)=0,CF27,"OK")</f>
        <v>OK</v>
      </c>
    </row>
    <row r="28" spans="1:101">
      <c r="A28" s="44" t="str">
        <f t="shared" si="1"/>
        <v>GS</v>
      </c>
      <c r="B28" s="21">
        <v>1000</v>
      </c>
      <c r="C28" s="21"/>
      <c r="D28" s="21"/>
      <c r="E28" s="21">
        <v>1000</v>
      </c>
      <c r="F28" s="21">
        <v>1000</v>
      </c>
      <c r="G28" s="21">
        <v>1018</v>
      </c>
      <c r="H28" s="21">
        <v>1018</v>
      </c>
      <c r="I28" s="21" t="str">
        <v>ATT</v>
      </c>
      <c r="J28" s="21" t="str">
        <v>ATT</v>
      </c>
      <c r="K28" s="21">
        <v>0</v>
      </c>
      <c r="L28" s="21">
        <v>0</v>
      </c>
      <c r="M28" s="21" t="str">
        <v>114.79</v>
      </c>
      <c r="N28" s="21" t="str">
        <v>578</v>
      </c>
      <c r="O28" s="21">
        <v>1018</v>
      </c>
      <c r="P28" s="21">
        <v>1222</v>
      </c>
      <c r="Q28" s="21">
        <v>90</v>
      </c>
      <c r="R28" s="21">
        <v>10</v>
      </c>
      <c r="S28" s="21">
        <v>18</v>
      </c>
      <c r="T28" s="25">
        <v>0</v>
      </c>
      <c r="U28" s="14" t="str">
        <v>59</v>
      </c>
      <c r="V28" s="25">
        <v>0</v>
      </c>
      <c r="W28" s="14">
        <v>0</v>
      </c>
      <c r="X28" s="14">
        <v>0</v>
      </c>
      <c r="Y28" s="14">
        <v>0</v>
      </c>
      <c r="Z28" s="14">
        <v>-30</v>
      </c>
      <c r="AA28" s="66">
        <v>0</v>
      </c>
      <c r="AB28" s="66">
        <v>0</v>
      </c>
      <c r="AC28" s="66">
        <v>0</v>
      </c>
      <c r="AD28" s="66">
        <v>0</v>
      </c>
      <c r="AE28" s="66">
        <v>0</v>
      </c>
      <c r="AF28" s="66">
        <v>0</v>
      </c>
      <c r="AG28" s="66">
        <v>0</v>
      </c>
      <c r="AH28" s="36">
        <v>206</v>
      </c>
      <c r="AI28" s="14">
        <v>750</v>
      </c>
      <c r="AJ28" s="14">
        <v>400</v>
      </c>
      <c r="AK28" s="14">
        <v>15</v>
      </c>
      <c r="AL28" s="14">
        <v>10</v>
      </c>
      <c r="AM28" s="14">
        <v>0</v>
      </c>
      <c r="AN28" s="14">
        <v>0</v>
      </c>
      <c r="AO28" s="14">
        <v>0</v>
      </c>
      <c r="AP28" s="14">
        <v>0</v>
      </c>
      <c r="AQ28" s="14">
        <v>0</v>
      </c>
      <c r="AR28" s="14">
        <v>0</v>
      </c>
      <c r="AS28" s="14">
        <v>0</v>
      </c>
      <c r="AT28" s="14">
        <v>0</v>
      </c>
      <c r="AU28" s="14">
        <v>0</v>
      </c>
      <c r="AV28" s="14">
        <v>0</v>
      </c>
      <c r="AW28" s="14">
        <v>0</v>
      </c>
      <c r="AX28" s="14">
        <v>0</v>
      </c>
      <c r="AY28" s="14">
        <v>0</v>
      </c>
      <c r="AZ28" s="14">
        <v>0</v>
      </c>
      <c r="BA28" s="14">
        <v>0</v>
      </c>
      <c r="BB28" s="14">
        <v>0</v>
      </c>
      <c r="BC28" s="14">
        <v>0</v>
      </c>
      <c r="BD28" s="14">
        <v>0</v>
      </c>
      <c r="BE28" s="14">
        <v>0</v>
      </c>
      <c r="BF28" s="14">
        <v>0</v>
      </c>
      <c r="BG28" s="14">
        <v>0</v>
      </c>
      <c r="BH28" s="14">
        <v>0</v>
      </c>
      <c r="BI28" s="14">
        <v>0</v>
      </c>
      <c r="BJ28" s="14">
        <v>0</v>
      </c>
      <c r="BK28" s="14">
        <v>0</v>
      </c>
      <c r="BL28" s="36">
        <v>0</v>
      </c>
      <c r="BM28" s="14">
        <v>0</v>
      </c>
      <c r="BN28" s="14">
        <v>0</v>
      </c>
      <c r="BO28" s="36">
        <v>0</v>
      </c>
      <c r="BP28" s="14">
        <v>0</v>
      </c>
      <c r="BQ28" s="14">
        <v>30</v>
      </c>
      <c r="BR28" s="14">
        <v>0</v>
      </c>
      <c r="BS28" s="14">
        <v>0</v>
      </c>
      <c r="BT28" s="36">
        <v>0</v>
      </c>
      <c r="BU28" s="36">
        <v>0</v>
      </c>
      <c r="BV28" s="14">
        <v>15</v>
      </c>
      <c r="BW28" s="14">
        <v>0</v>
      </c>
      <c r="BX28" s="14">
        <v>0</v>
      </c>
      <c r="BY28" s="14">
        <v>0</v>
      </c>
      <c r="BZ28" s="14" t="str">
        <v>84054</v>
      </c>
      <c r="CA28" s="14">
        <v>0</v>
      </c>
      <c r="CB28" s="14">
        <v>0</v>
      </c>
      <c r="CC28" s="14">
        <v>0</v>
      </c>
      <c r="CD28" s="14">
        <v>8</v>
      </c>
      <c r="CF28">
        <f t="shared" si="2"/>
        <v>1000</v>
      </c>
      <c r="CG28" t="str">
        <v>D</v>
      </c>
      <c r="CH28" t="str">
        <v>U</v>
      </c>
      <c r="CI28" t="str">
        <f t="shared" si="3"/>
        <v>X</v>
      </c>
      <c r="CJ28" s="48" t="s">
        <v>40</v>
      </c>
      <c r="CK28" t="str">
        <f t="shared" si="4"/>
        <v>X</v>
      </c>
      <c r="CL28" t="str">
        <v>CL00</v>
      </c>
      <c r="CM28" t="str">
        <v>ST</v>
      </c>
      <c r="CN28" t="str">
        <f t="shared" si="0"/>
        <v>D_U_X_X_X_CL00_ST</v>
      </c>
      <c r="CO28" t="str">
        <v>EUC-VNXJ00B-1000-1000-0-0</v>
      </c>
      <c r="CP28" t="str">
        <f t="shared" si="5"/>
        <v>_Csteel</v>
      </c>
      <c r="CQ28" t="str">
        <f t="shared" si="6"/>
        <v>PARA 1000 1000 1018 1018 ATT ATT 0 0 114.79 578 1018 1222 90 10 18 0 59 0 0 0 0 -30 0 0 0 0 0 0 0 206 750 400 15 10 0 0 0 0 0 0 0 0 0 0 0 0 0 0 0 0 0 0 0 0 0 0 0 0 0 0 0 0 0 0 30 0 0 0 0 15 0 0 0 84054 0 0 0 8</v>
      </c>
      <c r="CR28" t="str">
        <f t="shared" si="7"/>
        <v>/EUC-VNXJ00B-1000-1000-0-0_Csteel</v>
      </c>
      <c r="CT28">
        <f>COUNTIF(Codes!$A$3:$A$35,CATA!CN28)</f>
        <v>1</v>
      </c>
      <c r="CU28" t="str">
        <f t="shared" si="8"/>
        <v>/EuC-CATA-SUPP/COMMON/D_U_X_X_X_CL00_ST-GMSE</v>
      </c>
      <c r="CV28" t="str">
        <f t="shared" si="8"/>
        <v>/EuC-CATA-SUPP/COMMON/D_U_X_X_X_CL00_ST-PTSE</v>
      </c>
      <c r="CW28" t="str">
        <f>IF(VLOOKUP(CN28,Codes!$A$3:$C$35,3,FALSE)=0,CF28,"OK")</f>
        <v>OK</v>
      </c>
    </row>
    <row r="29" spans="1:101">
      <c r="A29" s="44" t="str">
        <f t="shared" si="1"/>
        <v>GS</v>
      </c>
      <c r="B29" s="13">
        <v>1200</v>
      </c>
      <c r="C29" s="13"/>
      <c r="D29" s="14"/>
      <c r="E29" s="14">
        <v>1200</v>
      </c>
      <c r="F29" s="14">
        <v>1200</v>
      </c>
      <c r="G29" s="14">
        <v>1220</v>
      </c>
      <c r="H29" s="14">
        <v>1220</v>
      </c>
      <c r="I29" s="14" t="str">
        <v>ATT</v>
      </c>
      <c r="J29" s="14" t="str">
        <v>ATT</v>
      </c>
      <c r="K29" s="14">
        <v>0</v>
      </c>
      <c r="L29" s="14">
        <v>0</v>
      </c>
      <c r="M29" s="14" t="str">
        <v>169.90</v>
      </c>
      <c r="N29" s="13" t="str">
        <v>682.5</v>
      </c>
      <c r="O29" s="13">
        <v>1220</v>
      </c>
      <c r="P29" s="13">
        <v>1424</v>
      </c>
      <c r="Q29" s="13">
        <v>100</v>
      </c>
      <c r="R29" s="13">
        <v>12</v>
      </c>
      <c r="S29" s="13">
        <v>22</v>
      </c>
      <c r="T29" s="14">
        <v>0</v>
      </c>
      <c r="U29" s="25" t="str">
        <v>60.5</v>
      </c>
      <c r="V29" s="25">
        <v>0</v>
      </c>
      <c r="W29" s="25">
        <v>0</v>
      </c>
      <c r="X29" s="25">
        <v>0</v>
      </c>
      <c r="Y29" s="25">
        <v>0</v>
      </c>
      <c r="Z29" s="25">
        <v>-30</v>
      </c>
      <c r="AA29" s="65">
        <v>0</v>
      </c>
      <c r="AB29" s="65">
        <v>0</v>
      </c>
      <c r="AC29" s="65">
        <v>0</v>
      </c>
      <c r="AD29" s="65">
        <v>0</v>
      </c>
      <c r="AE29" s="65">
        <v>0</v>
      </c>
      <c r="AF29" s="65">
        <v>0</v>
      </c>
      <c r="AG29" s="65">
        <v>0</v>
      </c>
      <c r="AH29" s="35">
        <v>235</v>
      </c>
      <c r="AI29" s="25">
        <v>900</v>
      </c>
      <c r="AJ29" s="25">
        <v>500</v>
      </c>
      <c r="AK29" s="25">
        <v>15</v>
      </c>
      <c r="AL29" s="25">
        <v>10</v>
      </c>
      <c r="AM29" s="25">
        <v>0</v>
      </c>
      <c r="AN29" s="25">
        <v>0</v>
      </c>
      <c r="AO29" s="25">
        <v>0</v>
      </c>
      <c r="AP29" s="25">
        <v>0</v>
      </c>
      <c r="AQ29" s="25">
        <v>0</v>
      </c>
      <c r="AR29" s="25">
        <v>0</v>
      </c>
      <c r="AS29" s="25">
        <v>0</v>
      </c>
      <c r="AT29" s="25">
        <v>0</v>
      </c>
      <c r="AU29" s="25">
        <v>0</v>
      </c>
      <c r="AV29" s="25">
        <v>0</v>
      </c>
      <c r="AW29" s="25">
        <v>0</v>
      </c>
      <c r="AX29" s="25">
        <v>0</v>
      </c>
      <c r="AY29" s="25">
        <v>0</v>
      </c>
      <c r="AZ29" s="25">
        <v>0</v>
      </c>
      <c r="BA29" s="25">
        <v>0</v>
      </c>
      <c r="BB29" s="25">
        <v>0</v>
      </c>
      <c r="BC29" s="25">
        <v>0</v>
      </c>
      <c r="BD29" s="25">
        <v>0</v>
      </c>
      <c r="BE29" s="25">
        <v>0</v>
      </c>
      <c r="BF29" s="25">
        <v>0</v>
      </c>
      <c r="BG29" s="25">
        <v>0</v>
      </c>
      <c r="BH29" s="25">
        <v>0</v>
      </c>
      <c r="BI29" s="25">
        <v>0</v>
      </c>
      <c r="BJ29" s="25">
        <v>0</v>
      </c>
      <c r="BK29" s="25">
        <v>0</v>
      </c>
      <c r="BL29" s="35">
        <v>0</v>
      </c>
      <c r="BM29" s="25">
        <v>0</v>
      </c>
      <c r="BN29" s="25">
        <v>0</v>
      </c>
      <c r="BO29" s="35">
        <v>0</v>
      </c>
      <c r="BP29" s="25">
        <v>0</v>
      </c>
      <c r="BQ29" s="25">
        <v>30</v>
      </c>
      <c r="BR29" s="25">
        <v>0</v>
      </c>
      <c r="BS29" s="25">
        <v>0</v>
      </c>
      <c r="BT29" s="35">
        <v>0</v>
      </c>
      <c r="BU29" s="35">
        <v>0</v>
      </c>
      <c r="BV29" s="25">
        <v>15</v>
      </c>
      <c r="BW29" s="25">
        <v>0</v>
      </c>
      <c r="BX29" s="25">
        <v>0</v>
      </c>
      <c r="BY29" s="25">
        <v>0</v>
      </c>
      <c r="BZ29" s="25" t="str">
        <v>84055</v>
      </c>
      <c r="CA29" s="25">
        <v>0</v>
      </c>
      <c r="CB29" s="25">
        <v>0</v>
      </c>
      <c r="CC29" s="25">
        <v>0</v>
      </c>
      <c r="CD29" s="25">
        <v>10</v>
      </c>
      <c r="CF29">
        <f t="shared" si="2"/>
        <v>1200</v>
      </c>
      <c r="CG29" t="str">
        <v>D</v>
      </c>
      <c r="CH29" t="str">
        <v>U</v>
      </c>
      <c r="CI29" t="str">
        <f t="shared" si="3"/>
        <v>X</v>
      </c>
      <c r="CJ29" s="48" t="s">
        <v>40</v>
      </c>
      <c r="CK29" t="str">
        <f t="shared" si="4"/>
        <v>X</v>
      </c>
      <c r="CL29" t="str">
        <v>CL00</v>
      </c>
      <c r="CM29" t="str">
        <v>ST</v>
      </c>
      <c r="CN29" t="str">
        <f t="shared" si="0"/>
        <v>D_U_X_X_X_CL00_ST</v>
      </c>
      <c r="CO29" t="str">
        <v>EUC-VNXJ00B-1200-1200-0-0</v>
      </c>
      <c r="CP29" t="str">
        <f t="shared" si="5"/>
        <v>_Csteel</v>
      </c>
      <c r="CQ29" t="str">
        <f t="shared" si="6"/>
        <v>PARA 1200 1200 1220 1220 ATT ATT 0 0 169.90 682.5 1220 1424 100 12 22 0 60.5 0 0 0 0 -30 0 0 0 0 0 0 0 235 900 500 15 10 0 0 0 0 0 0 0 0 0 0 0 0 0 0 0 0 0 0 0 0 0 0 0 0 0 0 0 0 0 0 30 0 0 0 0 15 0 0 0 84055 0 0 0 10</v>
      </c>
      <c r="CR29" t="str">
        <f t="shared" si="7"/>
        <v>/EUC-VNXJ00B-1200-1200-0-0_Csteel</v>
      </c>
      <c r="CT29">
        <f>COUNTIF(Codes!$A$3:$A$35,CATA!CN29)</f>
        <v>1</v>
      </c>
      <c r="CU29" t="str">
        <f t="shared" si="8"/>
        <v>/EuC-CATA-SUPP/COMMON/D_U_X_X_X_CL00_ST-GMSE</v>
      </c>
      <c r="CV29" t="str">
        <f t="shared" si="8"/>
        <v>/EuC-CATA-SUPP/COMMON/D_U_X_X_X_CL00_ST-PTSE</v>
      </c>
      <c r="CW29" t="str">
        <f>IF(VLOOKUP(CN29,Codes!$A$3:$C$35,3,FALSE)=0,CF29,"OK")</f>
        <v>OK</v>
      </c>
    </row>
    <row r="32" spans="1:101">
      <c r="B32" s="69" t="s">
        <v>477</v>
      </c>
      <c r="C32" s="24" t="str">
        <f>IF(C3="","",C3)</f>
        <v/>
      </c>
      <c r="D32" s="24" t="str">
        <f t="shared" ref="D32:BO33" si="9">IF(D3="","",D3)</f>
        <v/>
      </c>
      <c r="E32" s="24" t="str">
        <f t="shared" si="9"/>
        <v>Standard</v>
      </c>
      <c r="F32" s="24" t="str">
        <f t="shared" si="9"/>
        <v/>
      </c>
      <c r="G32" s="24" t="str">
        <f t="shared" si="9"/>
        <v/>
      </c>
      <c r="H32" s="24" t="str">
        <f t="shared" si="9"/>
        <v/>
      </c>
      <c r="I32" s="24" t="str">
        <f t="shared" si="9"/>
        <v/>
      </c>
      <c r="J32" s="24" t="str">
        <f t="shared" si="9"/>
        <v/>
      </c>
      <c r="K32" s="24" t="str">
        <f t="shared" si="9"/>
        <v/>
      </c>
      <c r="L32" s="24" t="str">
        <f t="shared" si="9"/>
        <v/>
      </c>
      <c r="M32" s="24" t="str">
        <f t="shared" si="9"/>
        <v/>
      </c>
      <c r="N32" s="29" t="str">
        <f t="shared" si="9"/>
        <v/>
      </c>
      <c r="O32" s="30" t="str">
        <f t="shared" si="9"/>
        <v>Clamp</v>
      </c>
      <c r="P32" s="30" t="str">
        <f t="shared" si="9"/>
        <v/>
      </c>
      <c r="Q32" s="30" t="str">
        <f t="shared" si="9"/>
        <v/>
      </c>
      <c r="R32" s="30" t="str">
        <f t="shared" si="9"/>
        <v/>
      </c>
      <c r="S32" s="30" t="str">
        <f t="shared" si="9"/>
        <v/>
      </c>
      <c r="T32" s="30" t="str">
        <f t="shared" si="9"/>
        <v/>
      </c>
      <c r="U32" s="30" t="str">
        <f t="shared" si="9"/>
        <v/>
      </c>
      <c r="V32" s="46" t="str">
        <f t="shared" si="9"/>
        <v>Guiding L</v>
      </c>
      <c r="W32" s="46" t="str">
        <f t="shared" si="9"/>
        <v/>
      </c>
      <c r="X32" s="46" t="str">
        <f t="shared" si="9"/>
        <v/>
      </c>
      <c r="Y32" s="46" t="str">
        <f t="shared" si="9"/>
        <v/>
      </c>
      <c r="Z32" s="30" t="str">
        <f t="shared" si="9"/>
        <v/>
      </c>
      <c r="AA32" s="24" t="str">
        <f t="shared" si="9"/>
        <v/>
      </c>
      <c r="AB32" s="24" t="str">
        <f t="shared" si="9"/>
        <v>Bolt Plate for custom Clamps</v>
      </c>
      <c r="AC32" s="24" t="str">
        <f t="shared" si="9"/>
        <v/>
      </c>
      <c r="AD32" s="24" t="str">
        <f t="shared" si="9"/>
        <v/>
      </c>
      <c r="AE32" s="24" t="str">
        <f t="shared" si="9"/>
        <v/>
      </c>
      <c r="AF32" s="24" t="str">
        <f t="shared" si="9"/>
        <v/>
      </c>
      <c r="AG32" s="24" t="str">
        <f t="shared" si="9"/>
        <v/>
      </c>
      <c r="AH32" s="30" t="str">
        <f t="shared" si="9"/>
        <v>Foot</v>
      </c>
      <c r="AI32" s="30" t="str">
        <f t="shared" si="9"/>
        <v/>
      </c>
      <c r="AJ32" s="30" t="str">
        <f t="shared" si="9"/>
        <v/>
      </c>
      <c r="AK32" s="30" t="str">
        <f t="shared" si="9"/>
        <v/>
      </c>
      <c r="AL32" s="23" t="str">
        <f t="shared" si="9"/>
        <v/>
      </c>
      <c r="AM32" s="30" t="str">
        <f t="shared" si="9"/>
        <v/>
      </c>
      <c r="AN32" s="24" t="str">
        <f t="shared" si="9"/>
        <v/>
      </c>
      <c r="AO32" s="24" t="str">
        <f t="shared" si="9"/>
        <v/>
      </c>
      <c r="AP32" s="50" t="str">
        <f t="shared" si="9"/>
        <v>Guide</v>
      </c>
      <c r="AQ32" s="50" t="str">
        <f t="shared" si="9"/>
        <v/>
      </c>
      <c r="AR32" s="50" t="str">
        <f t="shared" si="9"/>
        <v/>
      </c>
      <c r="AS32" s="50" t="str">
        <f t="shared" si="9"/>
        <v/>
      </c>
      <c r="AT32" s="50" t="str">
        <f t="shared" si="9"/>
        <v/>
      </c>
      <c r="AU32" s="50" t="str">
        <f t="shared" si="9"/>
        <v/>
      </c>
      <c r="AV32" s="50" t="str">
        <f t="shared" si="9"/>
        <v/>
      </c>
      <c r="AW32" s="50" t="str">
        <f t="shared" si="9"/>
        <v/>
      </c>
      <c r="AX32" s="24" t="str">
        <f t="shared" si="9"/>
        <v>Flachnocken</v>
      </c>
      <c r="AY32" s="24" t="str">
        <f t="shared" si="9"/>
        <v/>
      </c>
      <c r="AZ32" s="24" t="str">
        <f t="shared" si="9"/>
        <v/>
      </c>
      <c r="BA32" s="24" t="str">
        <f t="shared" si="9"/>
        <v/>
      </c>
      <c r="BB32" s="24" t="str">
        <f t="shared" si="9"/>
        <v/>
      </c>
      <c r="BC32" s="24" t="str">
        <f t="shared" si="9"/>
        <v>Axialstopp</v>
      </c>
      <c r="BD32" s="24" t="str">
        <f t="shared" si="9"/>
        <v/>
      </c>
      <c r="BE32" s="24" t="str">
        <f t="shared" si="9"/>
        <v/>
      </c>
      <c r="BF32" s="24" t="str">
        <f t="shared" si="9"/>
        <v/>
      </c>
      <c r="BG32" s="24" t="str">
        <f t="shared" si="9"/>
        <v/>
      </c>
      <c r="BH32" s="24" t="str">
        <f t="shared" si="9"/>
        <v/>
      </c>
      <c r="BI32" s="50" t="str">
        <f t="shared" si="9"/>
        <v/>
      </c>
      <c r="BJ32" s="50" t="str">
        <f t="shared" si="9"/>
        <v/>
      </c>
      <c r="BK32" s="50" t="str">
        <f t="shared" si="9"/>
        <v/>
      </c>
      <c r="BL32" s="24" t="str">
        <f t="shared" si="9"/>
        <v>Sliding_Plate / Fill_Plate</v>
      </c>
      <c r="BM32" s="24" t="str">
        <f t="shared" si="9"/>
        <v/>
      </c>
      <c r="BN32" s="24" t="str">
        <f t="shared" si="9"/>
        <v/>
      </c>
      <c r="BO32" s="24" t="str">
        <f t="shared" si="9"/>
        <v/>
      </c>
      <c r="BP32" s="24" t="str">
        <f t="shared" ref="BP32:CD34" si="10">IF(BP3="","",BP3)</f>
        <v/>
      </c>
      <c r="BQ32" s="24" t="str">
        <f t="shared" si="10"/>
        <v>L-STEEL</v>
      </c>
      <c r="BR32" s="24" t="str">
        <f t="shared" si="10"/>
        <v/>
      </c>
      <c r="BS32" s="24" t="str">
        <f t="shared" si="10"/>
        <v/>
      </c>
      <c r="BT32" s="24" t="str">
        <f t="shared" si="10"/>
        <v>Stiffener</v>
      </c>
      <c r="BU32" s="24" t="str">
        <f t="shared" si="10"/>
        <v/>
      </c>
      <c r="BV32" s="24" t="str">
        <f t="shared" si="10"/>
        <v/>
      </c>
      <c r="BW32" s="24" t="str">
        <f t="shared" si="10"/>
        <v/>
      </c>
      <c r="BX32" s="24" t="str">
        <f t="shared" si="10"/>
        <v/>
      </c>
      <c r="BY32" s="24" t="str">
        <f t="shared" si="10"/>
        <v/>
      </c>
      <c r="BZ32" s="24" t="str">
        <f t="shared" si="10"/>
        <v/>
      </c>
      <c r="CA32" s="24" t="str">
        <f t="shared" si="10"/>
        <v/>
      </c>
      <c r="CB32" s="24" t="str">
        <f t="shared" si="10"/>
        <v/>
      </c>
      <c r="CC32" s="24" t="str">
        <f t="shared" si="10"/>
        <v/>
      </c>
      <c r="CD32" s="24" t="str">
        <f t="shared" si="10"/>
        <v/>
      </c>
    </row>
    <row r="33" spans="2:101">
      <c r="B33" s="23"/>
      <c r="C33" s="23" t="str">
        <f t="shared" ref="C33:R34" si="11">IF(C4="","",C4)</f>
        <v/>
      </c>
      <c r="D33" s="23" t="str">
        <f t="shared" si="11"/>
        <v/>
      </c>
      <c r="E33" s="23" t="str">
        <f t="shared" si="11"/>
        <v>DNIN</v>
      </c>
      <c r="F33" s="23" t="str">
        <f t="shared" si="11"/>
        <v>DNOU</v>
      </c>
      <c r="G33" s="23" t="str">
        <f t="shared" si="11"/>
        <v>ODIN</v>
      </c>
      <c r="H33" s="23" t="str">
        <f t="shared" si="11"/>
        <v>ODOU</v>
      </c>
      <c r="I33" s="23" t="str">
        <f t="shared" si="11"/>
        <v>COIN</v>
      </c>
      <c r="J33" s="23" t="str">
        <f t="shared" si="11"/>
        <v>COOU</v>
      </c>
      <c r="K33" s="23" t="str">
        <f t="shared" si="11"/>
        <v>WTIN</v>
      </c>
      <c r="L33" s="23" t="str">
        <f t="shared" si="11"/>
        <v>WTOU</v>
      </c>
      <c r="M33" s="23" t="str">
        <f t="shared" si="11"/>
        <v>MASS</v>
      </c>
      <c r="N33" s="28" t="str">
        <f t="shared" si="11"/>
        <v>CL</v>
      </c>
      <c r="O33" s="31" t="str">
        <f t="shared" si="11"/>
        <v>OD</v>
      </c>
      <c r="P33" s="31" t="str">
        <f t="shared" si="11"/>
        <v>C+A+C</v>
      </c>
      <c r="Q33" s="31" t="str">
        <f t="shared" si="11"/>
        <v>B</v>
      </c>
      <c r="R33" s="31" t="str">
        <f t="shared" si="11"/>
        <v>s/sC</v>
      </c>
      <c r="S33" s="31" t="str">
        <f t="shared" si="9"/>
        <v>f</v>
      </c>
      <c r="T33" s="31" t="str">
        <f t="shared" si="9"/>
        <v/>
      </c>
      <c r="U33" s="31" t="str">
        <f t="shared" si="9"/>
        <v>BoP-sC</v>
      </c>
      <c r="V33" s="47" t="str">
        <f t="shared" si="9"/>
        <v>H</v>
      </c>
      <c r="W33" s="47" t="str">
        <f t="shared" si="9"/>
        <v>B</v>
      </c>
      <c r="X33" s="47" t="str">
        <f t="shared" si="9"/>
        <v>THK</v>
      </c>
      <c r="Y33" s="47" t="str">
        <f t="shared" si="9"/>
        <v>L</v>
      </c>
      <c r="Z33" s="31" t="str">
        <f t="shared" si="9"/>
        <v>Angle</v>
      </c>
      <c r="AA33" s="23" t="str">
        <f t="shared" si="9"/>
        <v/>
      </c>
      <c r="AB33" s="23" t="str">
        <f t="shared" si="9"/>
        <v>B of Clamp</v>
      </c>
      <c r="AC33" s="23" t="str">
        <f t="shared" si="9"/>
        <v/>
      </c>
      <c r="AD33" s="23" t="str">
        <f t="shared" si="9"/>
        <v/>
      </c>
      <c r="AE33" s="23" t="str">
        <f t="shared" si="9"/>
        <v/>
      </c>
      <c r="AF33" s="23" t="str">
        <f t="shared" si="9"/>
        <v/>
      </c>
      <c r="AG33" s="23" t="str">
        <f t="shared" si="9"/>
        <v/>
      </c>
      <c r="AH33" s="31" t="str">
        <f t="shared" si="9"/>
        <v/>
      </c>
      <c r="AI33" s="31" t="str">
        <f t="shared" si="9"/>
        <v>Dist betw</v>
      </c>
      <c r="AJ33" s="31" t="str">
        <f t="shared" si="9"/>
        <v>LEN</v>
      </c>
      <c r="AK33" s="31" t="str">
        <f t="shared" si="9"/>
        <v>THK</v>
      </c>
      <c r="AL33" s="23" t="str">
        <f t="shared" si="9"/>
        <v>Clamp inset</v>
      </c>
      <c r="AM33" s="31" t="str">
        <f t="shared" si="9"/>
        <v/>
      </c>
      <c r="AN33" s="23" t="str">
        <f t="shared" si="9"/>
        <v/>
      </c>
      <c r="AO33" s="23" t="str">
        <f t="shared" si="9"/>
        <v/>
      </c>
      <c r="AP33" s="51" t="str">
        <f t="shared" si="9"/>
        <v>GBBW</v>
      </c>
      <c r="AQ33" s="51" t="str">
        <f t="shared" si="9"/>
        <v>GBIH</v>
      </c>
      <c r="AR33" s="51" t="str">
        <f t="shared" si="9"/>
        <v/>
      </c>
      <c r="AS33" s="51" t="str">
        <f t="shared" si="9"/>
        <v>GBWI</v>
      </c>
      <c r="AT33" s="51" t="str">
        <f t="shared" si="9"/>
        <v>GBHE</v>
      </c>
      <c r="AU33" s="51" t="str">
        <f t="shared" si="9"/>
        <v>GBTH</v>
      </c>
      <c r="AV33" s="51" t="str">
        <f t="shared" si="9"/>
        <v>none</v>
      </c>
      <c r="AW33" s="51" t="str">
        <f t="shared" si="9"/>
        <v>GBDS</v>
      </c>
      <c r="AX33" s="23" t="str">
        <f t="shared" si="9"/>
        <v/>
      </c>
      <c r="AY33" s="23" t="str">
        <f t="shared" si="9"/>
        <v/>
      </c>
      <c r="AZ33" s="23" t="str">
        <f t="shared" si="9"/>
        <v/>
      </c>
      <c r="BA33" s="23" t="str">
        <f t="shared" si="9"/>
        <v/>
      </c>
      <c r="BB33" s="23" t="str">
        <f t="shared" si="9"/>
        <v/>
      </c>
      <c r="BC33" s="34" t="str">
        <f t="shared" si="9"/>
        <v>Def Beam</v>
      </c>
      <c r="BD33" s="34" t="str">
        <f t="shared" si="9"/>
        <v>Def Clea</v>
      </c>
      <c r="BE33" s="34" t="str">
        <f t="shared" si="9"/>
        <v>W in Y</v>
      </c>
      <c r="BF33" s="34" t="str">
        <f t="shared" si="9"/>
        <v>??</v>
      </c>
      <c r="BG33" s="34" t="str">
        <f t="shared" si="9"/>
        <v>THK in Z</v>
      </c>
      <c r="BH33" s="34" t="str">
        <f t="shared" si="9"/>
        <v>Length</v>
      </c>
      <c r="BI33" s="51" t="str">
        <f t="shared" si="9"/>
        <v/>
      </c>
      <c r="BJ33" s="51" t="str">
        <f t="shared" si="9"/>
        <v/>
      </c>
      <c r="BK33" s="51" t="str">
        <f t="shared" si="9"/>
        <v/>
      </c>
      <c r="BL33" s="23" t="str">
        <f t="shared" si="9"/>
        <v>THK</v>
      </c>
      <c r="BM33" s="23" t="str">
        <f t="shared" si="9"/>
        <v>L</v>
      </c>
      <c r="BN33" s="23" t="str">
        <f t="shared" si="9"/>
        <v>B</v>
      </c>
      <c r="BO33" s="23" t="str">
        <f t="shared" si="9"/>
        <v>More THK</v>
      </c>
      <c r="BP33" s="23" t="str">
        <f t="shared" si="10"/>
        <v/>
      </c>
      <c r="BQ33" s="34" t="str">
        <f t="shared" si="10"/>
        <v/>
      </c>
      <c r="BR33" s="34" t="str">
        <f t="shared" si="10"/>
        <v/>
      </c>
      <c r="BS33" s="34" t="str">
        <f t="shared" si="10"/>
        <v/>
      </c>
      <c r="BT33" s="23" t="str">
        <f t="shared" si="10"/>
        <v>distD</v>
      </c>
      <c r="BU33" s="23" t="str">
        <f t="shared" si="10"/>
        <v>H</v>
      </c>
      <c r="BV33" s="23" t="str">
        <f t="shared" si="10"/>
        <v>THK</v>
      </c>
      <c r="BW33" s="23" t="str">
        <f t="shared" si="10"/>
        <v/>
      </c>
      <c r="BX33" s="23" t="str">
        <f t="shared" si="10"/>
        <v>inset</v>
      </c>
      <c r="BY33" s="23" t="str">
        <f t="shared" si="10"/>
        <v/>
      </c>
      <c r="BZ33" s="23" t="str">
        <f t="shared" si="10"/>
        <v>DRWG</v>
      </c>
      <c r="CA33" s="23" t="str">
        <f t="shared" si="10"/>
        <v>X-Force</v>
      </c>
      <c r="CB33" s="23" t="str">
        <f t="shared" si="10"/>
        <v>Y-Force</v>
      </c>
      <c r="CC33" s="23" t="str">
        <f t="shared" si="10"/>
        <v>Z-Force</v>
      </c>
      <c r="CD33" s="23" t="str">
        <f t="shared" si="10"/>
        <v/>
      </c>
      <c r="CR33" t="str">
        <f>SUBSTITUTE(LSTWLD!$D$1,"GS","SB")</f>
        <v>SB</v>
      </c>
      <c r="CT33">
        <f>COUNTIF(CT35:CT58,0)</f>
        <v>0</v>
      </c>
      <c r="CU33" t="str">
        <f t="shared" ref="CU33:CV34" si="12">CU4</f>
        <v>GMREF</v>
      </c>
      <c r="CV33" t="str">
        <f t="shared" si="12"/>
        <v>PTREF</v>
      </c>
    </row>
    <row r="34" spans="2:101">
      <c r="B34" s="23" t="s">
        <v>89</v>
      </c>
      <c r="C34" s="23" t="str">
        <f t="shared" si="11"/>
        <v/>
      </c>
      <c r="D34" s="23" t="str">
        <f t="shared" ref="D34:BO34" si="13">IF(D5="","",D5)</f>
        <v>NAME</v>
      </c>
      <c r="E34" s="23" t="str">
        <f t="shared" si="13"/>
        <v>PA1</v>
      </c>
      <c r="F34" s="23" t="str">
        <f t="shared" si="13"/>
        <v>PA2</v>
      </c>
      <c r="G34" s="23" t="str">
        <f t="shared" si="13"/>
        <v>PA3</v>
      </c>
      <c r="H34" s="23" t="str">
        <f t="shared" si="13"/>
        <v>PA4</v>
      </c>
      <c r="I34" s="23" t="str">
        <f t="shared" si="13"/>
        <v>PA5</v>
      </c>
      <c r="J34" s="23" t="str">
        <f t="shared" si="13"/>
        <v>PA6</v>
      </c>
      <c r="K34" s="23" t="str">
        <f t="shared" si="13"/>
        <v>PA7</v>
      </c>
      <c r="L34" s="23" t="str">
        <f t="shared" si="13"/>
        <v>PA8</v>
      </c>
      <c r="M34" s="23" t="str">
        <f t="shared" si="13"/>
        <v>PA9</v>
      </c>
      <c r="N34" s="23" t="str">
        <f t="shared" si="13"/>
        <v>PA10</v>
      </c>
      <c r="O34" s="23" t="str">
        <f t="shared" si="13"/>
        <v>PA11</v>
      </c>
      <c r="P34" s="23" t="str">
        <f t="shared" si="13"/>
        <v>PA12</v>
      </c>
      <c r="Q34" s="23" t="str">
        <f t="shared" si="13"/>
        <v>PA13</v>
      </c>
      <c r="R34" s="23" t="str">
        <f t="shared" si="13"/>
        <v>PA14</v>
      </c>
      <c r="S34" s="23" t="str">
        <f t="shared" si="13"/>
        <v>PA15</v>
      </c>
      <c r="T34" s="23" t="str">
        <f t="shared" si="13"/>
        <v>PA16</v>
      </c>
      <c r="U34" s="23" t="str">
        <f t="shared" si="13"/>
        <v>PA17</v>
      </c>
      <c r="V34" s="23" t="str">
        <f t="shared" si="13"/>
        <v>PA18</v>
      </c>
      <c r="W34" s="23" t="str">
        <f t="shared" si="13"/>
        <v>PA19</v>
      </c>
      <c r="X34" s="23" t="str">
        <f t="shared" si="13"/>
        <v>PA20</v>
      </c>
      <c r="Y34" s="23" t="str">
        <f t="shared" si="13"/>
        <v>PA21</v>
      </c>
      <c r="Z34" s="23" t="str">
        <f t="shared" si="13"/>
        <v>PA22</v>
      </c>
      <c r="AA34" s="23" t="str">
        <f t="shared" si="13"/>
        <v>PA23</v>
      </c>
      <c r="AB34" s="23" t="str">
        <f t="shared" si="13"/>
        <v>PA24</v>
      </c>
      <c r="AC34" s="23" t="str">
        <f t="shared" si="13"/>
        <v>PA25</v>
      </c>
      <c r="AD34" s="23" t="str">
        <f t="shared" si="13"/>
        <v>PA26</v>
      </c>
      <c r="AE34" s="23" t="str">
        <f t="shared" si="13"/>
        <v>PA27</v>
      </c>
      <c r="AF34" s="23" t="str">
        <f t="shared" si="13"/>
        <v>PA28</v>
      </c>
      <c r="AG34" s="23" t="str">
        <f t="shared" si="13"/>
        <v>PA29</v>
      </c>
      <c r="AH34" s="23" t="str">
        <f t="shared" si="13"/>
        <v>PA30</v>
      </c>
      <c r="AI34" s="23" t="str">
        <f t="shared" si="13"/>
        <v>PA31</v>
      </c>
      <c r="AJ34" s="23" t="str">
        <f t="shared" si="13"/>
        <v>PA32</v>
      </c>
      <c r="AK34" s="23" t="str">
        <f t="shared" si="13"/>
        <v>PA33</v>
      </c>
      <c r="AL34" s="23" t="str">
        <f t="shared" si="13"/>
        <v>PA34</v>
      </c>
      <c r="AM34" s="23" t="str">
        <f t="shared" si="13"/>
        <v>PA35</v>
      </c>
      <c r="AN34" s="23" t="str">
        <f t="shared" si="13"/>
        <v>PA36</v>
      </c>
      <c r="AO34" s="23" t="str">
        <f t="shared" si="13"/>
        <v>PA37</v>
      </c>
      <c r="AP34" s="23" t="str">
        <f t="shared" si="13"/>
        <v>PA38</v>
      </c>
      <c r="AQ34" s="23" t="str">
        <f t="shared" si="13"/>
        <v>PA39</v>
      </c>
      <c r="AR34" s="23" t="str">
        <f t="shared" si="13"/>
        <v>PA40</v>
      </c>
      <c r="AS34" s="23" t="str">
        <f t="shared" si="13"/>
        <v>PA41</v>
      </c>
      <c r="AT34" s="23" t="str">
        <f t="shared" si="13"/>
        <v>PA42</v>
      </c>
      <c r="AU34" s="23" t="str">
        <f t="shared" si="13"/>
        <v>PA43</v>
      </c>
      <c r="AV34" s="23" t="str">
        <f t="shared" si="13"/>
        <v>PA44</v>
      </c>
      <c r="AW34" s="23" t="str">
        <f t="shared" si="13"/>
        <v>PA45</v>
      </c>
      <c r="AX34" s="23" t="str">
        <f t="shared" si="13"/>
        <v>PA46</v>
      </c>
      <c r="AY34" s="23" t="str">
        <f t="shared" si="13"/>
        <v>PA47</v>
      </c>
      <c r="AZ34" s="23" t="str">
        <f t="shared" si="13"/>
        <v>PA48</v>
      </c>
      <c r="BA34" s="23" t="str">
        <f t="shared" si="13"/>
        <v>PA49</v>
      </c>
      <c r="BB34" s="23" t="str">
        <f t="shared" si="13"/>
        <v>PA50</v>
      </c>
      <c r="BC34" s="23" t="str">
        <f t="shared" si="13"/>
        <v>PA51</v>
      </c>
      <c r="BD34" s="23" t="str">
        <f t="shared" si="13"/>
        <v>PA52</v>
      </c>
      <c r="BE34" s="23" t="str">
        <f t="shared" si="13"/>
        <v>PA53</v>
      </c>
      <c r="BF34" s="23" t="str">
        <f t="shared" si="13"/>
        <v>PA54</v>
      </c>
      <c r="BG34" s="23" t="str">
        <f t="shared" si="13"/>
        <v>PA55</v>
      </c>
      <c r="BH34" s="23" t="str">
        <f t="shared" si="13"/>
        <v>PA56</v>
      </c>
      <c r="BI34" s="23" t="str">
        <f t="shared" si="13"/>
        <v>PA57</v>
      </c>
      <c r="BJ34" s="23" t="str">
        <f t="shared" si="13"/>
        <v>PA58</v>
      </c>
      <c r="BK34" s="23" t="str">
        <f t="shared" si="13"/>
        <v>PA59</v>
      </c>
      <c r="BL34" s="23" t="str">
        <f t="shared" si="13"/>
        <v>PA60</v>
      </c>
      <c r="BM34" s="23" t="str">
        <f t="shared" si="13"/>
        <v>PA61</v>
      </c>
      <c r="BN34" s="23" t="str">
        <f t="shared" si="13"/>
        <v>PA62</v>
      </c>
      <c r="BO34" s="23" t="str">
        <f t="shared" si="13"/>
        <v>PA63</v>
      </c>
      <c r="BP34" s="23" t="str">
        <f t="shared" si="10"/>
        <v>PA64</v>
      </c>
      <c r="BQ34" s="23" t="str">
        <f t="shared" si="10"/>
        <v>PA65</v>
      </c>
      <c r="BR34" s="23" t="str">
        <f t="shared" si="10"/>
        <v>PA66</v>
      </c>
      <c r="BS34" s="23" t="str">
        <f t="shared" si="10"/>
        <v>PA67</v>
      </c>
      <c r="BT34" s="23" t="str">
        <f t="shared" si="10"/>
        <v>PA68</v>
      </c>
      <c r="BU34" s="23" t="str">
        <f t="shared" si="10"/>
        <v>PA69</v>
      </c>
      <c r="BV34" s="23" t="str">
        <f t="shared" si="10"/>
        <v>PA70</v>
      </c>
      <c r="BW34" s="23" t="str">
        <f t="shared" si="10"/>
        <v>PA71</v>
      </c>
      <c r="BX34" s="23" t="str">
        <f t="shared" si="10"/>
        <v>PA72</v>
      </c>
      <c r="BY34" s="23" t="str">
        <f t="shared" si="10"/>
        <v>PA73</v>
      </c>
      <c r="BZ34" s="23" t="str">
        <f t="shared" si="10"/>
        <v>PA74</v>
      </c>
      <c r="CA34" s="23" t="str">
        <f t="shared" si="10"/>
        <v>PA75</v>
      </c>
      <c r="CB34" s="23" t="str">
        <f t="shared" si="10"/>
        <v>PA76</v>
      </c>
      <c r="CC34" s="23" t="str">
        <f t="shared" si="10"/>
        <v>PA77</v>
      </c>
      <c r="CD34" s="23" t="str">
        <f t="shared" si="10"/>
        <v>PA78</v>
      </c>
      <c r="CF34" s="24" t="s">
        <v>89</v>
      </c>
      <c r="CG34" s="24" t="s">
        <v>321</v>
      </c>
      <c r="CH34" s="24" t="s">
        <v>320</v>
      </c>
      <c r="CI34" s="24" t="s">
        <v>256</v>
      </c>
      <c r="CJ34" s="24" t="s">
        <v>367</v>
      </c>
      <c r="CK34" s="24" t="s">
        <v>111</v>
      </c>
      <c r="CL34" s="24" t="s">
        <v>319</v>
      </c>
      <c r="CM34" s="24" t="s">
        <v>322</v>
      </c>
      <c r="CN34" s="24" t="s">
        <v>492</v>
      </c>
      <c r="CO34" s="24" t="s">
        <v>394</v>
      </c>
      <c r="CP34" s="24" t="s">
        <v>395</v>
      </c>
      <c r="CQ34" s="24" t="s">
        <v>396</v>
      </c>
      <c r="CR34" t="str">
        <f>CONCATENATE("/EUC-VMX","_","00F-","DN1","-","DN2","-0-0","_Func-",CR4)</f>
        <v>/EUC-VMX_00F-DN1-DN2-0-0_Func-SB</v>
      </c>
      <c r="CT34" t="str">
        <f>CT5</f>
        <v>/EuC-CATA-SUPP/COMMON/</v>
      </c>
      <c r="CU34" t="str">
        <f t="shared" si="12"/>
        <v>GMSE</v>
      </c>
      <c r="CV34" t="str">
        <f t="shared" si="12"/>
        <v>PTSE</v>
      </c>
    </row>
    <row r="35" spans="2:101">
      <c r="B35" s="21">
        <v>15</v>
      </c>
      <c r="E35" s="21" cm="1">
        <f t="array" ref="E35:E58">Rohrschellen_DK[DN]</f>
        <v>15</v>
      </c>
      <c r="F35" s="21" cm="1">
        <f t="array" ref="F35:F58">Rohrschellen_DK[DN]</f>
        <v>15</v>
      </c>
      <c r="G35" s="21" cm="1">
        <f t="array" ref="G35:G58">Rohrschellen_DK[OD]</f>
        <v>22</v>
      </c>
      <c r="H35" s="21" cm="1">
        <f t="array" ref="H35:H58">Rohrschellen_DK[OD]</f>
        <v>22</v>
      </c>
      <c r="I35" s="21" t="str" cm="1">
        <f t="array" ref="I35:I58">Null[Coco]</f>
        <v>ATT</v>
      </c>
      <c r="J35" s="21" t="str" cm="1">
        <f t="array" ref="J35:J58">Null[Coco]</f>
        <v>ATT</v>
      </c>
      <c r="K35" s="21" cm="1">
        <f t="array" ref="K35:K58">Null[Null]</f>
        <v>0</v>
      </c>
      <c r="L35" s="21" cm="1">
        <f t="array" ref="L35:L58">Null[Null]</f>
        <v>0</v>
      </c>
      <c r="M35" s="21" t="str" cm="1">
        <f t="array" ref="M35:M58">SUBSTITUTE(TEXT(Gewicht_Sel[SC],"0,00"),",",".")</f>
        <v>4.80</v>
      </c>
      <c r="N35" s="21" t="str" cm="1">
        <f t="array" ref="N35:N58">SUBSTITUTE(DK_Final_CL[CL_Auswahl],",",".")</f>
        <v>135</v>
      </c>
      <c r="O35" s="21" cm="1">
        <f t="array" ref="O35:O58">Rohrschellen_DK[OD]</f>
        <v>22</v>
      </c>
      <c r="P35" s="21" cm="1">
        <f t="array" ref="P35:P58">Rohrschellen_DK[C]+Rohrschellen_DK[A]+Rohrschellen_DK[C]</f>
        <v>89</v>
      </c>
      <c r="Q35" s="21" cm="1">
        <f t="array" ref="Q35:Q58">Rohrschellen_DK[B]</f>
        <v>30</v>
      </c>
      <c r="R35" s="21" cm="1">
        <f t="array" ref="R35:R58">Rohrschellen_DK[s/sC]</f>
        <v>5</v>
      </c>
      <c r="S35" s="21" cm="1">
        <f t="array" ref="S35:S58">Rohrschellen_DK[f]</f>
        <v>7</v>
      </c>
      <c r="T35" s="25" cm="1">
        <f t="array" ref="T35:T58">Null[Null]</f>
        <v>0</v>
      </c>
      <c r="U35" s="21" t="str" cm="1">
        <f t="array" ref="U35:U58">SUBSTITUTE(DK_Final_CL[CL_Auswahl]-Rohrschellen_DK[s/sC]-(Rohrschellen_DK[OD]/2),",",".")</f>
        <v>119</v>
      </c>
      <c r="V35" s="25" cm="1">
        <f t="array" ref="V35:V58">Null[Null]</f>
        <v>0</v>
      </c>
      <c r="W35" s="25" cm="1">
        <f t="array" ref="W35:W58">Null[Null]</f>
        <v>0</v>
      </c>
      <c r="X35" s="25" cm="1">
        <f t="array" ref="X35:X58">Null[Null]</f>
        <v>0</v>
      </c>
      <c r="Y35" s="25" cm="1">
        <f t="array" ref="Y35:Y58">Null[Null]</f>
        <v>0</v>
      </c>
      <c r="Z35" s="21" cm="1">
        <f t="array" ref="Z35:Z58">Null[Angle_DK]</f>
        <v>0</v>
      </c>
      <c r="AA35" s="21" cm="1">
        <f t="array" ref="AA35:AA58">Null[Null]</f>
        <v>0</v>
      </c>
      <c r="AB35" s="21" cm="1">
        <f t="array" ref="AB35:AB58">IF(Rohrschellen_DK[IN]="custom",Rohrschellen_DK[B],0)</f>
        <v>0</v>
      </c>
      <c r="AC35" s="21" cm="1">
        <f t="array" ref="AC35:AC58">IF(Rohrschellen_DK[IN]="custom",Rohrschellen_DK[Bolt_plate_gap],0)</f>
        <v>0</v>
      </c>
      <c r="AD35" s="21" cm="1">
        <f t="array" ref="AD35:AD58">IF(Rohrschellen_DK[IN]="custom",Rohrschellen_DK[Bolt_plate_thk],0)</f>
        <v>0</v>
      </c>
      <c r="AE35" s="21" cm="1">
        <f t="array" ref="AE35:AE58">IF(Rohrschellen_DK[IN]="custom",Rohrschellen_DK[BLEN],0)</f>
        <v>0</v>
      </c>
      <c r="AF35" s="21" cm="1">
        <f t="array" ref="AF35:AF58">Null[Null]</f>
        <v>0</v>
      </c>
      <c r="AG35" s="21" cm="1">
        <f t="array" ref="AG35:AG58">Null[Null]</f>
        <v>0</v>
      </c>
      <c r="AH35" s="21" cm="1">
        <f t="array" ref="AH35:AH58">LT_Stahl_DK[H]</f>
        <v>120</v>
      </c>
      <c r="AI35" s="21" cm="1">
        <f t="array" ref="AI35:AI58">LT_Stahl_DK[W]</f>
        <v>120</v>
      </c>
      <c r="AJ35" s="21" cm="1">
        <f t="array" ref="AJ35:AJ58">Schuh_Laenge[DK]</f>
        <v>200</v>
      </c>
      <c r="AK35" s="21" cm="1">
        <f t="array" ref="AK35:AK58">LT_Stahl_DK[S]</f>
        <v>13</v>
      </c>
      <c r="AL35" s="21" cm="1">
        <f t="array" ref="AL35:AL58">IF(ISERROR(FIND("D",DK_Function[Single_Double])),0,Schelle_Abs_vom_Rand[D_K])</f>
        <v>0</v>
      </c>
      <c r="AM35" s="25" cm="1">
        <f t="array" ref="AM35:AM58">Null[Null]</f>
        <v>0</v>
      </c>
      <c r="AN35" s="25" cm="1">
        <f t="array" ref="AN35:AN58">Null[Null]</f>
        <v>0</v>
      </c>
      <c r="AO35" s="25" cm="1">
        <f t="array" ref="AO35:AO58">Null[Null]</f>
        <v>0</v>
      </c>
      <c r="AP35" s="25" cm="1">
        <f t="array" ref="AP35:AP58">IF(DK_Function[Guide],SUBSTITUTE(Guide_DK[GBBW],",","."),0)</f>
        <v>0</v>
      </c>
      <c r="AQ35" s="25" cm="1">
        <f t="array" ref="AQ35:AQ58">IF(DK_Function[Guide],SUBSTITUTE(Guide_DK[GBIH],",","."),0)</f>
        <v>0</v>
      </c>
      <c r="AR35" s="25" cm="1">
        <f t="array" ref="AR35:AR58">Null[Null]</f>
        <v>0</v>
      </c>
      <c r="AS35" s="25" cm="1">
        <f t="array" ref="AS35:AS58">IF(DK_Function[Guide],SUBSTITUTE(Guide_DK[GBWI],",","."),0)</f>
        <v>0</v>
      </c>
      <c r="AT35" s="25" cm="1">
        <f t="array" ref="AT35:AT58">IF(DK_Function[Guide],SUBSTITUTE(Guide_DK[GBHE],",","."),0)</f>
        <v>0</v>
      </c>
      <c r="AU35" s="25" cm="1">
        <f t="array" ref="AU35:AU58">IF(DK_Function[Guide],SUBSTITUTE(Guide_DK[GBLE],",","."),0)</f>
        <v>0</v>
      </c>
      <c r="AV35" s="25" cm="1">
        <f t="array" ref="AV35:AV58">IF(DK_Function[Guide],SUBSTITUTE(Guide_DK[GBTH],",","."),0)</f>
        <v>0</v>
      </c>
      <c r="AW35" s="25" cm="1">
        <f t="array" ref="AW35:AW58">IF(DK_Function[Guide],SUBSTITUTE(Guide_DK[GBDS],",","."),0)</f>
        <v>0</v>
      </c>
      <c r="AX35" s="25" cm="1">
        <f t="array" ref="AX35:AX58">IF(DK_Function[Cams],Flachnocken_DK[A],0)</f>
        <v>0</v>
      </c>
      <c r="AY35" s="25" cm="1">
        <f t="array" ref="AY35:AY58">IF(DK_Function[Cams],Flachnocken_DK[B],0)</f>
        <v>0</v>
      </c>
      <c r="AZ35" s="25" cm="1">
        <f t="array" ref="AZ35:AZ58">IF(DK_Function[Cams],Flachnocken_DK[S],0)</f>
        <v>0</v>
      </c>
      <c r="BA35" s="25" cm="1">
        <f t="array" ref="BA35:BA58">Null[Null]</f>
        <v>0</v>
      </c>
      <c r="BB35" s="25" cm="1">
        <f t="array" ref="BB35:BB58">IF(DK_Function[Cams],Flachnocken_DK[Arch_Angle],0)</f>
        <v>0</v>
      </c>
      <c r="BC35" s="21" cm="1">
        <f t="array" ref="BC35:BC58">IF(DK_Function[Axialstopp],Axialstopp_DK[BWID],0)</f>
        <v>0</v>
      </c>
      <c r="BD35" s="21" cm="1">
        <f t="array" ref="BD35:BD58">IF(DK_Function[Axialstopp],Axialstopp_DK[CLEA],0)</f>
        <v>0</v>
      </c>
      <c r="BE35" s="21" cm="1">
        <f t="array" ref="BE35:BE58">IF(DK_Function[Axialstopp],Axialstopp_DK[W],0)</f>
        <v>0</v>
      </c>
      <c r="BF35" s="25" cm="1">
        <f t="array" ref="BF35:BF58">Null[Null]</f>
        <v>0</v>
      </c>
      <c r="BG35" s="21" cm="1">
        <f t="array" ref="BG35:BG58">IF(DK_Function[Axialstopp],Axialstopp_DK[H],0)</f>
        <v>0</v>
      </c>
      <c r="BH35" s="21" cm="1">
        <f t="array" ref="BH35:BH58">IF(DK_Function[Axialstopp],Axialstopp_DK[L_DK],0)</f>
        <v>0</v>
      </c>
      <c r="BI35" s="25" cm="1">
        <f t="array" ref="BI35:BI58">Null[Null]</f>
        <v>0</v>
      </c>
      <c r="BJ35" s="25" cm="1">
        <f t="array" ref="BJ35:BJ58">Null[Null]</f>
        <v>0</v>
      </c>
      <c r="BK35" s="25" cm="1">
        <f t="array" ref="BK35:BK58">Null[Null]</f>
        <v>0</v>
      </c>
      <c r="BL35" s="21" cm="1">
        <f t="array" ref="BL35:BL58">Plate[THK_PLT]</f>
        <v>0</v>
      </c>
      <c r="BM35" s="21" cm="1">
        <f t="array" ref="BM35:BM58">Plate[L]</f>
        <v>0</v>
      </c>
      <c r="BN35" s="21" cm="1">
        <f t="array" ref="BN35:BN58">Plate[W]</f>
        <v>0</v>
      </c>
      <c r="BO35" s="21" cm="1">
        <f t="array" ref="BO35:BO58">Plate[THK_SHOE]</f>
        <v>0</v>
      </c>
      <c r="BP35" s="25" cm="1">
        <f t="array" ref="BP35:BP58">Null[Null]</f>
        <v>0</v>
      </c>
      <c r="BQ35" s="21" cm="1">
        <f t="array" ref="BQ35:BQ58">IF(DK_Function[Construction]="LL",LT_Stahl_DK[B],0)</f>
        <v>0</v>
      </c>
      <c r="BR35" s="21" cm="1">
        <f t="array" ref="BR35:BR58">IF(DK_Function[Construction]="LL",LT_Stahl_DK[H],0)</f>
        <v>0</v>
      </c>
      <c r="BS35" s="25" cm="1">
        <f t="array" ref="BS35:BS58">Null[Null]</f>
        <v>0</v>
      </c>
      <c r="BT35" s="21" cm="1">
        <f t="array" ref="BT35:BT58">Stiffener_DK[SEL_Bot_Dist]</f>
        <v>0</v>
      </c>
      <c r="BU35" s="21" cm="1">
        <f t="array" ref="BU35:BU58">Stiffener_DK[SEL_H]</f>
        <v>0</v>
      </c>
      <c r="BV35" s="21" cm="1">
        <f t="array" ref="BV35:BV58">Stiffener_DK[SEL_THK]</f>
        <v>0</v>
      </c>
      <c r="BW35" s="25" cm="1">
        <f t="array" ref="BW35:BW58">Null[Null]</f>
        <v>0</v>
      </c>
      <c r="BX35" s="21" cm="1">
        <f t="array" ref="BX35:BX58">Stiffener_DK[SEL_Inset]</f>
        <v>0</v>
      </c>
      <c r="BY35" s="25" cm="1">
        <f t="array" ref="BY35:BY58">Null[Null]</f>
        <v>0</v>
      </c>
      <c r="BZ35" s="25" t="str" cm="1">
        <f t="array" ref="BZ35:BZ58">DRWG[SEL_SC]</f>
        <v>125021</v>
      </c>
      <c r="CA35" s="21" t="str" cm="1">
        <f t="array" ref="CA35:CA58">SUBSTITUTE(Lasten_DK[SELX],",",".")</f>
        <v>0.7</v>
      </c>
      <c r="CB35" s="21" t="str" cm="1">
        <f t="array" ref="CB35:CB58">SUBSTITUTE(Lasten_DK[SELY],",",".")</f>
        <v>1.4</v>
      </c>
      <c r="CC35" s="21" t="str" cm="1">
        <f t="array" ref="CC35:CC58">SUBSTITUTE(Lasten_DK[SELZ],",",".")</f>
        <v>2.4</v>
      </c>
      <c r="CD35" s="25" cm="1">
        <f t="array" ref="CD35:CD58">Weld[DK]</f>
        <v>4</v>
      </c>
      <c r="CF35">
        <f>B35</f>
        <v>15</v>
      </c>
      <c r="CG35" t="str" cm="1">
        <f t="array" ref="CG35:CG58">DK_Function[Single_Double]</f>
        <v>S</v>
      </c>
      <c r="CH35" t="str" cm="1">
        <f t="array" ref="CH35:CH58">DK_Function[Construction]</f>
        <v>T</v>
      </c>
      <c r="CI35" t="str" cm="1">
        <f t="array" ref="CI35:CI58">IF(DK_Function[Guide],"GU","X")</f>
        <v>X</v>
      </c>
      <c r="CJ35" t="str" cm="1">
        <f t="array" ref="CJ35:CJ58">DK_Function[Bottom_Implements]</f>
        <v>X</v>
      </c>
      <c r="CK35" t="str" cm="1">
        <f t="array" ref="CK35:CK58">IF(DK_Function[Axialstopp],"AX","X")</f>
        <v>X</v>
      </c>
      <c r="CL35" t="str" cm="1">
        <f t="array" ref="CL35:CL58">IF(DK_Function[Cams],"CL"&amp;TEXT(Flachnocken_DK[DK_STK],"00"),"CL00")</f>
        <v>CL00</v>
      </c>
      <c r="CM35" t="str" cm="1">
        <f t="array" ref="CM35:CM58">IF(DK_Function[Stiffener],"ST","X")</f>
        <v>X</v>
      </c>
      <c r="CN35" t="str">
        <f>_xlfn.TEXTJOIN("_",FALSE,CG35:CM35)</f>
        <v>S_T_X_X_X_CL00_X</v>
      </c>
      <c r="CO35" t="str" cm="1">
        <f t="array" ref="CO35:CO58">CONCATENATE("EUC-VMX",DK_Function[Digit8],"00F-",Prim_Supp[DN],"-",Prim_Supp[DN],"-0-0")</f>
        <v>EUC-VMXC00F-15-15-0-0</v>
      </c>
      <c r="CQ35" t="str">
        <f>_xlfn.TEXTJOIN(" ",FALSE,"PARA",E35:CD35)</f>
        <v>PARA 15 15 22 22 ATT ATT 0 0 4.80 135 22 89 30 5 7 0 119 0 0 0 0 0 0 0 0 0 0 0 0 120 120 200 13 0 0 0 0 0 0 0 0 0 0 0 0 0 0 0 0 0 0 0 0 0 0 0 0 0 0 0 0 0 0 0 0 0 0 0 0 0 0 0 0 125021 0.7 1.4 2.4 4</v>
      </c>
      <c r="CR35" t="str">
        <f>"/"&amp;CO35&amp;CP35</f>
        <v>/EUC-VMXC00F-15-15-0-0</v>
      </c>
      <c r="CT35">
        <f>COUNTIF(Codes!$A$3:$A$35,CATA!CN35)</f>
        <v>1</v>
      </c>
      <c r="CU35" t="str">
        <f>$CT$34&amp;$CN35&amp;"-"&amp;CU$34</f>
        <v>/EuC-CATA-SUPP/COMMON/S_T_X_X_X_CL00_X-GMSE</v>
      </c>
      <c r="CV35" t="str">
        <f>$CT$34&amp;$CN35&amp;"-"&amp;CV$34</f>
        <v>/EuC-CATA-SUPP/COMMON/S_T_X_X_X_CL00_X-PTSE</v>
      </c>
      <c r="CW35" t="str">
        <f>IF(VLOOKUP(CN35,Codes!$A$3:$C$35,3,FALSE)=0,CF35,"OK")</f>
        <v>OK</v>
      </c>
    </row>
    <row r="36" spans="2:101">
      <c r="B36" s="21">
        <v>20</v>
      </c>
      <c r="E36" s="21">
        <v>20</v>
      </c>
      <c r="F36" s="21">
        <v>20</v>
      </c>
      <c r="G36" s="21">
        <v>27</v>
      </c>
      <c r="H36" s="21">
        <v>27</v>
      </c>
      <c r="I36" s="21" t="str">
        <v>ATT</v>
      </c>
      <c r="J36" s="21" t="str">
        <v>ATT</v>
      </c>
      <c r="K36" s="21">
        <v>0</v>
      </c>
      <c r="L36" s="21">
        <v>0</v>
      </c>
      <c r="M36" s="21" t="str">
        <v>7.30</v>
      </c>
      <c r="N36" s="21" t="str">
        <v>138.5</v>
      </c>
      <c r="O36" s="21">
        <v>27</v>
      </c>
      <c r="P36" s="21">
        <v>96</v>
      </c>
      <c r="Q36" s="21">
        <v>30</v>
      </c>
      <c r="R36" s="21">
        <v>5</v>
      </c>
      <c r="S36" s="21">
        <v>7</v>
      </c>
      <c r="T36" s="21">
        <v>0</v>
      </c>
      <c r="U36" s="21" t="str">
        <v>120</v>
      </c>
      <c r="V36" s="21">
        <v>0</v>
      </c>
      <c r="W36" s="21">
        <v>0</v>
      </c>
      <c r="X36" s="21">
        <v>0</v>
      </c>
      <c r="Y36" s="21">
        <v>0</v>
      </c>
      <c r="Z36" s="21">
        <v>0</v>
      </c>
      <c r="AA36" s="21">
        <v>0</v>
      </c>
      <c r="AB36" s="21">
        <v>0</v>
      </c>
      <c r="AC36" s="21">
        <v>0</v>
      </c>
      <c r="AD36" s="21">
        <v>0</v>
      </c>
      <c r="AE36" s="21">
        <v>0</v>
      </c>
      <c r="AF36" s="21">
        <v>0</v>
      </c>
      <c r="AG36" s="21">
        <v>0</v>
      </c>
      <c r="AH36" s="21">
        <v>120</v>
      </c>
      <c r="AI36" s="21">
        <v>120</v>
      </c>
      <c r="AJ36" s="21">
        <v>300</v>
      </c>
      <c r="AK36" s="21">
        <v>13</v>
      </c>
      <c r="AL36" s="21">
        <v>0</v>
      </c>
      <c r="AM36" s="21">
        <v>0</v>
      </c>
      <c r="AN36" s="21">
        <v>0</v>
      </c>
      <c r="AO36" s="21">
        <v>0</v>
      </c>
      <c r="AP36" s="21">
        <v>0</v>
      </c>
      <c r="AQ36" s="21">
        <v>0</v>
      </c>
      <c r="AR36" s="21">
        <v>0</v>
      </c>
      <c r="AS36" s="21">
        <v>0</v>
      </c>
      <c r="AT36" s="21">
        <v>0</v>
      </c>
      <c r="AU36" s="21">
        <v>0</v>
      </c>
      <c r="AV36" s="21">
        <v>0</v>
      </c>
      <c r="AW36" s="21">
        <v>0</v>
      </c>
      <c r="AX36" s="21">
        <v>0</v>
      </c>
      <c r="AY36" s="21">
        <v>0</v>
      </c>
      <c r="AZ36" s="21">
        <v>0</v>
      </c>
      <c r="BA36" s="21">
        <v>0</v>
      </c>
      <c r="BB36" s="21">
        <v>0</v>
      </c>
      <c r="BC36" s="21">
        <v>0</v>
      </c>
      <c r="BD36" s="21">
        <v>0</v>
      </c>
      <c r="BE36" s="21">
        <v>0</v>
      </c>
      <c r="BF36" s="21">
        <v>0</v>
      </c>
      <c r="BG36" s="21">
        <v>0</v>
      </c>
      <c r="BH36" s="21">
        <v>0</v>
      </c>
      <c r="BI36" s="21">
        <v>0</v>
      </c>
      <c r="BJ36" s="21">
        <v>0</v>
      </c>
      <c r="BK36" s="21">
        <v>0</v>
      </c>
      <c r="BL36" s="21">
        <v>0</v>
      </c>
      <c r="BM36" s="21">
        <v>0</v>
      </c>
      <c r="BN36" s="21">
        <v>0</v>
      </c>
      <c r="BO36" s="21">
        <v>0</v>
      </c>
      <c r="BP36" s="21">
        <v>0</v>
      </c>
      <c r="BQ36" s="21">
        <v>0</v>
      </c>
      <c r="BR36">
        <v>0</v>
      </c>
      <c r="BS36" s="21">
        <v>0</v>
      </c>
      <c r="BT36" s="21">
        <v>0</v>
      </c>
      <c r="BU36" s="21">
        <v>0</v>
      </c>
      <c r="BV36" s="21">
        <v>0</v>
      </c>
      <c r="BW36" s="21">
        <v>0</v>
      </c>
      <c r="BX36" s="21">
        <v>0</v>
      </c>
      <c r="BY36" s="21">
        <v>0</v>
      </c>
      <c r="BZ36" s="21" t="str">
        <v>125026</v>
      </c>
      <c r="CA36" s="21" t="str">
        <v>0.9</v>
      </c>
      <c r="CB36" s="21" t="str">
        <v>1.9</v>
      </c>
      <c r="CC36" s="21" t="str">
        <v>3.1</v>
      </c>
      <c r="CD36" s="21">
        <v>4</v>
      </c>
      <c r="CF36">
        <f t="shared" ref="CF36:CF58" si="14">B36</f>
        <v>20</v>
      </c>
      <c r="CG36" t="str">
        <v>S</v>
      </c>
      <c r="CH36" t="str">
        <v>T</v>
      </c>
      <c r="CI36" t="str">
        <v>X</v>
      </c>
      <c r="CJ36" t="str">
        <v>X</v>
      </c>
      <c r="CK36" t="str">
        <v>X</v>
      </c>
      <c r="CL36" t="str">
        <v>CL00</v>
      </c>
      <c r="CM36" t="str">
        <v>X</v>
      </c>
      <c r="CN36" t="str">
        <f t="shared" ref="CN36:CN58" si="15">_xlfn.TEXTJOIN("_",FALSE,CG36:CM36)</f>
        <v>S_T_X_X_X_CL00_X</v>
      </c>
      <c r="CO36" t="str">
        <v>EUC-VMXC00F-20-20-0-0</v>
      </c>
      <c r="CQ36" t="str">
        <f t="shared" ref="CQ36:CQ58" si="16">_xlfn.TEXTJOIN(" ",FALSE,"PARA",E36:CD36)</f>
        <v>PARA 20 20 27 27 ATT ATT 0 0 7.30 138.5 27 96 30 5 7 0 120 0 0 0 0 0 0 0 0 0 0 0 0 120 120 300 13 0 0 0 0 0 0 0 0 0 0 0 0 0 0 0 0 0 0 0 0 0 0 0 0 0 0 0 0 0 0 0 0 0 0 0 0 0 0 0 0 125026 0.9 1.9 3.1 4</v>
      </c>
      <c r="CR36" t="str">
        <f t="shared" ref="CR36:CR58" si="17">"/"&amp;CO36&amp;CP36</f>
        <v>/EUC-VMXC00F-20-20-0-0</v>
      </c>
      <c r="CT36">
        <f>COUNTIF(Codes!$A$3:$A$35,CATA!CN36)</f>
        <v>1</v>
      </c>
      <c r="CU36" t="str">
        <f t="shared" ref="CU36:CV58" si="18">$CT$34&amp;$CN36&amp;"-"&amp;CU$34</f>
        <v>/EuC-CATA-SUPP/COMMON/S_T_X_X_X_CL00_X-GMSE</v>
      </c>
      <c r="CV36" t="str">
        <f t="shared" si="18"/>
        <v>/EuC-CATA-SUPP/COMMON/S_T_X_X_X_CL00_X-PTSE</v>
      </c>
      <c r="CW36" t="str">
        <f>IF(VLOOKUP(CN36,Codes!$A$3:$C$35,3,FALSE)=0,CF36,"OK")</f>
        <v>OK</v>
      </c>
    </row>
    <row r="37" spans="2:101">
      <c r="B37" s="21">
        <v>25</v>
      </c>
      <c r="E37" s="21">
        <v>25</v>
      </c>
      <c r="F37" s="21">
        <v>25</v>
      </c>
      <c r="G37" s="21">
        <v>34</v>
      </c>
      <c r="H37" s="21">
        <v>34</v>
      </c>
      <c r="I37" s="21" t="str">
        <v>ATT</v>
      </c>
      <c r="J37" s="21" t="str">
        <v>ATT</v>
      </c>
      <c r="K37" s="21">
        <v>0</v>
      </c>
      <c r="L37" s="21">
        <v>0</v>
      </c>
      <c r="M37" s="21" t="str">
        <v>7.40</v>
      </c>
      <c r="N37" s="21" t="str">
        <v>142</v>
      </c>
      <c r="O37" s="21">
        <v>34</v>
      </c>
      <c r="P37" s="21">
        <v>102</v>
      </c>
      <c r="Q37" s="21">
        <v>30</v>
      </c>
      <c r="R37" s="21">
        <v>5</v>
      </c>
      <c r="S37" s="21">
        <v>7</v>
      </c>
      <c r="T37" s="21">
        <v>0</v>
      </c>
      <c r="U37" s="21" t="str">
        <v>120</v>
      </c>
      <c r="V37" s="21">
        <v>0</v>
      </c>
      <c r="W37" s="21">
        <v>0</v>
      </c>
      <c r="X37" s="21">
        <v>0</v>
      </c>
      <c r="Y37" s="21">
        <v>0</v>
      </c>
      <c r="Z37" s="21">
        <v>0</v>
      </c>
      <c r="AA37" s="21">
        <v>0</v>
      </c>
      <c r="AB37" s="21">
        <v>0</v>
      </c>
      <c r="AC37" s="21">
        <v>0</v>
      </c>
      <c r="AD37" s="21">
        <v>0</v>
      </c>
      <c r="AE37" s="21">
        <v>0</v>
      </c>
      <c r="AF37" s="21">
        <v>0</v>
      </c>
      <c r="AG37" s="21">
        <v>0</v>
      </c>
      <c r="AH37" s="21">
        <v>120</v>
      </c>
      <c r="AI37" s="21">
        <v>120</v>
      </c>
      <c r="AJ37" s="21">
        <v>300</v>
      </c>
      <c r="AK37" s="21">
        <v>13</v>
      </c>
      <c r="AL37" s="21">
        <v>0</v>
      </c>
      <c r="AM37" s="21">
        <v>0</v>
      </c>
      <c r="AN37" s="21">
        <v>0</v>
      </c>
      <c r="AO37" s="21">
        <v>0</v>
      </c>
      <c r="AP37" s="21">
        <v>0</v>
      </c>
      <c r="AQ37" s="21">
        <v>0</v>
      </c>
      <c r="AR37" s="21">
        <v>0</v>
      </c>
      <c r="AS37" s="21">
        <v>0</v>
      </c>
      <c r="AT37" s="21">
        <v>0</v>
      </c>
      <c r="AU37" s="21">
        <v>0</v>
      </c>
      <c r="AV37" s="21">
        <v>0</v>
      </c>
      <c r="AW37" s="21">
        <v>0</v>
      </c>
      <c r="AX37" s="21">
        <v>0</v>
      </c>
      <c r="AY37" s="21">
        <v>0</v>
      </c>
      <c r="AZ37" s="21">
        <v>0</v>
      </c>
      <c r="BA37" s="21">
        <v>0</v>
      </c>
      <c r="BB37" s="21">
        <v>0</v>
      </c>
      <c r="BC37" s="21">
        <v>0</v>
      </c>
      <c r="BD37" s="21">
        <v>0</v>
      </c>
      <c r="BE37" s="21">
        <v>0</v>
      </c>
      <c r="BF37" s="21">
        <v>0</v>
      </c>
      <c r="BG37" s="21">
        <v>0</v>
      </c>
      <c r="BH37" s="21">
        <v>0</v>
      </c>
      <c r="BI37" s="21">
        <v>0</v>
      </c>
      <c r="BJ37" s="21">
        <v>0</v>
      </c>
      <c r="BK37" s="21">
        <v>0</v>
      </c>
      <c r="BL37" s="21">
        <v>0</v>
      </c>
      <c r="BM37" s="21">
        <v>0</v>
      </c>
      <c r="BN37" s="21">
        <v>0</v>
      </c>
      <c r="BO37" s="21">
        <v>0</v>
      </c>
      <c r="BP37" s="21">
        <v>0</v>
      </c>
      <c r="BQ37" s="21">
        <v>0</v>
      </c>
      <c r="BR37" s="21">
        <v>0</v>
      </c>
      <c r="BS37" s="21">
        <v>0</v>
      </c>
      <c r="BT37" s="21">
        <v>0</v>
      </c>
      <c r="BU37" s="21">
        <v>0</v>
      </c>
      <c r="BV37" s="21">
        <v>0</v>
      </c>
      <c r="BW37" s="21">
        <v>0</v>
      </c>
      <c r="BX37" s="21">
        <v>0</v>
      </c>
      <c r="BY37" s="21">
        <v>0</v>
      </c>
      <c r="BZ37" s="21" t="str">
        <v>125027</v>
      </c>
      <c r="CA37" s="21" t="str">
        <v>1.1</v>
      </c>
      <c r="CB37" s="21" t="str">
        <v>2.3</v>
      </c>
      <c r="CC37" s="21" t="str">
        <v>3.5</v>
      </c>
      <c r="CD37" s="21">
        <v>4</v>
      </c>
      <c r="CF37">
        <f t="shared" si="14"/>
        <v>25</v>
      </c>
      <c r="CG37" t="str">
        <v>S</v>
      </c>
      <c r="CH37" t="str">
        <v>T</v>
      </c>
      <c r="CI37" t="str">
        <v>X</v>
      </c>
      <c r="CJ37" t="str">
        <v>X</v>
      </c>
      <c r="CK37" t="str">
        <v>X</v>
      </c>
      <c r="CL37" t="str">
        <v>CL00</v>
      </c>
      <c r="CM37" t="str">
        <v>X</v>
      </c>
      <c r="CN37" t="str">
        <f t="shared" si="15"/>
        <v>S_T_X_X_X_CL00_X</v>
      </c>
      <c r="CO37" t="str">
        <v>EUC-VMXC00F-25-25-0-0</v>
      </c>
      <c r="CQ37" t="str">
        <f t="shared" si="16"/>
        <v>PARA 25 25 34 34 ATT ATT 0 0 7.40 142 34 102 30 5 7 0 120 0 0 0 0 0 0 0 0 0 0 0 0 120 120 300 13 0 0 0 0 0 0 0 0 0 0 0 0 0 0 0 0 0 0 0 0 0 0 0 0 0 0 0 0 0 0 0 0 0 0 0 0 0 0 0 0 125027 1.1 2.3 3.5 4</v>
      </c>
      <c r="CR37" t="str">
        <f t="shared" si="17"/>
        <v>/EUC-VMXC00F-25-25-0-0</v>
      </c>
      <c r="CT37">
        <f>COUNTIF(Codes!$A$3:$A$35,CATA!CN37)</f>
        <v>1</v>
      </c>
      <c r="CU37" t="str">
        <f t="shared" si="18"/>
        <v>/EuC-CATA-SUPP/COMMON/S_T_X_X_X_CL00_X-GMSE</v>
      </c>
      <c r="CV37" t="str">
        <f t="shared" si="18"/>
        <v>/EuC-CATA-SUPP/COMMON/S_T_X_X_X_CL00_X-PTSE</v>
      </c>
      <c r="CW37" t="str">
        <f>IF(VLOOKUP(CN37,Codes!$A$3:$C$35,3,FALSE)=0,CF37,"OK")</f>
        <v>OK</v>
      </c>
    </row>
    <row r="38" spans="2:101">
      <c r="B38" s="21">
        <v>32</v>
      </c>
      <c r="E38" s="21">
        <v>32</v>
      </c>
      <c r="F38" s="21">
        <v>32</v>
      </c>
      <c r="G38" s="21">
        <v>43</v>
      </c>
      <c r="H38" s="21">
        <v>43</v>
      </c>
      <c r="I38" s="21" t="str">
        <v>ATT</v>
      </c>
      <c r="J38" s="21" t="str">
        <v>ATT</v>
      </c>
      <c r="K38" s="21">
        <v>0</v>
      </c>
      <c r="L38" s="21">
        <v>0</v>
      </c>
      <c r="M38" s="21" t="str">
        <v>7.40</v>
      </c>
      <c r="N38" s="21" t="str">
        <v>146.5</v>
      </c>
      <c r="O38" s="21">
        <v>43</v>
      </c>
      <c r="P38" s="21">
        <v>112</v>
      </c>
      <c r="Q38" s="21">
        <v>30</v>
      </c>
      <c r="R38" s="21">
        <v>5</v>
      </c>
      <c r="S38" s="21">
        <v>7</v>
      </c>
      <c r="T38" s="21">
        <v>0</v>
      </c>
      <c r="U38" s="21" t="str">
        <v>120</v>
      </c>
      <c r="V38" s="21">
        <v>0</v>
      </c>
      <c r="W38" s="21">
        <v>0</v>
      </c>
      <c r="X38" s="21">
        <v>0</v>
      </c>
      <c r="Y38" s="21">
        <v>0</v>
      </c>
      <c r="Z38" s="21">
        <v>0</v>
      </c>
      <c r="AA38" s="21">
        <v>0</v>
      </c>
      <c r="AB38" s="21">
        <v>0</v>
      </c>
      <c r="AC38" s="21">
        <v>0</v>
      </c>
      <c r="AD38" s="21">
        <v>0</v>
      </c>
      <c r="AE38" s="21">
        <v>0</v>
      </c>
      <c r="AF38" s="21">
        <v>0</v>
      </c>
      <c r="AG38" s="21">
        <v>0</v>
      </c>
      <c r="AH38" s="21">
        <v>120</v>
      </c>
      <c r="AI38" s="21">
        <v>120</v>
      </c>
      <c r="AJ38" s="21">
        <v>300</v>
      </c>
      <c r="AK38" s="21">
        <v>13</v>
      </c>
      <c r="AL38" s="21">
        <v>0</v>
      </c>
      <c r="AM38" s="21">
        <v>0</v>
      </c>
      <c r="AN38" s="21">
        <v>0</v>
      </c>
      <c r="AO38" s="21">
        <v>0</v>
      </c>
      <c r="AP38" s="21">
        <v>0</v>
      </c>
      <c r="AQ38" s="21">
        <v>0</v>
      </c>
      <c r="AR38" s="21">
        <v>0</v>
      </c>
      <c r="AS38" s="21">
        <v>0</v>
      </c>
      <c r="AT38" s="21">
        <v>0</v>
      </c>
      <c r="AU38" s="21">
        <v>0</v>
      </c>
      <c r="AV38" s="21">
        <v>0</v>
      </c>
      <c r="AW38" s="21">
        <v>0</v>
      </c>
      <c r="AX38" s="21">
        <v>0</v>
      </c>
      <c r="AY38" s="21">
        <v>0</v>
      </c>
      <c r="AZ38" s="21">
        <v>0</v>
      </c>
      <c r="BA38" s="21">
        <v>0</v>
      </c>
      <c r="BB38" s="21">
        <v>0</v>
      </c>
      <c r="BC38" s="21">
        <v>0</v>
      </c>
      <c r="BD38" s="21">
        <v>0</v>
      </c>
      <c r="BE38" s="21">
        <v>0</v>
      </c>
      <c r="BF38" s="21">
        <v>0</v>
      </c>
      <c r="BG38" s="21">
        <v>0</v>
      </c>
      <c r="BH38" s="21">
        <v>0</v>
      </c>
      <c r="BI38" s="21">
        <v>0</v>
      </c>
      <c r="BJ38" s="21">
        <v>0</v>
      </c>
      <c r="BK38" s="21">
        <v>0</v>
      </c>
      <c r="BL38" s="21">
        <v>0</v>
      </c>
      <c r="BM38" s="21">
        <v>0</v>
      </c>
      <c r="BN38" s="21">
        <v>0</v>
      </c>
      <c r="BO38" s="21">
        <v>0</v>
      </c>
      <c r="BP38" s="21">
        <v>0</v>
      </c>
      <c r="BQ38" s="21">
        <v>0</v>
      </c>
      <c r="BR38" s="21">
        <v>0</v>
      </c>
      <c r="BS38" s="21">
        <v>0</v>
      </c>
      <c r="BT38" s="21">
        <v>0</v>
      </c>
      <c r="BU38" s="21">
        <v>0</v>
      </c>
      <c r="BV38" s="21">
        <v>0</v>
      </c>
      <c r="BW38" s="21">
        <v>0</v>
      </c>
      <c r="BX38" s="21">
        <v>0</v>
      </c>
      <c r="BY38" s="21">
        <v>0</v>
      </c>
      <c r="BZ38" s="21" t="str">
        <v>125028</v>
      </c>
      <c r="CA38" s="21" t="str">
        <v>1.3</v>
      </c>
      <c r="CB38" s="21" t="str">
        <v>3</v>
      </c>
      <c r="CC38" s="21" t="str">
        <v>4.2</v>
      </c>
      <c r="CD38" s="21">
        <v>4</v>
      </c>
      <c r="CF38">
        <f t="shared" si="14"/>
        <v>32</v>
      </c>
      <c r="CG38" t="str">
        <v>S</v>
      </c>
      <c r="CH38" t="str">
        <v>T</v>
      </c>
      <c r="CI38" t="str">
        <v>X</v>
      </c>
      <c r="CJ38" t="str">
        <v>X</v>
      </c>
      <c r="CK38" t="str">
        <v>X</v>
      </c>
      <c r="CL38" t="str">
        <v>CL00</v>
      </c>
      <c r="CM38" t="str">
        <v>X</v>
      </c>
      <c r="CN38" t="str">
        <f t="shared" si="15"/>
        <v>S_T_X_X_X_CL00_X</v>
      </c>
      <c r="CO38" t="str">
        <v>EUC-VMXC00F-32-32-0-0</v>
      </c>
      <c r="CQ38" t="str">
        <f t="shared" si="16"/>
        <v>PARA 32 32 43 43 ATT ATT 0 0 7.40 146.5 43 112 30 5 7 0 120 0 0 0 0 0 0 0 0 0 0 0 0 120 120 300 13 0 0 0 0 0 0 0 0 0 0 0 0 0 0 0 0 0 0 0 0 0 0 0 0 0 0 0 0 0 0 0 0 0 0 0 0 0 0 0 0 125028 1.3 3 4.2 4</v>
      </c>
      <c r="CR38" t="str">
        <f t="shared" si="17"/>
        <v>/EUC-VMXC00F-32-32-0-0</v>
      </c>
      <c r="CT38">
        <f>COUNTIF(Codes!$A$3:$A$35,CATA!CN38)</f>
        <v>1</v>
      </c>
      <c r="CU38" t="str">
        <f t="shared" si="18"/>
        <v>/EuC-CATA-SUPP/COMMON/S_T_X_X_X_CL00_X-GMSE</v>
      </c>
      <c r="CV38" t="str">
        <f t="shared" si="18"/>
        <v>/EuC-CATA-SUPP/COMMON/S_T_X_X_X_CL00_X-PTSE</v>
      </c>
      <c r="CW38" t="str">
        <f>IF(VLOOKUP(CN38,Codes!$A$3:$C$35,3,FALSE)=0,CF38,"OK")</f>
        <v>OK</v>
      </c>
    </row>
    <row r="39" spans="2:101">
      <c r="B39" s="21">
        <v>40</v>
      </c>
      <c r="E39" s="21">
        <v>40</v>
      </c>
      <c r="F39" s="21">
        <v>40</v>
      </c>
      <c r="G39" s="21">
        <v>49</v>
      </c>
      <c r="H39" s="21">
        <v>49</v>
      </c>
      <c r="I39" s="21" t="str">
        <v>ATT</v>
      </c>
      <c r="J39" s="21" t="str">
        <v>ATT</v>
      </c>
      <c r="K39" s="21">
        <v>0</v>
      </c>
      <c r="L39" s="21">
        <v>0</v>
      </c>
      <c r="M39" s="21" t="str">
        <v>7.40</v>
      </c>
      <c r="N39" s="21" t="str">
        <v>149.5</v>
      </c>
      <c r="O39" s="21">
        <v>49</v>
      </c>
      <c r="P39" s="21">
        <v>118</v>
      </c>
      <c r="Q39" s="21">
        <v>30</v>
      </c>
      <c r="R39" s="21">
        <v>5</v>
      </c>
      <c r="S39" s="21">
        <v>7</v>
      </c>
      <c r="T39" s="21">
        <v>0</v>
      </c>
      <c r="U39" s="21" t="str">
        <v>120</v>
      </c>
      <c r="V39" s="21">
        <v>0</v>
      </c>
      <c r="W39" s="21">
        <v>0</v>
      </c>
      <c r="X39" s="21">
        <v>0</v>
      </c>
      <c r="Y39" s="21">
        <v>0</v>
      </c>
      <c r="Z39" s="21">
        <v>0</v>
      </c>
      <c r="AA39" s="21">
        <v>0</v>
      </c>
      <c r="AB39" s="21">
        <v>0</v>
      </c>
      <c r="AC39" s="21">
        <v>0</v>
      </c>
      <c r="AD39" s="21">
        <v>0</v>
      </c>
      <c r="AE39" s="21">
        <v>0</v>
      </c>
      <c r="AF39" s="21">
        <v>0</v>
      </c>
      <c r="AG39" s="21">
        <v>0</v>
      </c>
      <c r="AH39" s="21">
        <v>120</v>
      </c>
      <c r="AI39" s="21">
        <v>120</v>
      </c>
      <c r="AJ39" s="21">
        <v>300</v>
      </c>
      <c r="AK39" s="21">
        <v>13</v>
      </c>
      <c r="AL39" s="21">
        <v>0</v>
      </c>
      <c r="AM39" s="21">
        <v>0</v>
      </c>
      <c r="AN39" s="21">
        <v>0</v>
      </c>
      <c r="AO39" s="21">
        <v>0</v>
      </c>
      <c r="AP39" s="21">
        <v>0</v>
      </c>
      <c r="AQ39" s="21">
        <v>0</v>
      </c>
      <c r="AR39" s="21">
        <v>0</v>
      </c>
      <c r="AS39" s="21">
        <v>0</v>
      </c>
      <c r="AT39" s="21">
        <v>0</v>
      </c>
      <c r="AU39" s="21">
        <v>0</v>
      </c>
      <c r="AV39" s="21">
        <v>0</v>
      </c>
      <c r="AW39" s="21">
        <v>0</v>
      </c>
      <c r="AX39" s="21">
        <v>0</v>
      </c>
      <c r="AY39" s="21">
        <v>0</v>
      </c>
      <c r="AZ39" s="21">
        <v>0</v>
      </c>
      <c r="BA39" s="21">
        <v>0</v>
      </c>
      <c r="BB39" s="21">
        <v>0</v>
      </c>
      <c r="BC39" s="21">
        <v>0</v>
      </c>
      <c r="BD39" s="21">
        <v>0</v>
      </c>
      <c r="BE39" s="21">
        <v>0</v>
      </c>
      <c r="BF39" s="21">
        <v>0</v>
      </c>
      <c r="BG39" s="21">
        <v>0</v>
      </c>
      <c r="BH39" s="21">
        <v>0</v>
      </c>
      <c r="BI39" s="21">
        <v>0</v>
      </c>
      <c r="BJ39" s="21">
        <v>0</v>
      </c>
      <c r="BK39" s="21">
        <v>0</v>
      </c>
      <c r="BL39" s="21">
        <v>0</v>
      </c>
      <c r="BM39" s="21">
        <v>0</v>
      </c>
      <c r="BN39" s="21">
        <v>0</v>
      </c>
      <c r="BO39" s="21">
        <v>0</v>
      </c>
      <c r="BP39" s="21">
        <v>0</v>
      </c>
      <c r="BQ39" s="21">
        <v>0</v>
      </c>
      <c r="BR39" s="21">
        <v>0</v>
      </c>
      <c r="BS39" s="21">
        <v>0</v>
      </c>
      <c r="BT39" s="21">
        <v>0</v>
      </c>
      <c r="BU39" s="21">
        <v>0</v>
      </c>
      <c r="BV39" s="21">
        <v>0</v>
      </c>
      <c r="BW39" s="21">
        <v>0</v>
      </c>
      <c r="BX39" s="21">
        <v>0</v>
      </c>
      <c r="BY39" s="21">
        <v>0</v>
      </c>
      <c r="BZ39" s="21" t="str">
        <v>125029</v>
      </c>
      <c r="CA39" s="21" t="str">
        <v>1.5</v>
      </c>
      <c r="CB39" s="21" t="str">
        <v>3.7</v>
      </c>
      <c r="CC39" s="21" t="str">
        <v>4.9</v>
      </c>
      <c r="CD39" s="21">
        <v>4</v>
      </c>
      <c r="CF39">
        <f t="shared" si="14"/>
        <v>40</v>
      </c>
      <c r="CG39" t="str">
        <v>S</v>
      </c>
      <c r="CH39" t="str">
        <v>T</v>
      </c>
      <c r="CI39" t="str">
        <v>X</v>
      </c>
      <c r="CJ39" t="str">
        <v>X</v>
      </c>
      <c r="CK39" t="str">
        <v>X</v>
      </c>
      <c r="CL39" t="str">
        <v>CL00</v>
      </c>
      <c r="CM39" t="str">
        <v>X</v>
      </c>
      <c r="CN39" t="str">
        <f t="shared" si="15"/>
        <v>S_T_X_X_X_CL00_X</v>
      </c>
      <c r="CO39" t="str">
        <v>EUC-VMXC00F-40-40-0-0</v>
      </c>
      <c r="CQ39" t="str">
        <f t="shared" si="16"/>
        <v>PARA 40 40 49 49 ATT ATT 0 0 7.40 149.5 49 118 30 5 7 0 120 0 0 0 0 0 0 0 0 0 0 0 0 120 120 300 13 0 0 0 0 0 0 0 0 0 0 0 0 0 0 0 0 0 0 0 0 0 0 0 0 0 0 0 0 0 0 0 0 0 0 0 0 0 0 0 0 125029 1.5 3.7 4.9 4</v>
      </c>
      <c r="CR39" t="str">
        <f t="shared" si="17"/>
        <v>/EUC-VMXC00F-40-40-0-0</v>
      </c>
      <c r="CT39">
        <f>COUNTIF(Codes!$A$3:$A$35,CATA!CN39)</f>
        <v>1</v>
      </c>
      <c r="CU39" t="str">
        <f t="shared" si="18"/>
        <v>/EuC-CATA-SUPP/COMMON/S_T_X_X_X_CL00_X-GMSE</v>
      </c>
      <c r="CV39" t="str">
        <f t="shared" si="18"/>
        <v>/EuC-CATA-SUPP/COMMON/S_T_X_X_X_CL00_X-PTSE</v>
      </c>
      <c r="CW39" t="str">
        <f>IF(VLOOKUP(CN39,Codes!$A$3:$C$35,3,FALSE)=0,CF39,"OK")</f>
        <v>OK</v>
      </c>
    </row>
    <row r="40" spans="2:101">
      <c r="B40" s="21">
        <v>50</v>
      </c>
      <c r="E40" s="21">
        <v>50</v>
      </c>
      <c r="F40" s="21">
        <v>50</v>
      </c>
      <c r="G40" s="21">
        <v>61</v>
      </c>
      <c r="H40" s="21">
        <v>61</v>
      </c>
      <c r="I40" s="21" t="str">
        <v>ATT</v>
      </c>
      <c r="J40" s="21" t="str">
        <v>ATT</v>
      </c>
      <c r="K40" s="21">
        <v>0</v>
      </c>
      <c r="L40" s="21">
        <v>0</v>
      </c>
      <c r="M40" s="21" t="str">
        <v>7.70</v>
      </c>
      <c r="N40" s="21" t="str">
        <v>156.5</v>
      </c>
      <c r="O40" s="21">
        <v>61</v>
      </c>
      <c r="P40" s="21">
        <v>144</v>
      </c>
      <c r="Q40" s="21">
        <v>40</v>
      </c>
      <c r="R40" s="21">
        <v>6</v>
      </c>
      <c r="S40" s="21">
        <v>9</v>
      </c>
      <c r="T40" s="21">
        <v>0</v>
      </c>
      <c r="U40" s="21" t="str">
        <v>120</v>
      </c>
      <c r="V40" s="21">
        <v>0</v>
      </c>
      <c r="W40" s="21">
        <v>0</v>
      </c>
      <c r="X40" s="21">
        <v>0</v>
      </c>
      <c r="Y40" s="21">
        <v>0</v>
      </c>
      <c r="Z40" s="21">
        <v>0</v>
      </c>
      <c r="AA40" s="21">
        <v>0</v>
      </c>
      <c r="AB40" s="21">
        <v>0</v>
      </c>
      <c r="AC40" s="21">
        <v>0</v>
      </c>
      <c r="AD40" s="21">
        <v>0</v>
      </c>
      <c r="AE40" s="21">
        <v>0</v>
      </c>
      <c r="AF40" s="21">
        <v>0</v>
      </c>
      <c r="AG40" s="21">
        <v>0</v>
      </c>
      <c r="AH40" s="21">
        <v>120</v>
      </c>
      <c r="AI40" s="21">
        <v>120</v>
      </c>
      <c r="AJ40" s="21">
        <v>300</v>
      </c>
      <c r="AK40" s="21">
        <v>13</v>
      </c>
      <c r="AL40" s="21">
        <v>0</v>
      </c>
      <c r="AM40" s="21">
        <v>0</v>
      </c>
      <c r="AN40" s="21">
        <v>0</v>
      </c>
      <c r="AO40" s="21">
        <v>0</v>
      </c>
      <c r="AP40" s="21">
        <v>0</v>
      </c>
      <c r="AQ40" s="21">
        <v>0</v>
      </c>
      <c r="AR40" s="21">
        <v>0</v>
      </c>
      <c r="AS40" s="21">
        <v>0</v>
      </c>
      <c r="AT40" s="21">
        <v>0</v>
      </c>
      <c r="AU40" s="21">
        <v>0</v>
      </c>
      <c r="AV40" s="21">
        <v>0</v>
      </c>
      <c r="AW40" s="21">
        <v>0</v>
      </c>
      <c r="AX40" s="21">
        <v>0</v>
      </c>
      <c r="AY40" s="21">
        <v>0</v>
      </c>
      <c r="AZ40" s="21">
        <v>0</v>
      </c>
      <c r="BA40" s="21">
        <v>0</v>
      </c>
      <c r="BB40" s="21">
        <v>0</v>
      </c>
      <c r="BC40" s="21">
        <v>0</v>
      </c>
      <c r="BD40" s="21">
        <v>0</v>
      </c>
      <c r="BE40" s="21">
        <v>0</v>
      </c>
      <c r="BF40" s="21">
        <v>0</v>
      </c>
      <c r="BG40" s="21">
        <v>0</v>
      </c>
      <c r="BH40" s="21">
        <v>0</v>
      </c>
      <c r="BI40" s="21">
        <v>0</v>
      </c>
      <c r="BJ40" s="21">
        <v>0</v>
      </c>
      <c r="BK40" s="21">
        <v>0</v>
      </c>
      <c r="BL40" s="21">
        <v>0</v>
      </c>
      <c r="BM40" s="21">
        <v>0</v>
      </c>
      <c r="BN40" s="21">
        <v>0</v>
      </c>
      <c r="BO40" s="21">
        <v>0</v>
      </c>
      <c r="BP40" s="21">
        <v>0</v>
      </c>
      <c r="BQ40" s="21">
        <v>0</v>
      </c>
      <c r="BR40" s="21">
        <v>0</v>
      </c>
      <c r="BS40" s="21">
        <v>0</v>
      </c>
      <c r="BT40" s="21">
        <v>0</v>
      </c>
      <c r="BU40" s="21">
        <v>0</v>
      </c>
      <c r="BV40" s="21">
        <v>0</v>
      </c>
      <c r="BW40" s="21">
        <v>0</v>
      </c>
      <c r="BX40" s="21">
        <v>0</v>
      </c>
      <c r="BY40" s="21">
        <v>0</v>
      </c>
      <c r="BZ40" s="21" t="str">
        <v>125038</v>
      </c>
      <c r="CA40" s="21" t="str">
        <v>1.8</v>
      </c>
      <c r="CB40" s="21" t="str">
        <v>4.7</v>
      </c>
      <c r="CC40" s="21" t="str">
        <v>5.9</v>
      </c>
      <c r="CD40" s="21">
        <v>4</v>
      </c>
      <c r="CF40">
        <f t="shared" si="14"/>
        <v>50</v>
      </c>
      <c r="CG40" t="str">
        <v>S</v>
      </c>
      <c r="CH40" t="str">
        <v>T</v>
      </c>
      <c r="CI40" t="str">
        <v>X</v>
      </c>
      <c r="CJ40" t="str">
        <v>X</v>
      </c>
      <c r="CK40" t="str">
        <v>X</v>
      </c>
      <c r="CL40" t="str">
        <v>CL00</v>
      </c>
      <c r="CM40" t="str">
        <v>X</v>
      </c>
      <c r="CN40" t="str">
        <f t="shared" si="15"/>
        <v>S_T_X_X_X_CL00_X</v>
      </c>
      <c r="CO40" t="str">
        <v>EUC-VMXC00F-50-50-0-0</v>
      </c>
      <c r="CQ40" t="str">
        <f t="shared" si="16"/>
        <v>PARA 50 50 61 61 ATT ATT 0 0 7.70 156.5 61 144 40 6 9 0 120 0 0 0 0 0 0 0 0 0 0 0 0 120 120 300 13 0 0 0 0 0 0 0 0 0 0 0 0 0 0 0 0 0 0 0 0 0 0 0 0 0 0 0 0 0 0 0 0 0 0 0 0 0 0 0 0 125038 1.8 4.7 5.9 4</v>
      </c>
      <c r="CR40" t="str">
        <f t="shared" si="17"/>
        <v>/EUC-VMXC00F-50-50-0-0</v>
      </c>
      <c r="CT40">
        <f>COUNTIF(Codes!$A$3:$A$35,CATA!CN40)</f>
        <v>1</v>
      </c>
      <c r="CU40" t="str">
        <f t="shared" si="18"/>
        <v>/EuC-CATA-SUPP/COMMON/S_T_X_X_X_CL00_X-GMSE</v>
      </c>
      <c r="CV40" t="str">
        <f t="shared" si="18"/>
        <v>/EuC-CATA-SUPP/COMMON/S_T_X_X_X_CL00_X-PTSE</v>
      </c>
      <c r="CW40" t="str">
        <f>IF(VLOOKUP(CN40,Codes!$A$3:$C$35,3,FALSE)=0,CF40,"OK")</f>
        <v>OK</v>
      </c>
    </row>
    <row r="41" spans="2:101">
      <c r="B41" s="21">
        <v>65</v>
      </c>
      <c r="E41" s="21">
        <v>65</v>
      </c>
      <c r="F41" s="21">
        <v>65</v>
      </c>
      <c r="G41" s="21">
        <v>77</v>
      </c>
      <c r="H41" s="21">
        <v>77</v>
      </c>
      <c r="I41" s="21" t="str">
        <v>ATT</v>
      </c>
      <c r="J41" s="21" t="str">
        <v>ATT</v>
      </c>
      <c r="K41" s="21">
        <v>0</v>
      </c>
      <c r="L41" s="21">
        <v>0</v>
      </c>
      <c r="M41" s="21" t="str">
        <v>7.80</v>
      </c>
      <c r="N41" s="21" t="str">
        <v>164.5</v>
      </c>
      <c r="O41" s="21">
        <v>77</v>
      </c>
      <c r="P41" s="21">
        <v>158</v>
      </c>
      <c r="Q41" s="21">
        <v>40</v>
      </c>
      <c r="R41" s="21">
        <v>6</v>
      </c>
      <c r="S41" s="21">
        <v>9</v>
      </c>
      <c r="T41" s="21">
        <v>0</v>
      </c>
      <c r="U41" s="21" t="str">
        <v>120</v>
      </c>
      <c r="V41" s="21">
        <v>0</v>
      </c>
      <c r="W41" s="21">
        <v>0</v>
      </c>
      <c r="X41" s="21">
        <v>0</v>
      </c>
      <c r="Y41" s="21">
        <v>0</v>
      </c>
      <c r="Z41" s="21">
        <v>0</v>
      </c>
      <c r="AA41" s="21">
        <v>0</v>
      </c>
      <c r="AB41" s="21">
        <v>0</v>
      </c>
      <c r="AC41" s="21">
        <v>0</v>
      </c>
      <c r="AD41" s="21">
        <v>0</v>
      </c>
      <c r="AE41" s="21">
        <v>0</v>
      </c>
      <c r="AF41" s="21">
        <v>0</v>
      </c>
      <c r="AG41" s="21">
        <v>0</v>
      </c>
      <c r="AH41" s="21">
        <v>120</v>
      </c>
      <c r="AI41" s="21">
        <v>120</v>
      </c>
      <c r="AJ41" s="21">
        <v>300</v>
      </c>
      <c r="AK41" s="21">
        <v>13</v>
      </c>
      <c r="AL41" s="21">
        <v>0</v>
      </c>
      <c r="AM41" s="21">
        <v>0</v>
      </c>
      <c r="AN41" s="21">
        <v>0</v>
      </c>
      <c r="AO41" s="21">
        <v>0</v>
      </c>
      <c r="AP41" s="21">
        <v>0</v>
      </c>
      <c r="AQ41" s="21">
        <v>0</v>
      </c>
      <c r="AR41" s="21">
        <v>0</v>
      </c>
      <c r="AS41" s="21">
        <v>0</v>
      </c>
      <c r="AT41" s="21">
        <v>0</v>
      </c>
      <c r="AU41" s="21">
        <v>0</v>
      </c>
      <c r="AV41" s="21">
        <v>0</v>
      </c>
      <c r="AW41" s="21">
        <v>0</v>
      </c>
      <c r="AX41" s="21">
        <v>0</v>
      </c>
      <c r="AY41" s="21">
        <v>0</v>
      </c>
      <c r="AZ41" s="21">
        <v>0</v>
      </c>
      <c r="BA41" s="21">
        <v>0</v>
      </c>
      <c r="BB41" s="21">
        <v>0</v>
      </c>
      <c r="BC41" s="21">
        <v>0</v>
      </c>
      <c r="BD41" s="21">
        <v>0</v>
      </c>
      <c r="BE41" s="21">
        <v>0</v>
      </c>
      <c r="BF41" s="21">
        <v>0</v>
      </c>
      <c r="BG41" s="21">
        <v>0</v>
      </c>
      <c r="BH41" s="21">
        <v>0</v>
      </c>
      <c r="BI41" s="21">
        <v>0</v>
      </c>
      <c r="BJ41" s="21">
        <v>0</v>
      </c>
      <c r="BK41" s="21">
        <v>0</v>
      </c>
      <c r="BL41" s="21">
        <v>0</v>
      </c>
      <c r="BM41" s="21">
        <v>0</v>
      </c>
      <c r="BN41" s="21">
        <v>0</v>
      </c>
      <c r="BO41" s="21">
        <v>0</v>
      </c>
      <c r="BP41" s="21">
        <v>0</v>
      </c>
      <c r="BQ41" s="21">
        <v>0</v>
      </c>
      <c r="BR41" s="21">
        <v>0</v>
      </c>
      <c r="BS41" s="21">
        <v>0</v>
      </c>
      <c r="BT41" s="21">
        <v>0</v>
      </c>
      <c r="BU41" s="21">
        <v>0</v>
      </c>
      <c r="BV41" s="21">
        <v>0</v>
      </c>
      <c r="BW41" s="21">
        <v>0</v>
      </c>
      <c r="BX41" s="21">
        <v>0</v>
      </c>
      <c r="BY41" s="21">
        <v>0</v>
      </c>
      <c r="BZ41" s="21" t="str">
        <v>125039</v>
      </c>
      <c r="CA41" s="21" t="str">
        <v>2.2</v>
      </c>
      <c r="CB41" s="21" t="str">
        <v>6.1</v>
      </c>
      <c r="CC41" s="21" t="str">
        <v>7.4</v>
      </c>
      <c r="CD41" s="21">
        <v>4</v>
      </c>
      <c r="CF41">
        <f t="shared" si="14"/>
        <v>65</v>
      </c>
      <c r="CG41" t="str">
        <v>S</v>
      </c>
      <c r="CH41" t="str">
        <v>T</v>
      </c>
      <c r="CI41" t="str">
        <v>X</v>
      </c>
      <c r="CJ41" t="str">
        <v>X</v>
      </c>
      <c r="CK41" t="str">
        <v>X</v>
      </c>
      <c r="CL41" t="str">
        <v>CL00</v>
      </c>
      <c r="CM41" t="str">
        <v>X</v>
      </c>
      <c r="CN41" t="str">
        <f t="shared" si="15"/>
        <v>S_T_X_X_X_CL00_X</v>
      </c>
      <c r="CO41" t="str">
        <v>EUC-VMXC00F-65-65-0-0</v>
      </c>
      <c r="CQ41" t="str">
        <f t="shared" si="16"/>
        <v>PARA 65 65 77 77 ATT ATT 0 0 7.80 164.5 77 158 40 6 9 0 120 0 0 0 0 0 0 0 0 0 0 0 0 120 120 300 13 0 0 0 0 0 0 0 0 0 0 0 0 0 0 0 0 0 0 0 0 0 0 0 0 0 0 0 0 0 0 0 0 0 0 0 0 0 0 0 0 125039 2.2 6.1 7.4 4</v>
      </c>
      <c r="CR41" t="str">
        <f t="shared" si="17"/>
        <v>/EUC-VMXC00F-65-65-0-0</v>
      </c>
      <c r="CT41">
        <f>COUNTIF(Codes!$A$3:$A$35,CATA!CN41)</f>
        <v>1</v>
      </c>
      <c r="CU41" t="str">
        <f t="shared" si="18"/>
        <v>/EuC-CATA-SUPP/COMMON/S_T_X_X_X_CL00_X-GMSE</v>
      </c>
      <c r="CV41" t="str">
        <f t="shared" si="18"/>
        <v>/EuC-CATA-SUPP/COMMON/S_T_X_X_X_CL00_X-PTSE</v>
      </c>
      <c r="CW41" t="str">
        <f>IF(VLOOKUP(CN41,Codes!$A$3:$C$35,3,FALSE)=0,CF41,"OK")</f>
        <v>OK</v>
      </c>
    </row>
    <row r="42" spans="2:101">
      <c r="B42" s="21">
        <v>80</v>
      </c>
      <c r="E42" s="21">
        <v>80</v>
      </c>
      <c r="F42" s="21">
        <v>80</v>
      </c>
      <c r="G42" s="21">
        <v>89</v>
      </c>
      <c r="H42" s="21">
        <v>89</v>
      </c>
      <c r="I42" s="21" t="str">
        <v>ATT</v>
      </c>
      <c r="J42" s="21" t="str">
        <v>ATT</v>
      </c>
      <c r="K42" s="21">
        <v>0</v>
      </c>
      <c r="L42" s="21">
        <v>0</v>
      </c>
      <c r="M42" s="21" t="str">
        <v>7.80</v>
      </c>
      <c r="N42" s="21" t="str">
        <v>170.5</v>
      </c>
      <c r="O42" s="21">
        <v>89</v>
      </c>
      <c r="P42" s="21">
        <v>172</v>
      </c>
      <c r="Q42" s="21">
        <v>40</v>
      </c>
      <c r="R42" s="21">
        <v>6</v>
      </c>
      <c r="S42" s="21">
        <v>9</v>
      </c>
      <c r="T42" s="21">
        <v>0</v>
      </c>
      <c r="U42" s="21" t="str">
        <v>120</v>
      </c>
      <c r="V42" s="21">
        <v>0</v>
      </c>
      <c r="W42" s="21">
        <v>0</v>
      </c>
      <c r="X42" s="21">
        <v>0</v>
      </c>
      <c r="Y42" s="21">
        <v>0</v>
      </c>
      <c r="Z42" s="21">
        <v>0</v>
      </c>
      <c r="AA42" s="21">
        <v>0</v>
      </c>
      <c r="AB42" s="21">
        <v>0</v>
      </c>
      <c r="AC42" s="21">
        <v>0</v>
      </c>
      <c r="AD42" s="21">
        <v>0</v>
      </c>
      <c r="AE42" s="21">
        <v>0</v>
      </c>
      <c r="AF42" s="21">
        <v>0</v>
      </c>
      <c r="AG42" s="21">
        <v>0</v>
      </c>
      <c r="AH42" s="21">
        <v>120</v>
      </c>
      <c r="AI42" s="21">
        <v>120</v>
      </c>
      <c r="AJ42" s="21">
        <v>300</v>
      </c>
      <c r="AK42" s="21">
        <v>13</v>
      </c>
      <c r="AL42" s="21">
        <v>0</v>
      </c>
      <c r="AM42" s="21">
        <v>0</v>
      </c>
      <c r="AN42" s="21">
        <v>0</v>
      </c>
      <c r="AO42" s="21">
        <v>0</v>
      </c>
      <c r="AP42" s="21">
        <v>0</v>
      </c>
      <c r="AQ42" s="21">
        <v>0</v>
      </c>
      <c r="AR42" s="21">
        <v>0</v>
      </c>
      <c r="AS42" s="21">
        <v>0</v>
      </c>
      <c r="AT42" s="21">
        <v>0</v>
      </c>
      <c r="AU42" s="21">
        <v>0</v>
      </c>
      <c r="AV42" s="21">
        <v>0</v>
      </c>
      <c r="AW42" s="21">
        <v>0</v>
      </c>
      <c r="AX42" s="21">
        <v>0</v>
      </c>
      <c r="AY42" s="21">
        <v>0</v>
      </c>
      <c r="AZ42" s="21">
        <v>0</v>
      </c>
      <c r="BA42" s="21">
        <v>0</v>
      </c>
      <c r="BB42" s="21">
        <v>0</v>
      </c>
      <c r="BC42" s="21">
        <v>0</v>
      </c>
      <c r="BD42" s="21">
        <v>0</v>
      </c>
      <c r="BE42" s="21">
        <v>0</v>
      </c>
      <c r="BF42" s="21">
        <v>0</v>
      </c>
      <c r="BG42" s="21">
        <v>0</v>
      </c>
      <c r="BH42" s="21">
        <v>0</v>
      </c>
      <c r="BI42" s="21">
        <v>0</v>
      </c>
      <c r="BJ42" s="21">
        <v>0</v>
      </c>
      <c r="BK42" s="21">
        <v>0</v>
      </c>
      <c r="BL42" s="21">
        <v>0</v>
      </c>
      <c r="BM42" s="21">
        <v>0</v>
      </c>
      <c r="BN42" s="21">
        <v>0</v>
      </c>
      <c r="BO42" s="21">
        <v>0</v>
      </c>
      <c r="BP42" s="21">
        <v>0</v>
      </c>
      <c r="BQ42" s="21">
        <v>0</v>
      </c>
      <c r="BR42" s="21">
        <v>0</v>
      </c>
      <c r="BS42" s="21">
        <v>0</v>
      </c>
      <c r="BT42" s="21">
        <v>0</v>
      </c>
      <c r="BU42" s="21">
        <v>0</v>
      </c>
      <c r="BV42" s="21">
        <v>0</v>
      </c>
      <c r="BW42" s="21">
        <v>0</v>
      </c>
      <c r="BX42" s="21">
        <v>0</v>
      </c>
      <c r="BY42" s="21">
        <v>0</v>
      </c>
      <c r="BZ42" s="21" t="str">
        <v>125040</v>
      </c>
      <c r="CA42" s="21" t="str">
        <v>2.7</v>
      </c>
      <c r="CB42" s="21" t="str">
        <v>7.5</v>
      </c>
      <c r="CC42" s="21" t="str">
        <v>9</v>
      </c>
      <c r="CD42" s="21">
        <v>4</v>
      </c>
      <c r="CF42">
        <f t="shared" si="14"/>
        <v>80</v>
      </c>
      <c r="CG42" t="str">
        <v>S</v>
      </c>
      <c r="CH42" t="str">
        <v>T</v>
      </c>
      <c r="CI42" t="str">
        <v>X</v>
      </c>
      <c r="CJ42" t="str">
        <v>X</v>
      </c>
      <c r="CK42" t="str">
        <v>X</v>
      </c>
      <c r="CL42" t="str">
        <v>CL00</v>
      </c>
      <c r="CM42" t="str">
        <v>X</v>
      </c>
      <c r="CN42" t="str">
        <f t="shared" si="15"/>
        <v>S_T_X_X_X_CL00_X</v>
      </c>
      <c r="CO42" t="str">
        <v>EUC-VMXC00F-80-80-0-0</v>
      </c>
      <c r="CQ42" t="str">
        <f t="shared" si="16"/>
        <v>PARA 80 80 89 89 ATT ATT 0 0 7.80 170.5 89 172 40 6 9 0 120 0 0 0 0 0 0 0 0 0 0 0 0 120 120 300 13 0 0 0 0 0 0 0 0 0 0 0 0 0 0 0 0 0 0 0 0 0 0 0 0 0 0 0 0 0 0 0 0 0 0 0 0 0 0 0 0 125040 2.7 7.5 9 4</v>
      </c>
      <c r="CR42" t="str">
        <f t="shared" si="17"/>
        <v>/EUC-VMXC00F-80-80-0-0</v>
      </c>
      <c r="CT42">
        <f>COUNTIF(Codes!$A$3:$A$35,CATA!CN42)</f>
        <v>1</v>
      </c>
      <c r="CU42" t="str">
        <f t="shared" si="18"/>
        <v>/EuC-CATA-SUPP/COMMON/S_T_X_X_X_CL00_X-GMSE</v>
      </c>
      <c r="CV42" t="str">
        <f t="shared" si="18"/>
        <v>/EuC-CATA-SUPP/COMMON/S_T_X_X_X_CL00_X-PTSE</v>
      </c>
      <c r="CW42" t="str">
        <f>IF(VLOOKUP(CN42,Codes!$A$3:$C$35,3,FALSE)=0,CF42,"OK")</f>
        <v>OK</v>
      </c>
    </row>
    <row r="43" spans="2:101">
      <c r="B43" s="21">
        <v>100</v>
      </c>
      <c r="E43" s="21">
        <v>100</v>
      </c>
      <c r="F43" s="21">
        <v>100</v>
      </c>
      <c r="G43" s="21">
        <v>115</v>
      </c>
      <c r="H43" s="21">
        <v>115</v>
      </c>
      <c r="I43" s="21" t="str">
        <v>ATT</v>
      </c>
      <c r="J43" s="21" t="str">
        <v>ATT</v>
      </c>
      <c r="K43" s="21">
        <v>0</v>
      </c>
      <c r="L43" s="21">
        <v>0</v>
      </c>
      <c r="M43" s="21" t="str">
        <v>8.80</v>
      </c>
      <c r="N43" s="21" t="str">
        <v>185.5</v>
      </c>
      <c r="O43" s="21">
        <v>115</v>
      </c>
      <c r="P43" s="21">
        <v>226</v>
      </c>
      <c r="Q43" s="21">
        <v>50</v>
      </c>
      <c r="R43" s="21">
        <v>8</v>
      </c>
      <c r="S43" s="21">
        <v>11</v>
      </c>
      <c r="T43" s="21">
        <v>0</v>
      </c>
      <c r="U43" s="21" t="str">
        <v>120</v>
      </c>
      <c r="V43" s="21">
        <v>0</v>
      </c>
      <c r="W43" s="21">
        <v>0</v>
      </c>
      <c r="X43" s="21">
        <v>0</v>
      </c>
      <c r="Y43" s="21">
        <v>0</v>
      </c>
      <c r="Z43" s="21">
        <v>0</v>
      </c>
      <c r="AA43" s="21">
        <v>0</v>
      </c>
      <c r="AB43" s="21">
        <v>0</v>
      </c>
      <c r="AC43" s="21">
        <v>0</v>
      </c>
      <c r="AD43" s="21">
        <v>0</v>
      </c>
      <c r="AE43" s="21">
        <v>0</v>
      </c>
      <c r="AF43" s="21">
        <v>0</v>
      </c>
      <c r="AG43" s="21">
        <v>0</v>
      </c>
      <c r="AH43" s="21">
        <v>120</v>
      </c>
      <c r="AI43" s="21">
        <v>120</v>
      </c>
      <c r="AJ43" s="21">
        <v>300</v>
      </c>
      <c r="AK43" s="21">
        <v>13</v>
      </c>
      <c r="AL43" s="21">
        <v>0</v>
      </c>
      <c r="AM43" s="21">
        <v>0</v>
      </c>
      <c r="AN43" s="21">
        <v>0</v>
      </c>
      <c r="AO43" s="21">
        <v>0</v>
      </c>
      <c r="AP43" s="21">
        <v>0</v>
      </c>
      <c r="AQ43" s="21">
        <v>0</v>
      </c>
      <c r="AR43" s="21">
        <v>0</v>
      </c>
      <c r="AS43" s="21">
        <v>0</v>
      </c>
      <c r="AT43" s="21">
        <v>0</v>
      </c>
      <c r="AU43" s="21">
        <v>0</v>
      </c>
      <c r="AV43" s="21">
        <v>0</v>
      </c>
      <c r="AW43" s="21">
        <v>0</v>
      </c>
      <c r="AX43" s="21">
        <v>0</v>
      </c>
      <c r="AY43" s="21">
        <v>0</v>
      </c>
      <c r="AZ43" s="21">
        <v>0</v>
      </c>
      <c r="BA43" s="21">
        <v>0</v>
      </c>
      <c r="BB43" s="21">
        <v>0</v>
      </c>
      <c r="BC43" s="21">
        <v>0</v>
      </c>
      <c r="BD43" s="21">
        <v>0</v>
      </c>
      <c r="BE43" s="21">
        <v>0</v>
      </c>
      <c r="BF43" s="21">
        <v>0</v>
      </c>
      <c r="BG43" s="21">
        <v>0</v>
      </c>
      <c r="BH43" s="21">
        <v>0</v>
      </c>
      <c r="BI43" s="21">
        <v>0</v>
      </c>
      <c r="BJ43" s="21">
        <v>0</v>
      </c>
      <c r="BK43" s="21">
        <v>0</v>
      </c>
      <c r="BL43" s="21">
        <v>0</v>
      </c>
      <c r="BM43" s="21">
        <v>0</v>
      </c>
      <c r="BN43" s="21">
        <v>0</v>
      </c>
      <c r="BO43" s="21">
        <v>0</v>
      </c>
      <c r="BP43" s="21">
        <v>0</v>
      </c>
      <c r="BQ43" s="21">
        <v>0</v>
      </c>
      <c r="BR43" s="21">
        <v>0</v>
      </c>
      <c r="BS43" s="21">
        <v>0</v>
      </c>
      <c r="BT43" s="21">
        <v>0</v>
      </c>
      <c r="BU43" s="21">
        <v>0</v>
      </c>
      <c r="BV43" s="21">
        <v>0</v>
      </c>
      <c r="BW43" s="21">
        <v>0</v>
      </c>
      <c r="BX43" s="21">
        <v>0</v>
      </c>
      <c r="BY43" s="21">
        <v>0</v>
      </c>
      <c r="BZ43" s="21" t="str">
        <v>125080</v>
      </c>
      <c r="CA43" s="21" t="str">
        <v>3.4</v>
      </c>
      <c r="CB43" s="21" t="str">
        <v>9.3</v>
      </c>
      <c r="CC43" s="21" t="str">
        <v>11.2</v>
      </c>
      <c r="CD43" s="21">
        <v>5</v>
      </c>
      <c r="CF43">
        <f t="shared" si="14"/>
        <v>100</v>
      </c>
      <c r="CG43" t="str">
        <v>S</v>
      </c>
      <c r="CH43" t="str">
        <v>T</v>
      </c>
      <c r="CI43" t="str">
        <v>X</v>
      </c>
      <c r="CJ43" t="str">
        <v>X</v>
      </c>
      <c r="CK43" t="str">
        <v>X</v>
      </c>
      <c r="CL43" t="str">
        <v>CL00</v>
      </c>
      <c r="CM43" t="str">
        <v>X</v>
      </c>
      <c r="CN43" t="str">
        <f t="shared" si="15"/>
        <v>S_T_X_X_X_CL00_X</v>
      </c>
      <c r="CO43" t="str">
        <v>EUC-VMXC00F-100-100-0-0</v>
      </c>
      <c r="CQ43" t="str">
        <f t="shared" si="16"/>
        <v>PARA 100 100 115 115 ATT ATT 0 0 8.80 185.5 115 226 50 8 11 0 120 0 0 0 0 0 0 0 0 0 0 0 0 120 120 300 13 0 0 0 0 0 0 0 0 0 0 0 0 0 0 0 0 0 0 0 0 0 0 0 0 0 0 0 0 0 0 0 0 0 0 0 0 0 0 0 0 125080 3.4 9.3 11.2 5</v>
      </c>
      <c r="CR43" t="str">
        <f t="shared" si="17"/>
        <v>/EUC-VMXC00F-100-100-0-0</v>
      </c>
      <c r="CT43">
        <f>COUNTIF(Codes!$A$3:$A$35,CATA!CN43)</f>
        <v>1</v>
      </c>
      <c r="CU43" t="str">
        <f t="shared" si="18"/>
        <v>/EuC-CATA-SUPP/COMMON/S_T_X_X_X_CL00_X-GMSE</v>
      </c>
      <c r="CV43" t="str">
        <f t="shared" si="18"/>
        <v>/EuC-CATA-SUPP/COMMON/S_T_X_X_X_CL00_X-PTSE</v>
      </c>
      <c r="CW43" t="str">
        <f>IF(VLOOKUP(CN43,Codes!$A$3:$C$35,3,FALSE)=0,CF43,"OK")</f>
        <v>OK</v>
      </c>
    </row>
    <row r="44" spans="2:101">
      <c r="B44" s="21">
        <v>125</v>
      </c>
      <c r="E44" s="21">
        <v>125</v>
      </c>
      <c r="F44" s="21">
        <v>125</v>
      </c>
      <c r="G44" s="21">
        <v>140</v>
      </c>
      <c r="H44" s="21">
        <v>140</v>
      </c>
      <c r="I44" s="21" t="str">
        <v>ATT</v>
      </c>
      <c r="J44" s="21" t="str">
        <v>ATT</v>
      </c>
      <c r="K44" s="21">
        <v>0</v>
      </c>
      <c r="L44" s="21">
        <v>0</v>
      </c>
      <c r="M44" s="21" t="str">
        <v>24.00</v>
      </c>
      <c r="N44" s="21" t="str">
        <v>230</v>
      </c>
      <c r="O44" s="21">
        <v>140</v>
      </c>
      <c r="P44" s="21">
        <v>252</v>
      </c>
      <c r="Q44" s="21">
        <v>50</v>
      </c>
      <c r="R44" s="21">
        <v>8</v>
      </c>
      <c r="S44" s="21">
        <v>11</v>
      </c>
      <c r="T44" s="21">
        <v>0</v>
      </c>
      <c r="U44" s="21" t="str">
        <v>152</v>
      </c>
      <c r="V44" s="21">
        <v>0</v>
      </c>
      <c r="W44" s="21">
        <v>0</v>
      </c>
      <c r="X44" s="21">
        <v>0</v>
      </c>
      <c r="Y44" s="21">
        <v>0</v>
      </c>
      <c r="Z44" s="21">
        <v>0</v>
      </c>
      <c r="AA44" s="21">
        <v>0</v>
      </c>
      <c r="AB44" s="21">
        <v>0</v>
      </c>
      <c r="AC44" s="21">
        <v>0</v>
      </c>
      <c r="AD44" s="21">
        <v>0</v>
      </c>
      <c r="AE44" s="21">
        <v>0</v>
      </c>
      <c r="AF44" s="21">
        <v>0</v>
      </c>
      <c r="AG44" s="21">
        <v>0</v>
      </c>
      <c r="AH44" s="21">
        <v>200</v>
      </c>
      <c r="AI44" s="21">
        <v>144</v>
      </c>
      <c r="AJ44" s="21">
        <v>300</v>
      </c>
      <c r="AK44" s="21">
        <v>12</v>
      </c>
      <c r="AL44" s="21">
        <v>20</v>
      </c>
      <c r="AM44" s="21">
        <v>0</v>
      </c>
      <c r="AN44" s="21">
        <v>0</v>
      </c>
      <c r="AO44" s="21">
        <v>0</v>
      </c>
      <c r="AP44" s="21">
        <v>0</v>
      </c>
      <c r="AQ44" s="21">
        <v>0</v>
      </c>
      <c r="AR44" s="21">
        <v>0</v>
      </c>
      <c r="AS44" s="21">
        <v>0</v>
      </c>
      <c r="AT44" s="21">
        <v>0</v>
      </c>
      <c r="AU44" s="21">
        <v>0</v>
      </c>
      <c r="AV44" s="21">
        <v>0</v>
      </c>
      <c r="AW44" s="21">
        <v>0</v>
      </c>
      <c r="AX44" s="21">
        <v>0</v>
      </c>
      <c r="AY44" s="21">
        <v>0</v>
      </c>
      <c r="AZ44" s="21">
        <v>0</v>
      </c>
      <c r="BA44" s="21">
        <v>0</v>
      </c>
      <c r="BB44" s="21">
        <v>0</v>
      </c>
      <c r="BC44" s="21">
        <v>0</v>
      </c>
      <c r="BD44" s="21">
        <v>0</v>
      </c>
      <c r="BE44" s="21">
        <v>0</v>
      </c>
      <c r="BF44" s="21">
        <v>0</v>
      </c>
      <c r="BG44" s="21">
        <v>0</v>
      </c>
      <c r="BH44" s="21">
        <v>0</v>
      </c>
      <c r="BI44" s="21">
        <v>0</v>
      </c>
      <c r="BJ44" s="21">
        <v>0</v>
      </c>
      <c r="BK44" s="21">
        <v>0</v>
      </c>
      <c r="BL44" s="21">
        <v>0</v>
      </c>
      <c r="BM44" s="21">
        <v>0</v>
      </c>
      <c r="BN44" s="21">
        <v>0</v>
      </c>
      <c r="BO44" s="21">
        <v>0</v>
      </c>
      <c r="BP44" s="21">
        <v>0</v>
      </c>
      <c r="BQ44" s="21">
        <v>100</v>
      </c>
      <c r="BR44" s="21">
        <v>200</v>
      </c>
      <c r="BS44" s="21">
        <v>0</v>
      </c>
      <c r="BT44" s="21">
        <v>35</v>
      </c>
      <c r="BU44" s="21">
        <v>100</v>
      </c>
      <c r="BV44" s="21">
        <v>12</v>
      </c>
      <c r="BW44" s="21">
        <v>0</v>
      </c>
      <c r="BX44" s="21">
        <v>20</v>
      </c>
      <c r="BY44" s="21">
        <v>0</v>
      </c>
      <c r="BZ44" s="21" t="str">
        <v>125100</v>
      </c>
      <c r="CA44" s="21" t="str">
        <v>4.3</v>
      </c>
      <c r="CB44" s="21" t="str">
        <v>11.7</v>
      </c>
      <c r="CC44" s="21" t="str">
        <v>14.4</v>
      </c>
      <c r="CD44" s="21">
        <v>6</v>
      </c>
      <c r="CF44">
        <f t="shared" si="14"/>
        <v>125</v>
      </c>
      <c r="CG44" t="str">
        <v>D</v>
      </c>
      <c r="CH44" t="str">
        <v>LL</v>
      </c>
      <c r="CI44" t="str">
        <v>X</v>
      </c>
      <c r="CJ44" t="str">
        <v>X</v>
      </c>
      <c r="CK44" t="str">
        <v>X</v>
      </c>
      <c r="CL44" t="str">
        <v>CL00</v>
      </c>
      <c r="CM44" t="str">
        <v>ST</v>
      </c>
      <c r="CN44" t="str">
        <f t="shared" si="15"/>
        <v>D_LL_X_X_X_CL00_ST</v>
      </c>
      <c r="CO44" t="str">
        <v>EUC-VMXM00F-125-125-0-0</v>
      </c>
      <c r="CQ44" t="str">
        <f t="shared" si="16"/>
        <v>PARA 125 125 140 140 ATT ATT 0 0 24.00 230 140 252 50 8 11 0 152 0 0 0 0 0 0 0 0 0 0 0 0 200 144 300 12 20 0 0 0 0 0 0 0 0 0 0 0 0 0 0 0 0 0 0 0 0 0 0 0 0 0 0 0 0 0 0 100 200 0 35 100 12 0 20 0 125100 4.3 11.7 14.4 6</v>
      </c>
      <c r="CR44" t="str">
        <f t="shared" si="17"/>
        <v>/EUC-VMXM00F-125-125-0-0</v>
      </c>
      <c r="CT44">
        <f>COUNTIF(Codes!$A$3:$A$35,CATA!CN44)</f>
        <v>1</v>
      </c>
      <c r="CU44" t="str">
        <f t="shared" si="18"/>
        <v>/EuC-CATA-SUPP/COMMON/D_LL_X_X_X_CL00_ST-GMSE</v>
      </c>
      <c r="CV44" t="str">
        <f t="shared" si="18"/>
        <v>/EuC-CATA-SUPP/COMMON/D_LL_X_X_X_CL00_ST-PTSE</v>
      </c>
      <c r="CW44" t="str">
        <f>IF(VLOOKUP(CN44,Codes!$A$3:$C$35,3,FALSE)=0,CF44,"OK")</f>
        <v>OK</v>
      </c>
    </row>
    <row r="45" spans="2:101">
      <c r="B45" s="21">
        <v>150</v>
      </c>
      <c r="E45" s="21">
        <v>150</v>
      </c>
      <c r="F45" s="21">
        <v>150</v>
      </c>
      <c r="G45" s="21">
        <v>169</v>
      </c>
      <c r="H45" s="21">
        <v>169</v>
      </c>
      <c r="I45" s="21" t="str">
        <v>ATT</v>
      </c>
      <c r="J45" s="21" t="str">
        <v>ATT</v>
      </c>
      <c r="K45" s="21">
        <v>0</v>
      </c>
      <c r="L45" s="21">
        <v>0</v>
      </c>
      <c r="M45" s="21" t="str">
        <v>25.00</v>
      </c>
      <c r="N45" s="21" t="str">
        <v>245</v>
      </c>
      <c r="O45" s="21">
        <v>169</v>
      </c>
      <c r="P45" s="21">
        <v>280</v>
      </c>
      <c r="Q45" s="21">
        <v>50</v>
      </c>
      <c r="R45" s="21">
        <v>8</v>
      </c>
      <c r="S45" s="21">
        <v>11</v>
      </c>
      <c r="T45" s="21">
        <v>0</v>
      </c>
      <c r="U45" s="21" t="str">
        <v>152.5</v>
      </c>
      <c r="V45" s="21">
        <v>0</v>
      </c>
      <c r="W45" s="21">
        <v>0</v>
      </c>
      <c r="X45" s="21">
        <v>0</v>
      </c>
      <c r="Y45" s="21">
        <v>0</v>
      </c>
      <c r="Z45" s="21">
        <v>0</v>
      </c>
      <c r="AA45" s="21">
        <v>0</v>
      </c>
      <c r="AB45" s="21">
        <v>0</v>
      </c>
      <c r="AC45" s="21">
        <v>0</v>
      </c>
      <c r="AD45" s="21">
        <v>0</v>
      </c>
      <c r="AE45" s="21">
        <v>0</v>
      </c>
      <c r="AF45" s="21">
        <v>0</v>
      </c>
      <c r="AG45" s="21">
        <v>0</v>
      </c>
      <c r="AH45" s="21">
        <v>200</v>
      </c>
      <c r="AI45" s="21">
        <v>162</v>
      </c>
      <c r="AJ45" s="21">
        <v>300</v>
      </c>
      <c r="AK45" s="21">
        <v>12</v>
      </c>
      <c r="AL45" s="21">
        <v>20</v>
      </c>
      <c r="AM45" s="21">
        <v>0</v>
      </c>
      <c r="AN45" s="21">
        <v>0</v>
      </c>
      <c r="AO45" s="21">
        <v>0</v>
      </c>
      <c r="AP45" s="21">
        <v>0</v>
      </c>
      <c r="AQ45" s="21">
        <v>0</v>
      </c>
      <c r="AR45" s="21">
        <v>0</v>
      </c>
      <c r="AS45" s="21">
        <v>0</v>
      </c>
      <c r="AT45" s="21">
        <v>0</v>
      </c>
      <c r="AU45" s="21">
        <v>0</v>
      </c>
      <c r="AV45" s="21">
        <v>0</v>
      </c>
      <c r="AW45" s="21">
        <v>0</v>
      </c>
      <c r="AX45" s="21">
        <v>0</v>
      </c>
      <c r="AY45" s="21">
        <v>0</v>
      </c>
      <c r="AZ45" s="21">
        <v>0</v>
      </c>
      <c r="BA45" s="21">
        <v>0</v>
      </c>
      <c r="BB45" s="21">
        <v>0</v>
      </c>
      <c r="BC45" s="21">
        <v>0</v>
      </c>
      <c r="BD45" s="21">
        <v>0</v>
      </c>
      <c r="BE45" s="21">
        <v>0</v>
      </c>
      <c r="BF45" s="21">
        <v>0</v>
      </c>
      <c r="BG45" s="21">
        <v>0</v>
      </c>
      <c r="BH45" s="21">
        <v>0</v>
      </c>
      <c r="BI45" s="21">
        <v>0</v>
      </c>
      <c r="BJ45" s="21">
        <v>0</v>
      </c>
      <c r="BK45" s="21">
        <v>0</v>
      </c>
      <c r="BL45" s="21">
        <v>0</v>
      </c>
      <c r="BM45" s="21">
        <v>0</v>
      </c>
      <c r="BN45" s="21">
        <v>0</v>
      </c>
      <c r="BO45" s="21">
        <v>0</v>
      </c>
      <c r="BP45" s="21">
        <v>0</v>
      </c>
      <c r="BQ45" s="21">
        <v>100</v>
      </c>
      <c r="BR45" s="21">
        <v>200</v>
      </c>
      <c r="BS45" s="21">
        <v>0</v>
      </c>
      <c r="BT45" s="21">
        <v>35</v>
      </c>
      <c r="BU45" s="21">
        <v>100</v>
      </c>
      <c r="BV45" s="21">
        <v>12</v>
      </c>
      <c r="BW45" s="21">
        <v>0</v>
      </c>
      <c r="BX45" s="21">
        <v>20</v>
      </c>
      <c r="BY45" s="21">
        <v>0</v>
      </c>
      <c r="BZ45" s="21" t="str">
        <v>125101</v>
      </c>
      <c r="CA45" s="21" t="str">
        <v>5.4</v>
      </c>
      <c r="CB45" s="21" t="str">
        <v>14</v>
      </c>
      <c r="CC45" s="21" t="str">
        <v>18.1</v>
      </c>
      <c r="CD45" s="21">
        <v>6</v>
      </c>
      <c r="CF45">
        <f t="shared" si="14"/>
        <v>150</v>
      </c>
      <c r="CG45" t="str">
        <v>D</v>
      </c>
      <c r="CH45" t="str">
        <v>LL</v>
      </c>
      <c r="CI45" t="str">
        <v>X</v>
      </c>
      <c r="CJ45" t="str">
        <v>X</v>
      </c>
      <c r="CK45" t="str">
        <v>X</v>
      </c>
      <c r="CL45" t="str">
        <v>CL00</v>
      </c>
      <c r="CM45" t="str">
        <v>ST</v>
      </c>
      <c r="CN45" t="str">
        <f t="shared" si="15"/>
        <v>D_LL_X_X_X_CL00_ST</v>
      </c>
      <c r="CO45" t="str">
        <v>EUC-VMXM00F-150-150-0-0</v>
      </c>
      <c r="CQ45" t="str">
        <f t="shared" si="16"/>
        <v>PARA 150 150 169 169 ATT ATT 0 0 25.00 245 169 280 50 8 11 0 152.5 0 0 0 0 0 0 0 0 0 0 0 0 200 162 300 12 20 0 0 0 0 0 0 0 0 0 0 0 0 0 0 0 0 0 0 0 0 0 0 0 0 0 0 0 0 0 0 100 200 0 35 100 12 0 20 0 125101 5.4 14 18.1 6</v>
      </c>
      <c r="CR45" t="str">
        <f t="shared" si="17"/>
        <v>/EUC-VMXM00F-150-150-0-0</v>
      </c>
      <c r="CT45">
        <f>COUNTIF(Codes!$A$3:$A$35,CATA!CN45)</f>
        <v>1</v>
      </c>
      <c r="CU45" t="str">
        <f t="shared" si="18"/>
        <v>/EuC-CATA-SUPP/COMMON/D_LL_X_X_X_CL00_ST-GMSE</v>
      </c>
      <c r="CV45" t="str">
        <f t="shared" si="18"/>
        <v>/EuC-CATA-SUPP/COMMON/D_LL_X_X_X_CL00_ST-PTSE</v>
      </c>
      <c r="CW45" t="str">
        <f>IF(VLOOKUP(CN45,Codes!$A$3:$C$35,3,FALSE)=0,CF45,"OK")</f>
        <v>OK</v>
      </c>
    </row>
    <row r="46" spans="2:101">
      <c r="B46" s="21">
        <v>200</v>
      </c>
      <c r="E46" s="21">
        <v>200</v>
      </c>
      <c r="F46" s="21">
        <v>200</v>
      </c>
      <c r="G46" s="21">
        <v>220</v>
      </c>
      <c r="H46" s="21">
        <v>220</v>
      </c>
      <c r="I46" s="21" t="str">
        <v>ATT</v>
      </c>
      <c r="J46" s="21" t="str">
        <v>ATT</v>
      </c>
      <c r="K46" s="21">
        <v>0</v>
      </c>
      <c r="L46" s="21">
        <v>0</v>
      </c>
      <c r="M46" s="21" t="str">
        <v>27.00</v>
      </c>
      <c r="N46" s="21" t="str">
        <v>270</v>
      </c>
      <c r="O46" s="21">
        <v>220</v>
      </c>
      <c r="P46" s="21">
        <v>332</v>
      </c>
      <c r="Q46" s="21">
        <v>50</v>
      </c>
      <c r="R46" s="21">
        <v>8</v>
      </c>
      <c r="S46" s="21">
        <v>11</v>
      </c>
      <c r="T46" s="21">
        <v>0</v>
      </c>
      <c r="U46" s="21" t="str">
        <v>152</v>
      </c>
      <c r="V46" s="21">
        <v>0</v>
      </c>
      <c r="W46" s="21">
        <v>0</v>
      </c>
      <c r="X46" s="21">
        <v>0</v>
      </c>
      <c r="Y46" s="21">
        <v>0</v>
      </c>
      <c r="Z46" s="21">
        <v>0</v>
      </c>
      <c r="AA46" s="21">
        <v>0</v>
      </c>
      <c r="AB46" s="21">
        <v>0</v>
      </c>
      <c r="AC46" s="21">
        <v>0</v>
      </c>
      <c r="AD46" s="21">
        <v>0</v>
      </c>
      <c r="AE46" s="21">
        <v>0</v>
      </c>
      <c r="AF46" s="21">
        <v>0</v>
      </c>
      <c r="AG46" s="21">
        <v>0</v>
      </c>
      <c r="AH46" s="21">
        <v>200</v>
      </c>
      <c r="AI46" s="21">
        <v>190</v>
      </c>
      <c r="AJ46" s="21">
        <v>300</v>
      </c>
      <c r="AK46" s="21">
        <v>12</v>
      </c>
      <c r="AL46" s="21">
        <v>20</v>
      </c>
      <c r="AM46" s="21">
        <v>0</v>
      </c>
      <c r="AN46" s="21">
        <v>0</v>
      </c>
      <c r="AO46" s="21">
        <v>0</v>
      </c>
      <c r="AP46" s="21">
        <v>0</v>
      </c>
      <c r="AQ46" s="21">
        <v>0</v>
      </c>
      <c r="AR46" s="21">
        <v>0</v>
      </c>
      <c r="AS46" s="21">
        <v>0</v>
      </c>
      <c r="AT46" s="21">
        <v>0</v>
      </c>
      <c r="AU46" s="21">
        <v>0</v>
      </c>
      <c r="AV46" s="21">
        <v>0</v>
      </c>
      <c r="AW46" s="21">
        <v>0</v>
      </c>
      <c r="AX46" s="21">
        <v>0</v>
      </c>
      <c r="AY46" s="21">
        <v>0</v>
      </c>
      <c r="AZ46" s="21">
        <v>0</v>
      </c>
      <c r="BA46" s="21">
        <v>0</v>
      </c>
      <c r="BB46" s="21">
        <v>0</v>
      </c>
      <c r="BC46" s="21">
        <v>0</v>
      </c>
      <c r="BD46" s="21">
        <v>0</v>
      </c>
      <c r="BE46" s="21">
        <v>0</v>
      </c>
      <c r="BF46" s="21">
        <v>0</v>
      </c>
      <c r="BG46" s="21">
        <v>0</v>
      </c>
      <c r="BH46" s="21">
        <v>0</v>
      </c>
      <c r="BI46" s="21">
        <v>0</v>
      </c>
      <c r="BJ46" s="21">
        <v>0</v>
      </c>
      <c r="BK46" s="21">
        <v>0</v>
      </c>
      <c r="BL46" s="21">
        <v>0</v>
      </c>
      <c r="BM46" s="21">
        <v>0</v>
      </c>
      <c r="BN46" s="21">
        <v>0</v>
      </c>
      <c r="BO46" s="21">
        <v>0</v>
      </c>
      <c r="BP46" s="21">
        <v>0</v>
      </c>
      <c r="BQ46" s="21">
        <v>100</v>
      </c>
      <c r="BR46" s="21">
        <v>200</v>
      </c>
      <c r="BS46" s="21">
        <v>0</v>
      </c>
      <c r="BT46" s="21">
        <v>35</v>
      </c>
      <c r="BU46" s="21">
        <v>100</v>
      </c>
      <c r="BV46" s="21">
        <v>12</v>
      </c>
      <c r="BW46" s="21">
        <v>0</v>
      </c>
      <c r="BX46" s="21">
        <v>20</v>
      </c>
      <c r="BY46" s="21">
        <v>0</v>
      </c>
      <c r="BZ46" s="21" t="str">
        <v>125102</v>
      </c>
      <c r="CA46" s="21" t="str">
        <v>7.8</v>
      </c>
      <c r="CB46" s="21" t="str">
        <v>18.6</v>
      </c>
      <c r="CC46" s="21" t="str">
        <v>26.1</v>
      </c>
      <c r="CD46" s="21">
        <v>6</v>
      </c>
      <c r="CF46">
        <f t="shared" si="14"/>
        <v>200</v>
      </c>
      <c r="CG46" t="str">
        <v>D</v>
      </c>
      <c r="CH46" t="str">
        <v>LL</v>
      </c>
      <c r="CI46" t="str">
        <v>X</v>
      </c>
      <c r="CJ46" t="str">
        <v>X</v>
      </c>
      <c r="CK46" t="str">
        <v>X</v>
      </c>
      <c r="CL46" t="str">
        <v>CL00</v>
      </c>
      <c r="CM46" t="str">
        <v>ST</v>
      </c>
      <c r="CN46" t="str">
        <f t="shared" si="15"/>
        <v>D_LL_X_X_X_CL00_ST</v>
      </c>
      <c r="CO46" t="str">
        <v>EUC-VMXM00F-200-200-0-0</v>
      </c>
      <c r="CQ46" t="str">
        <f t="shared" si="16"/>
        <v>PARA 200 200 220 220 ATT ATT 0 0 27.00 270 220 332 50 8 11 0 152 0 0 0 0 0 0 0 0 0 0 0 0 200 190 300 12 20 0 0 0 0 0 0 0 0 0 0 0 0 0 0 0 0 0 0 0 0 0 0 0 0 0 0 0 0 0 0 100 200 0 35 100 12 0 20 0 125102 7.8 18.6 26.1 6</v>
      </c>
      <c r="CR46" t="str">
        <f t="shared" si="17"/>
        <v>/EUC-VMXM00F-200-200-0-0</v>
      </c>
      <c r="CT46">
        <f>COUNTIF(Codes!$A$3:$A$35,CATA!CN46)</f>
        <v>1</v>
      </c>
      <c r="CU46" t="str">
        <f t="shared" si="18"/>
        <v>/EuC-CATA-SUPP/COMMON/D_LL_X_X_X_CL00_ST-GMSE</v>
      </c>
      <c r="CV46" t="str">
        <f t="shared" si="18"/>
        <v>/EuC-CATA-SUPP/COMMON/D_LL_X_X_X_CL00_ST-PTSE</v>
      </c>
      <c r="CW46" t="str">
        <f>IF(VLOOKUP(CN46,Codes!$A$3:$C$35,3,FALSE)=0,CF46,"OK")</f>
        <v>OK</v>
      </c>
    </row>
    <row r="47" spans="2:101">
      <c r="B47" s="21">
        <v>250</v>
      </c>
      <c r="E47" s="21">
        <v>250</v>
      </c>
      <c r="F47" s="21">
        <v>250</v>
      </c>
      <c r="G47" s="21">
        <v>273</v>
      </c>
      <c r="H47" s="21">
        <v>273</v>
      </c>
      <c r="I47" s="21" t="str">
        <v>ATT</v>
      </c>
      <c r="J47" s="21" t="str">
        <v>ATT</v>
      </c>
      <c r="K47" s="21">
        <v>0</v>
      </c>
      <c r="L47" s="21">
        <v>0</v>
      </c>
      <c r="M47" s="21" t="str">
        <v>29.00</v>
      </c>
      <c r="N47" s="21" t="str">
        <v>297</v>
      </c>
      <c r="O47" s="21">
        <v>273</v>
      </c>
      <c r="P47" s="21">
        <v>408</v>
      </c>
      <c r="Q47" s="21">
        <v>60</v>
      </c>
      <c r="R47" s="21">
        <v>8</v>
      </c>
      <c r="S47" s="21">
        <v>14</v>
      </c>
      <c r="T47" s="21">
        <v>0</v>
      </c>
      <c r="U47" s="21" t="str">
        <v>152.5</v>
      </c>
      <c r="V47" s="21">
        <v>0</v>
      </c>
      <c r="W47" s="21">
        <v>0</v>
      </c>
      <c r="X47" s="21">
        <v>0</v>
      </c>
      <c r="Y47" s="21">
        <v>0</v>
      </c>
      <c r="Z47" s="21">
        <v>0</v>
      </c>
      <c r="AA47" s="21">
        <v>0</v>
      </c>
      <c r="AB47" s="21">
        <v>0</v>
      </c>
      <c r="AC47" s="21">
        <v>0</v>
      </c>
      <c r="AD47" s="21">
        <v>0</v>
      </c>
      <c r="AE47" s="21">
        <v>0</v>
      </c>
      <c r="AF47" s="21">
        <v>0</v>
      </c>
      <c r="AG47" s="21">
        <v>0</v>
      </c>
      <c r="AH47" s="21">
        <v>200</v>
      </c>
      <c r="AI47" s="21">
        <v>215</v>
      </c>
      <c r="AJ47" s="21">
        <v>300</v>
      </c>
      <c r="AK47" s="21">
        <v>12</v>
      </c>
      <c r="AL47" s="21">
        <v>20</v>
      </c>
      <c r="AM47" s="21">
        <v>0</v>
      </c>
      <c r="AN47" s="21">
        <v>0</v>
      </c>
      <c r="AO47" s="21">
        <v>0</v>
      </c>
      <c r="AP47" s="21">
        <v>0</v>
      </c>
      <c r="AQ47" s="21">
        <v>0</v>
      </c>
      <c r="AR47" s="21">
        <v>0</v>
      </c>
      <c r="AS47" s="21">
        <v>0</v>
      </c>
      <c r="AT47" s="21">
        <v>0</v>
      </c>
      <c r="AU47" s="21">
        <v>0</v>
      </c>
      <c r="AV47" s="21">
        <v>0</v>
      </c>
      <c r="AW47" s="21">
        <v>0</v>
      </c>
      <c r="AX47" s="21">
        <v>0</v>
      </c>
      <c r="AY47" s="21">
        <v>0</v>
      </c>
      <c r="AZ47" s="21">
        <v>0</v>
      </c>
      <c r="BA47" s="21">
        <v>0</v>
      </c>
      <c r="BB47" s="21">
        <v>0</v>
      </c>
      <c r="BC47" s="21">
        <v>0</v>
      </c>
      <c r="BD47" s="21">
        <v>0</v>
      </c>
      <c r="BE47" s="21">
        <v>0</v>
      </c>
      <c r="BF47" s="21">
        <v>0</v>
      </c>
      <c r="BG47" s="21">
        <v>0</v>
      </c>
      <c r="BH47" s="21">
        <v>0</v>
      </c>
      <c r="BI47" s="21">
        <v>0</v>
      </c>
      <c r="BJ47" s="21">
        <v>0</v>
      </c>
      <c r="BK47" s="21">
        <v>0</v>
      </c>
      <c r="BL47" s="21">
        <v>0</v>
      </c>
      <c r="BM47" s="21">
        <v>0</v>
      </c>
      <c r="BN47" s="21">
        <v>0</v>
      </c>
      <c r="BO47" s="21">
        <v>0</v>
      </c>
      <c r="BP47" s="21">
        <v>0</v>
      </c>
      <c r="BQ47" s="21">
        <v>100</v>
      </c>
      <c r="BR47" s="21">
        <v>200</v>
      </c>
      <c r="BS47" s="21">
        <v>0</v>
      </c>
      <c r="BT47" s="21">
        <v>35</v>
      </c>
      <c r="BU47" s="21">
        <v>100</v>
      </c>
      <c r="BV47" s="21">
        <v>12</v>
      </c>
      <c r="BW47" s="21">
        <v>0</v>
      </c>
      <c r="BX47" s="21">
        <v>20</v>
      </c>
      <c r="BY47" s="21">
        <v>0</v>
      </c>
      <c r="BZ47" s="21" t="str">
        <v>125103</v>
      </c>
      <c r="CA47" s="21" t="str">
        <v>10.2</v>
      </c>
      <c r="CB47" s="21" t="str">
        <v>23.3</v>
      </c>
      <c r="CC47" s="21" t="str">
        <v>33.9</v>
      </c>
      <c r="CD47" s="21">
        <v>6</v>
      </c>
      <c r="CF47">
        <f t="shared" si="14"/>
        <v>250</v>
      </c>
      <c r="CG47" t="str">
        <v>D</v>
      </c>
      <c r="CH47" t="str">
        <v>LL</v>
      </c>
      <c r="CI47" t="str">
        <v>X</v>
      </c>
      <c r="CJ47" t="str">
        <v>X</v>
      </c>
      <c r="CK47" t="str">
        <v>X</v>
      </c>
      <c r="CL47" t="str">
        <v>CL00</v>
      </c>
      <c r="CM47" t="str">
        <v>ST</v>
      </c>
      <c r="CN47" t="str">
        <f t="shared" si="15"/>
        <v>D_LL_X_X_X_CL00_ST</v>
      </c>
      <c r="CO47" t="str">
        <v>EUC-VMXM00F-250-250-0-0</v>
      </c>
      <c r="CQ47" t="str">
        <f t="shared" si="16"/>
        <v>PARA 250 250 273 273 ATT ATT 0 0 29.00 297 273 408 60 8 14 0 152.5 0 0 0 0 0 0 0 0 0 0 0 0 200 215 300 12 20 0 0 0 0 0 0 0 0 0 0 0 0 0 0 0 0 0 0 0 0 0 0 0 0 0 0 0 0 0 0 100 200 0 35 100 12 0 20 0 125103 10.2 23.3 33.9 6</v>
      </c>
      <c r="CR47" t="str">
        <f t="shared" si="17"/>
        <v>/EUC-VMXM00F-250-250-0-0</v>
      </c>
      <c r="CT47">
        <f>COUNTIF(Codes!$A$3:$A$35,CATA!CN47)</f>
        <v>1</v>
      </c>
      <c r="CU47" t="str">
        <f t="shared" si="18"/>
        <v>/EuC-CATA-SUPP/COMMON/D_LL_X_X_X_CL00_ST-GMSE</v>
      </c>
      <c r="CV47" t="str">
        <f t="shared" si="18"/>
        <v>/EuC-CATA-SUPP/COMMON/D_LL_X_X_X_CL00_ST-PTSE</v>
      </c>
      <c r="CW47" t="str">
        <f>IF(VLOOKUP(CN47,Codes!$A$3:$C$35,3,FALSE)=0,CF47,"OK")</f>
        <v>OK</v>
      </c>
    </row>
    <row r="48" spans="2:101">
      <c r="B48" s="21">
        <v>300</v>
      </c>
      <c r="E48" s="21">
        <v>300</v>
      </c>
      <c r="F48" s="21">
        <v>300</v>
      </c>
      <c r="G48" s="21">
        <v>324</v>
      </c>
      <c r="H48" s="21">
        <v>324</v>
      </c>
      <c r="I48" s="21" t="str">
        <v>ATT</v>
      </c>
      <c r="J48" s="21" t="str">
        <v>ATT</v>
      </c>
      <c r="K48" s="21">
        <v>0</v>
      </c>
      <c r="L48" s="21">
        <v>0</v>
      </c>
      <c r="M48" s="21" t="str">
        <v>37.87</v>
      </c>
      <c r="N48" s="21" t="str">
        <v>322</v>
      </c>
      <c r="O48" s="21">
        <v>324</v>
      </c>
      <c r="P48" s="21">
        <v>458</v>
      </c>
      <c r="Q48" s="21">
        <v>60</v>
      </c>
      <c r="R48" s="21">
        <v>8</v>
      </c>
      <c r="S48" s="21">
        <v>14</v>
      </c>
      <c r="T48" s="21">
        <v>0</v>
      </c>
      <c r="U48" s="21" t="str">
        <v>152</v>
      </c>
      <c r="V48" s="21">
        <v>0</v>
      </c>
      <c r="W48" s="21">
        <v>0</v>
      </c>
      <c r="X48" s="21">
        <v>0</v>
      </c>
      <c r="Y48" s="21">
        <v>0</v>
      </c>
      <c r="Z48" s="21">
        <v>0</v>
      </c>
      <c r="AA48" s="21">
        <v>0</v>
      </c>
      <c r="AB48" s="21">
        <v>0</v>
      </c>
      <c r="AC48" s="21">
        <v>0</v>
      </c>
      <c r="AD48" s="21">
        <v>0</v>
      </c>
      <c r="AE48" s="21">
        <v>0</v>
      </c>
      <c r="AF48" s="21">
        <v>0</v>
      </c>
      <c r="AG48" s="21">
        <v>0</v>
      </c>
      <c r="AH48" s="21">
        <v>200</v>
      </c>
      <c r="AI48" s="21">
        <v>261</v>
      </c>
      <c r="AJ48" s="21">
        <v>400</v>
      </c>
      <c r="AK48" s="21">
        <v>12</v>
      </c>
      <c r="AL48" s="21">
        <v>20</v>
      </c>
      <c r="AM48" s="21">
        <v>0</v>
      </c>
      <c r="AN48" s="21">
        <v>0</v>
      </c>
      <c r="AO48" s="21">
        <v>0</v>
      </c>
      <c r="AP48" s="21">
        <v>0</v>
      </c>
      <c r="AQ48" s="21">
        <v>0</v>
      </c>
      <c r="AR48" s="21">
        <v>0</v>
      </c>
      <c r="AS48" s="21">
        <v>0</v>
      </c>
      <c r="AT48" s="21">
        <v>0</v>
      </c>
      <c r="AU48" s="21">
        <v>0</v>
      </c>
      <c r="AV48" s="21">
        <v>0</v>
      </c>
      <c r="AW48" s="21">
        <v>0</v>
      </c>
      <c r="AX48" s="21">
        <v>0</v>
      </c>
      <c r="AY48" s="21">
        <v>0</v>
      </c>
      <c r="AZ48" s="21">
        <v>0</v>
      </c>
      <c r="BA48" s="21">
        <v>0</v>
      </c>
      <c r="BB48" s="21">
        <v>0</v>
      </c>
      <c r="BC48" s="21">
        <v>0</v>
      </c>
      <c r="BD48" s="21">
        <v>0</v>
      </c>
      <c r="BE48" s="21">
        <v>0</v>
      </c>
      <c r="BF48" s="21">
        <v>0</v>
      </c>
      <c r="BG48" s="21">
        <v>0</v>
      </c>
      <c r="BH48" s="21">
        <v>0</v>
      </c>
      <c r="BI48" s="21">
        <v>0</v>
      </c>
      <c r="BJ48" s="21">
        <v>0</v>
      </c>
      <c r="BK48" s="21">
        <v>0</v>
      </c>
      <c r="BL48" s="21">
        <v>12</v>
      </c>
      <c r="BM48" s="21">
        <v>100</v>
      </c>
      <c r="BN48" s="21">
        <v>100</v>
      </c>
      <c r="BO48" s="21">
        <v>1</v>
      </c>
      <c r="BP48" s="21">
        <v>0</v>
      </c>
      <c r="BQ48" s="21">
        <v>100</v>
      </c>
      <c r="BR48" s="21">
        <v>200</v>
      </c>
      <c r="BS48" s="21">
        <v>0</v>
      </c>
      <c r="BT48" s="21">
        <v>24</v>
      </c>
      <c r="BU48" s="21">
        <v>100</v>
      </c>
      <c r="BV48" s="21">
        <v>12</v>
      </c>
      <c r="BW48" s="21">
        <v>0</v>
      </c>
      <c r="BX48" s="21">
        <v>20</v>
      </c>
      <c r="BY48" s="21">
        <v>0</v>
      </c>
      <c r="BZ48" s="21" t="str">
        <v>125104</v>
      </c>
      <c r="CA48" s="21" t="str">
        <v>12.6</v>
      </c>
      <c r="CB48" s="21" t="str">
        <v>28</v>
      </c>
      <c r="CC48" s="21" t="str">
        <v>42.2</v>
      </c>
      <c r="CD48" s="21">
        <v>6</v>
      </c>
      <c r="CF48">
        <f t="shared" si="14"/>
        <v>300</v>
      </c>
      <c r="CG48" t="str">
        <v>D</v>
      </c>
      <c r="CH48" t="str">
        <v>LL</v>
      </c>
      <c r="CI48" t="str">
        <v>X</v>
      </c>
      <c r="CJ48" t="str">
        <v>SS</v>
      </c>
      <c r="CK48" t="str">
        <v>X</v>
      </c>
      <c r="CL48" t="str">
        <v>CL00</v>
      </c>
      <c r="CM48" t="str">
        <v>ST</v>
      </c>
      <c r="CN48" t="str">
        <f t="shared" si="15"/>
        <v>D_LL_X_SS_X_CL00_ST</v>
      </c>
      <c r="CO48" t="str">
        <v>EUC-VMXM00F-300-300-0-0</v>
      </c>
      <c r="CQ48" t="str">
        <f t="shared" si="16"/>
        <v>PARA 300 300 324 324 ATT ATT 0 0 37.87 322 324 458 60 8 14 0 152 0 0 0 0 0 0 0 0 0 0 0 0 200 261 400 12 20 0 0 0 0 0 0 0 0 0 0 0 0 0 0 0 0 0 0 0 0 0 0 0 0 0 12 100 100 1 0 100 200 0 24 100 12 0 20 0 125104 12.6 28 42.2 6</v>
      </c>
      <c r="CR48" t="str">
        <f t="shared" si="17"/>
        <v>/EUC-VMXM00F-300-300-0-0</v>
      </c>
      <c r="CT48">
        <f>COUNTIF(Codes!$A$3:$A$35,CATA!CN48)</f>
        <v>1</v>
      </c>
      <c r="CU48" t="str">
        <f t="shared" si="18"/>
        <v>/EuC-CATA-SUPP/COMMON/D_LL_X_SS_X_CL00_ST-GMSE</v>
      </c>
      <c r="CV48" t="str">
        <f t="shared" si="18"/>
        <v>/EuC-CATA-SUPP/COMMON/D_LL_X_SS_X_CL00_ST-PTSE</v>
      </c>
      <c r="CW48" t="str">
        <f>IF(VLOOKUP(CN48,Codes!$A$3:$C$35,3,FALSE)=0,CF48,"OK")</f>
        <v>OK</v>
      </c>
    </row>
    <row r="49" spans="2:101">
      <c r="B49" s="21">
        <v>350</v>
      </c>
      <c r="E49" s="21">
        <v>350</v>
      </c>
      <c r="F49" s="21">
        <v>350</v>
      </c>
      <c r="G49" s="21">
        <v>356</v>
      </c>
      <c r="H49" s="21">
        <v>356</v>
      </c>
      <c r="I49" s="21" t="str">
        <v>ATT</v>
      </c>
      <c r="J49" s="21" t="str">
        <v>ATT</v>
      </c>
      <c r="K49" s="21">
        <v>0</v>
      </c>
      <c r="L49" s="21">
        <v>0</v>
      </c>
      <c r="M49" s="21" t="str">
        <v>39.87</v>
      </c>
      <c r="N49" s="21" t="str">
        <v>338</v>
      </c>
      <c r="O49" s="21">
        <v>356</v>
      </c>
      <c r="P49" s="21">
        <v>504</v>
      </c>
      <c r="Q49" s="21">
        <v>60</v>
      </c>
      <c r="R49" s="21">
        <v>8</v>
      </c>
      <c r="S49" s="21">
        <v>14</v>
      </c>
      <c r="T49" s="21">
        <v>0</v>
      </c>
      <c r="U49" s="21" t="str">
        <v>152</v>
      </c>
      <c r="V49" s="21">
        <v>0</v>
      </c>
      <c r="W49" s="21">
        <v>0</v>
      </c>
      <c r="X49" s="21">
        <v>0</v>
      </c>
      <c r="Y49" s="21">
        <v>0</v>
      </c>
      <c r="Z49" s="21">
        <v>0</v>
      </c>
      <c r="AA49" s="21">
        <v>0</v>
      </c>
      <c r="AB49" s="21">
        <v>0</v>
      </c>
      <c r="AC49" s="21">
        <v>0</v>
      </c>
      <c r="AD49" s="21">
        <v>0</v>
      </c>
      <c r="AE49" s="21">
        <v>0</v>
      </c>
      <c r="AF49" s="21">
        <v>0</v>
      </c>
      <c r="AG49" s="21">
        <v>0</v>
      </c>
      <c r="AH49" s="21">
        <v>200</v>
      </c>
      <c r="AI49" s="21">
        <v>276</v>
      </c>
      <c r="AJ49" s="21">
        <v>400</v>
      </c>
      <c r="AK49" s="21">
        <v>12</v>
      </c>
      <c r="AL49" s="21">
        <v>20</v>
      </c>
      <c r="AM49" s="21">
        <v>0</v>
      </c>
      <c r="AN49" s="21">
        <v>0</v>
      </c>
      <c r="AO49" s="21">
        <v>0</v>
      </c>
      <c r="AP49" s="21">
        <v>0</v>
      </c>
      <c r="AQ49" s="21">
        <v>0</v>
      </c>
      <c r="AR49" s="21">
        <v>0</v>
      </c>
      <c r="AS49" s="21">
        <v>0</v>
      </c>
      <c r="AT49" s="21">
        <v>0</v>
      </c>
      <c r="AU49" s="21">
        <v>0</v>
      </c>
      <c r="AV49" s="21">
        <v>0</v>
      </c>
      <c r="AW49" s="21">
        <v>0</v>
      </c>
      <c r="AX49" s="21">
        <v>0</v>
      </c>
      <c r="AY49" s="21">
        <v>0</v>
      </c>
      <c r="AZ49" s="21">
        <v>0</v>
      </c>
      <c r="BA49" s="21">
        <v>0</v>
      </c>
      <c r="BB49" s="21">
        <v>0</v>
      </c>
      <c r="BC49" s="21">
        <v>0</v>
      </c>
      <c r="BD49" s="21">
        <v>0</v>
      </c>
      <c r="BE49" s="21">
        <v>0</v>
      </c>
      <c r="BF49" s="21">
        <v>0</v>
      </c>
      <c r="BG49" s="21">
        <v>0</v>
      </c>
      <c r="BH49" s="21">
        <v>0</v>
      </c>
      <c r="BI49" s="21">
        <v>0</v>
      </c>
      <c r="BJ49" s="21">
        <v>0</v>
      </c>
      <c r="BK49" s="21">
        <v>0</v>
      </c>
      <c r="BL49" s="21">
        <v>12</v>
      </c>
      <c r="BM49" s="21">
        <v>100</v>
      </c>
      <c r="BN49" s="21">
        <v>100</v>
      </c>
      <c r="BO49" s="21">
        <v>1</v>
      </c>
      <c r="BP49" s="21">
        <v>0</v>
      </c>
      <c r="BQ49" s="21">
        <v>100</v>
      </c>
      <c r="BR49" s="21">
        <v>200</v>
      </c>
      <c r="BS49" s="21">
        <v>0</v>
      </c>
      <c r="BT49" s="21">
        <v>24</v>
      </c>
      <c r="BU49" s="21">
        <v>100</v>
      </c>
      <c r="BV49" s="21">
        <v>12</v>
      </c>
      <c r="BW49" s="21">
        <v>0</v>
      </c>
      <c r="BX49" s="21">
        <v>20</v>
      </c>
      <c r="BY49" s="21">
        <v>0</v>
      </c>
      <c r="BZ49" s="21" t="str">
        <v>125105</v>
      </c>
      <c r="CA49" s="21" t="str">
        <v>14.6</v>
      </c>
      <c r="CB49" s="21" t="str">
        <v>32.6</v>
      </c>
      <c r="CC49" s="21" t="str">
        <v>48.8</v>
      </c>
      <c r="CD49" s="21">
        <v>6</v>
      </c>
      <c r="CF49">
        <f t="shared" si="14"/>
        <v>350</v>
      </c>
      <c r="CG49" t="str">
        <v>D</v>
      </c>
      <c r="CH49" t="str">
        <v>LL</v>
      </c>
      <c r="CI49" t="str">
        <v>X</v>
      </c>
      <c r="CJ49" t="str">
        <v>SS</v>
      </c>
      <c r="CK49" t="str">
        <v>X</v>
      </c>
      <c r="CL49" t="str">
        <v>CL00</v>
      </c>
      <c r="CM49" t="str">
        <v>ST</v>
      </c>
      <c r="CN49" t="str">
        <f t="shared" si="15"/>
        <v>D_LL_X_SS_X_CL00_ST</v>
      </c>
      <c r="CO49" t="str">
        <v>EUC-VMXM00F-350-350-0-0</v>
      </c>
      <c r="CQ49" t="str">
        <f t="shared" si="16"/>
        <v>PARA 350 350 356 356 ATT ATT 0 0 39.87 338 356 504 60 8 14 0 152 0 0 0 0 0 0 0 0 0 0 0 0 200 276 400 12 20 0 0 0 0 0 0 0 0 0 0 0 0 0 0 0 0 0 0 0 0 0 0 0 0 0 12 100 100 1 0 100 200 0 24 100 12 0 20 0 125105 14.6 32.6 48.8 6</v>
      </c>
      <c r="CR49" t="str">
        <f t="shared" si="17"/>
        <v>/EUC-VMXM00F-350-350-0-0</v>
      </c>
      <c r="CT49">
        <f>COUNTIF(Codes!$A$3:$A$35,CATA!CN49)</f>
        <v>1</v>
      </c>
      <c r="CU49" t="str">
        <f t="shared" si="18"/>
        <v>/EuC-CATA-SUPP/COMMON/D_LL_X_SS_X_CL00_ST-GMSE</v>
      </c>
      <c r="CV49" t="str">
        <f t="shared" si="18"/>
        <v>/EuC-CATA-SUPP/COMMON/D_LL_X_SS_X_CL00_ST-PTSE</v>
      </c>
      <c r="CW49" t="str">
        <f>IF(VLOOKUP(CN49,Codes!$A$3:$C$35,3,FALSE)=0,CF49,"OK")</f>
        <v>OK</v>
      </c>
    </row>
    <row r="50" spans="2:101">
      <c r="B50" s="21">
        <v>400</v>
      </c>
      <c r="E50" s="21">
        <v>400</v>
      </c>
      <c r="F50" s="21">
        <v>400</v>
      </c>
      <c r="G50" s="21">
        <v>407</v>
      </c>
      <c r="H50" s="21">
        <v>407</v>
      </c>
      <c r="I50" s="21" t="str">
        <v>ATT</v>
      </c>
      <c r="J50" s="21" t="str">
        <v>ATT</v>
      </c>
      <c r="K50" s="21">
        <v>0</v>
      </c>
      <c r="L50" s="21">
        <v>0</v>
      </c>
      <c r="M50" s="21" t="str">
        <v>48.87</v>
      </c>
      <c r="N50" s="21" t="str">
        <v>364</v>
      </c>
      <c r="O50" s="21">
        <v>407</v>
      </c>
      <c r="P50" s="21">
        <v>570</v>
      </c>
      <c r="Q50" s="21">
        <v>70</v>
      </c>
      <c r="R50" s="21">
        <v>10</v>
      </c>
      <c r="S50" s="21">
        <v>18</v>
      </c>
      <c r="T50" s="21">
        <v>0</v>
      </c>
      <c r="U50" s="21" t="str">
        <v>150.5</v>
      </c>
      <c r="V50" s="21">
        <v>0</v>
      </c>
      <c r="W50" s="21">
        <v>0</v>
      </c>
      <c r="X50" s="21">
        <v>0</v>
      </c>
      <c r="Y50" s="21">
        <v>0</v>
      </c>
      <c r="Z50" s="21">
        <v>0</v>
      </c>
      <c r="AA50" s="21">
        <v>0</v>
      </c>
      <c r="AB50" s="21">
        <v>0</v>
      </c>
      <c r="AC50" s="21">
        <v>0</v>
      </c>
      <c r="AD50" s="21">
        <v>0</v>
      </c>
      <c r="AE50" s="21">
        <v>0</v>
      </c>
      <c r="AF50" s="21">
        <v>0</v>
      </c>
      <c r="AG50" s="21">
        <v>0</v>
      </c>
      <c r="AH50" s="21">
        <v>200</v>
      </c>
      <c r="AI50" s="21">
        <v>303</v>
      </c>
      <c r="AJ50" s="21">
        <v>400</v>
      </c>
      <c r="AK50" s="21">
        <v>12</v>
      </c>
      <c r="AL50" s="21">
        <v>20</v>
      </c>
      <c r="AM50" s="21">
        <v>0</v>
      </c>
      <c r="AN50" s="21">
        <v>0</v>
      </c>
      <c r="AO50" s="21">
        <v>0</v>
      </c>
      <c r="AP50" s="21">
        <v>0</v>
      </c>
      <c r="AQ50" s="21">
        <v>0</v>
      </c>
      <c r="AR50" s="21">
        <v>0</v>
      </c>
      <c r="AS50" s="21">
        <v>0</v>
      </c>
      <c r="AT50" s="21">
        <v>0</v>
      </c>
      <c r="AU50" s="21">
        <v>0</v>
      </c>
      <c r="AV50" s="21">
        <v>0</v>
      </c>
      <c r="AW50" s="21">
        <v>0</v>
      </c>
      <c r="AX50" s="21">
        <v>0</v>
      </c>
      <c r="AY50" s="21">
        <v>0</v>
      </c>
      <c r="AZ50" s="21">
        <v>0</v>
      </c>
      <c r="BA50" s="21">
        <v>0</v>
      </c>
      <c r="BB50" s="21">
        <v>0</v>
      </c>
      <c r="BC50" s="21">
        <v>0</v>
      </c>
      <c r="BD50" s="21">
        <v>0</v>
      </c>
      <c r="BE50" s="21">
        <v>0</v>
      </c>
      <c r="BF50" s="21">
        <v>0</v>
      </c>
      <c r="BG50" s="21">
        <v>0</v>
      </c>
      <c r="BH50" s="21">
        <v>0</v>
      </c>
      <c r="BI50" s="21">
        <v>0</v>
      </c>
      <c r="BJ50" s="21">
        <v>0</v>
      </c>
      <c r="BK50" s="21">
        <v>0</v>
      </c>
      <c r="BL50" s="21">
        <v>12</v>
      </c>
      <c r="BM50" s="21">
        <v>100</v>
      </c>
      <c r="BN50" s="21">
        <v>100</v>
      </c>
      <c r="BO50" s="21">
        <v>1</v>
      </c>
      <c r="BP50" s="21">
        <v>0</v>
      </c>
      <c r="BQ50" s="21">
        <v>100</v>
      </c>
      <c r="BR50" s="21">
        <v>200</v>
      </c>
      <c r="BS50" s="21">
        <v>0</v>
      </c>
      <c r="BT50" s="21">
        <v>24</v>
      </c>
      <c r="BU50" s="21">
        <v>100</v>
      </c>
      <c r="BV50" s="21">
        <v>12</v>
      </c>
      <c r="BW50" s="21">
        <v>0</v>
      </c>
      <c r="BX50" s="21">
        <v>20</v>
      </c>
      <c r="BY50" s="21">
        <v>0</v>
      </c>
      <c r="BZ50" s="21" t="str">
        <v>125115</v>
      </c>
      <c r="CA50" s="21" t="str">
        <v>17.2</v>
      </c>
      <c r="CB50" s="21" t="str">
        <v>37.3</v>
      </c>
      <c r="CC50" s="21" t="str">
        <v>57.5</v>
      </c>
      <c r="CD50" s="21">
        <v>6</v>
      </c>
      <c r="CF50">
        <f t="shared" si="14"/>
        <v>400</v>
      </c>
      <c r="CG50" t="str">
        <v>D</v>
      </c>
      <c r="CH50" t="str">
        <v>LL</v>
      </c>
      <c r="CI50" t="str">
        <v>X</v>
      </c>
      <c r="CJ50" t="str">
        <v>SS</v>
      </c>
      <c r="CK50" t="str">
        <v>X</v>
      </c>
      <c r="CL50" t="str">
        <v>CL00</v>
      </c>
      <c r="CM50" t="str">
        <v>ST</v>
      </c>
      <c r="CN50" t="str">
        <f t="shared" si="15"/>
        <v>D_LL_X_SS_X_CL00_ST</v>
      </c>
      <c r="CO50" t="str">
        <v>EUC-VMXM00F-400-400-0-0</v>
      </c>
      <c r="CQ50" t="str">
        <f t="shared" si="16"/>
        <v>PARA 400 400 407 407 ATT ATT 0 0 48.87 364 407 570 70 10 18 0 150.5 0 0 0 0 0 0 0 0 0 0 0 0 200 303 400 12 20 0 0 0 0 0 0 0 0 0 0 0 0 0 0 0 0 0 0 0 0 0 0 0 0 0 12 100 100 1 0 100 200 0 24 100 12 0 20 0 125115 17.2 37.3 57.5 6</v>
      </c>
      <c r="CR50" t="str">
        <f t="shared" si="17"/>
        <v>/EUC-VMXM00F-400-400-0-0</v>
      </c>
      <c r="CT50">
        <f>COUNTIF(Codes!$A$3:$A$35,CATA!CN50)</f>
        <v>1</v>
      </c>
      <c r="CU50" t="str">
        <f t="shared" si="18"/>
        <v>/EuC-CATA-SUPP/COMMON/D_LL_X_SS_X_CL00_ST-GMSE</v>
      </c>
      <c r="CV50" t="str">
        <f t="shared" si="18"/>
        <v>/EuC-CATA-SUPP/COMMON/D_LL_X_SS_X_CL00_ST-PTSE</v>
      </c>
      <c r="CW50" t="str">
        <f>IF(VLOOKUP(CN50,Codes!$A$3:$C$35,3,FALSE)=0,CF50,"OK")</f>
        <v>OK</v>
      </c>
    </row>
    <row r="51" spans="2:101">
      <c r="B51" s="70">
        <v>450</v>
      </c>
      <c r="C51" s="71"/>
      <c r="D51" s="71"/>
      <c r="E51" s="70">
        <v>450</v>
      </c>
      <c r="F51" s="70">
        <v>450</v>
      </c>
      <c r="G51" s="70">
        <v>456</v>
      </c>
      <c r="H51" s="70">
        <v>456</v>
      </c>
      <c r="I51" s="70" t="str">
        <v>ATT</v>
      </c>
      <c r="J51" s="70" t="str">
        <v>ATT</v>
      </c>
      <c r="K51" s="70">
        <v>0</v>
      </c>
      <c r="L51" s="70">
        <v>0</v>
      </c>
      <c r="M51" s="70" t="str">
        <v>1.87</v>
      </c>
      <c r="N51" s="70" t="str">
        <v>0</v>
      </c>
      <c r="O51" s="70">
        <v>456</v>
      </c>
      <c r="P51" s="70">
        <v>620</v>
      </c>
      <c r="Q51" s="70">
        <v>70</v>
      </c>
      <c r="R51" s="70">
        <v>10</v>
      </c>
      <c r="S51" s="70">
        <v>18</v>
      </c>
      <c r="T51" s="70">
        <v>0</v>
      </c>
      <c r="U51" s="70" t="str">
        <v>-238</v>
      </c>
      <c r="V51" s="70">
        <v>0</v>
      </c>
      <c r="W51" s="70">
        <v>0</v>
      </c>
      <c r="X51" s="70">
        <v>0</v>
      </c>
      <c r="Y51" s="70">
        <v>0</v>
      </c>
      <c r="Z51" s="70">
        <v>0</v>
      </c>
      <c r="AA51" s="70">
        <v>0</v>
      </c>
      <c r="AB51" s="70">
        <v>0</v>
      </c>
      <c r="AC51" s="70">
        <v>0</v>
      </c>
      <c r="AD51" s="70">
        <v>0</v>
      </c>
      <c r="AE51" s="70">
        <v>0</v>
      </c>
      <c r="AF51" s="70">
        <v>0</v>
      </c>
      <c r="AG51" s="70">
        <v>0</v>
      </c>
      <c r="AH51" s="70">
        <v>200</v>
      </c>
      <c r="AI51" s="70">
        <v>0</v>
      </c>
      <c r="AJ51" s="70">
        <v>400</v>
      </c>
      <c r="AK51" s="70">
        <v>12</v>
      </c>
      <c r="AL51" s="70">
        <v>20</v>
      </c>
      <c r="AM51" s="70">
        <v>0</v>
      </c>
      <c r="AN51" s="70">
        <v>0</v>
      </c>
      <c r="AO51" s="70">
        <v>0</v>
      </c>
      <c r="AP51" s="70">
        <v>0</v>
      </c>
      <c r="AQ51" s="70">
        <v>0</v>
      </c>
      <c r="AR51" s="70">
        <v>0</v>
      </c>
      <c r="AS51" s="70">
        <v>0</v>
      </c>
      <c r="AT51" s="70">
        <v>0</v>
      </c>
      <c r="AU51" s="70">
        <v>0</v>
      </c>
      <c r="AV51" s="70">
        <v>0</v>
      </c>
      <c r="AW51" s="70">
        <v>0</v>
      </c>
      <c r="AX51" s="70">
        <v>0</v>
      </c>
      <c r="AY51" s="70">
        <v>0</v>
      </c>
      <c r="AZ51" s="70">
        <v>0</v>
      </c>
      <c r="BA51" s="70">
        <v>0</v>
      </c>
      <c r="BB51" s="70">
        <v>0</v>
      </c>
      <c r="BC51" s="70">
        <v>0</v>
      </c>
      <c r="BD51" s="70">
        <v>0</v>
      </c>
      <c r="BE51" s="70">
        <v>0</v>
      </c>
      <c r="BF51" s="70">
        <v>0</v>
      </c>
      <c r="BG51" s="70">
        <v>0</v>
      </c>
      <c r="BH51" s="70">
        <v>0</v>
      </c>
      <c r="BI51" s="70">
        <v>0</v>
      </c>
      <c r="BJ51" s="70">
        <v>0</v>
      </c>
      <c r="BK51" s="70">
        <v>0</v>
      </c>
      <c r="BL51" s="70">
        <v>12</v>
      </c>
      <c r="BM51" s="70">
        <v>100</v>
      </c>
      <c r="BN51" s="70">
        <v>100</v>
      </c>
      <c r="BO51" s="70">
        <v>1</v>
      </c>
      <c r="BP51" s="70">
        <v>0</v>
      </c>
      <c r="BQ51" s="70">
        <v>100</v>
      </c>
      <c r="BR51" s="70">
        <v>200</v>
      </c>
      <c r="BS51" s="70">
        <v>0</v>
      </c>
      <c r="BT51" s="70">
        <v>24</v>
      </c>
      <c r="BU51" s="70">
        <v>100</v>
      </c>
      <c r="BV51" s="70">
        <v>12</v>
      </c>
      <c r="BW51" s="70">
        <v>0</v>
      </c>
      <c r="BX51" s="70">
        <v>20</v>
      </c>
      <c r="BY51" s="70">
        <v>0</v>
      </c>
      <c r="BZ51" s="70" t="str">
        <v/>
      </c>
      <c r="CA51" s="70" t="str">
        <v>0</v>
      </c>
      <c r="CB51" s="70" t="str">
        <v>0</v>
      </c>
      <c r="CC51" s="70" t="str">
        <v>0</v>
      </c>
      <c r="CD51" s="70">
        <v>6</v>
      </c>
      <c r="CE51" s="71"/>
      <c r="CF51" s="71">
        <f t="shared" si="14"/>
        <v>450</v>
      </c>
      <c r="CG51" s="71" t="str">
        <v>D</v>
      </c>
      <c r="CH51" s="71" t="str">
        <v>LL</v>
      </c>
      <c r="CI51" s="71" t="str">
        <v>X</v>
      </c>
      <c r="CJ51" s="71" t="str">
        <v>SS</v>
      </c>
      <c r="CK51" s="71" t="str">
        <v>X</v>
      </c>
      <c r="CL51" s="71" t="str">
        <v>CL00</v>
      </c>
      <c r="CM51" s="71" t="str">
        <v>ST</v>
      </c>
      <c r="CN51" s="71" t="str">
        <f t="shared" si="15"/>
        <v>D_LL_X_SS_X_CL00_ST</v>
      </c>
      <c r="CO51" s="71" t="str">
        <v>EUC-VMXM00F-450-450-0-0</v>
      </c>
      <c r="CP51" s="71"/>
      <c r="CQ51" s="71" t="str">
        <f t="shared" si="16"/>
        <v>PARA 450 450 456 456 ATT ATT 0 0 1.87 0 456 620 70 10 18 0 -238 0 0 0 0 0 0 0 0 0 0 0 0 200 0 400 12 20 0 0 0 0 0 0 0 0 0 0 0 0 0 0 0 0 0 0 0 0 0 0 0 0 0 12 100 100 1 0 100 200 0 24 100 12 0 20 0  0 0 0 6</v>
      </c>
      <c r="CR51" t="str">
        <f t="shared" si="17"/>
        <v>/EUC-VMXM00F-450-450-0-0</v>
      </c>
      <c r="CT51">
        <f>COUNTIF(Codes!$A$3:$A$35,CATA!CN51)</f>
        <v>1</v>
      </c>
      <c r="CU51" t="str">
        <f t="shared" si="18"/>
        <v>/EuC-CATA-SUPP/COMMON/D_LL_X_SS_X_CL00_ST-GMSE</v>
      </c>
      <c r="CV51" t="str">
        <f t="shared" si="18"/>
        <v>/EuC-CATA-SUPP/COMMON/D_LL_X_SS_X_CL00_ST-PTSE</v>
      </c>
      <c r="CW51" t="str">
        <f>IF(VLOOKUP(CN51,Codes!$A$3:$C$35,3,FALSE)=0,CF51,"OK")</f>
        <v>OK</v>
      </c>
    </row>
    <row r="52" spans="2:101">
      <c r="B52" s="21">
        <v>500</v>
      </c>
      <c r="E52" s="21">
        <v>500</v>
      </c>
      <c r="F52" s="21">
        <v>500</v>
      </c>
      <c r="G52" s="21">
        <v>508</v>
      </c>
      <c r="H52" s="21">
        <v>508</v>
      </c>
      <c r="I52" s="21" t="str">
        <v>ATT</v>
      </c>
      <c r="J52" s="21" t="str">
        <v>ATT</v>
      </c>
      <c r="K52" s="21">
        <v>0</v>
      </c>
      <c r="L52" s="21">
        <v>0</v>
      </c>
      <c r="M52" s="21" t="str">
        <v>52.87</v>
      </c>
      <c r="N52" s="21" t="str">
        <v>414</v>
      </c>
      <c r="O52" s="21">
        <v>508</v>
      </c>
      <c r="P52" s="21">
        <v>686</v>
      </c>
      <c r="Q52" s="21">
        <v>70</v>
      </c>
      <c r="R52" s="21">
        <v>10</v>
      </c>
      <c r="S52" s="21">
        <v>18</v>
      </c>
      <c r="T52" s="21">
        <v>0</v>
      </c>
      <c r="U52" s="21" t="str">
        <v>150</v>
      </c>
      <c r="V52" s="21">
        <v>0</v>
      </c>
      <c r="W52" s="21">
        <v>0</v>
      </c>
      <c r="X52" s="21">
        <v>0</v>
      </c>
      <c r="Y52" s="21">
        <v>0</v>
      </c>
      <c r="Z52" s="21">
        <v>0</v>
      </c>
      <c r="AA52" s="21">
        <v>0</v>
      </c>
      <c r="AB52" s="21">
        <v>0</v>
      </c>
      <c r="AC52" s="21">
        <v>0</v>
      </c>
      <c r="AD52" s="21">
        <v>0</v>
      </c>
      <c r="AE52" s="21">
        <v>0</v>
      </c>
      <c r="AF52" s="21">
        <v>0</v>
      </c>
      <c r="AG52" s="21">
        <v>0</v>
      </c>
      <c r="AH52" s="21">
        <v>200</v>
      </c>
      <c r="AI52" s="21">
        <v>342</v>
      </c>
      <c r="AJ52" s="21">
        <v>400</v>
      </c>
      <c r="AK52" s="21">
        <v>12</v>
      </c>
      <c r="AL52" s="21">
        <v>10</v>
      </c>
      <c r="AM52" s="21">
        <v>0</v>
      </c>
      <c r="AN52" s="21">
        <v>0</v>
      </c>
      <c r="AO52" s="21">
        <v>0</v>
      </c>
      <c r="AP52" s="21">
        <v>0</v>
      </c>
      <c r="AQ52" s="21">
        <v>0</v>
      </c>
      <c r="AR52" s="21">
        <v>0</v>
      </c>
      <c r="AS52" s="21">
        <v>0</v>
      </c>
      <c r="AT52" s="21">
        <v>0</v>
      </c>
      <c r="AU52" s="21">
        <v>0</v>
      </c>
      <c r="AV52" s="21">
        <v>0</v>
      </c>
      <c r="AW52" s="21">
        <v>0</v>
      </c>
      <c r="AX52" s="21">
        <v>0</v>
      </c>
      <c r="AY52" s="21">
        <v>0</v>
      </c>
      <c r="AZ52" s="21">
        <v>0</v>
      </c>
      <c r="BA52" s="21">
        <v>0</v>
      </c>
      <c r="BB52" s="21">
        <v>0</v>
      </c>
      <c r="BC52" s="21">
        <v>0</v>
      </c>
      <c r="BD52" s="21">
        <v>0</v>
      </c>
      <c r="BE52" s="21">
        <v>0</v>
      </c>
      <c r="BF52" s="21">
        <v>0</v>
      </c>
      <c r="BG52" s="21">
        <v>0</v>
      </c>
      <c r="BH52" s="21">
        <v>0</v>
      </c>
      <c r="BI52" s="21">
        <v>0</v>
      </c>
      <c r="BJ52" s="21">
        <v>0</v>
      </c>
      <c r="BK52" s="21">
        <v>0</v>
      </c>
      <c r="BL52" s="21">
        <v>12</v>
      </c>
      <c r="BM52" s="21">
        <v>100</v>
      </c>
      <c r="BN52" s="21">
        <v>100</v>
      </c>
      <c r="BO52" s="21">
        <v>1</v>
      </c>
      <c r="BP52" s="21">
        <v>0</v>
      </c>
      <c r="BQ52" s="21">
        <v>100</v>
      </c>
      <c r="BR52" s="21">
        <v>200</v>
      </c>
      <c r="BS52" s="21">
        <v>0</v>
      </c>
      <c r="BT52" s="21">
        <v>24</v>
      </c>
      <c r="BU52" s="21">
        <v>100</v>
      </c>
      <c r="BV52" s="21">
        <v>12</v>
      </c>
      <c r="BW52" s="21">
        <v>0</v>
      </c>
      <c r="BX52" s="21">
        <v>20</v>
      </c>
      <c r="BY52" s="21">
        <v>0</v>
      </c>
      <c r="BZ52" s="21" t="str">
        <v>125116</v>
      </c>
      <c r="CA52" s="21" t="str">
        <v>22.6</v>
      </c>
      <c r="CB52" s="21" t="str">
        <v>46.6</v>
      </c>
      <c r="CC52" s="21" t="str">
        <v>75.4</v>
      </c>
      <c r="CD52" s="21">
        <v>6</v>
      </c>
      <c r="CF52">
        <f t="shared" si="14"/>
        <v>500</v>
      </c>
      <c r="CG52" t="str">
        <v>D</v>
      </c>
      <c r="CH52" t="str">
        <v>LL</v>
      </c>
      <c r="CI52" t="str">
        <v>X</v>
      </c>
      <c r="CJ52" t="str">
        <v>SS</v>
      </c>
      <c r="CK52" t="str">
        <v>X</v>
      </c>
      <c r="CL52" t="str">
        <v>CL00</v>
      </c>
      <c r="CM52" t="str">
        <v>ST</v>
      </c>
      <c r="CN52" t="str">
        <f t="shared" si="15"/>
        <v>D_LL_X_SS_X_CL00_ST</v>
      </c>
      <c r="CO52" t="str">
        <v>EUC-VMXM00F-500-500-0-0</v>
      </c>
      <c r="CQ52" t="str">
        <f t="shared" si="16"/>
        <v>PARA 500 500 508 508 ATT ATT 0 0 52.87 414 508 686 70 10 18 0 150 0 0 0 0 0 0 0 0 0 0 0 0 200 342 400 12 10 0 0 0 0 0 0 0 0 0 0 0 0 0 0 0 0 0 0 0 0 0 0 0 0 0 12 100 100 1 0 100 200 0 24 100 12 0 20 0 125116 22.6 46.6 75.4 6</v>
      </c>
      <c r="CR52" t="str">
        <f t="shared" si="17"/>
        <v>/EUC-VMXM00F-500-500-0-0</v>
      </c>
      <c r="CT52">
        <f>COUNTIF(Codes!$A$3:$A$35,CATA!CN52)</f>
        <v>1</v>
      </c>
      <c r="CU52" t="str">
        <f t="shared" si="18"/>
        <v>/EuC-CATA-SUPP/COMMON/D_LL_X_SS_X_CL00_ST-GMSE</v>
      </c>
      <c r="CV52" t="str">
        <f t="shared" si="18"/>
        <v>/EuC-CATA-SUPP/COMMON/D_LL_X_SS_X_CL00_ST-PTSE</v>
      </c>
      <c r="CW52" t="str">
        <f>IF(VLOOKUP(CN52,Codes!$A$3:$C$35,3,FALSE)=0,CF52,"OK")</f>
        <v>OK</v>
      </c>
    </row>
    <row r="53" spans="2:101">
      <c r="B53" s="21">
        <v>600</v>
      </c>
      <c r="E53" s="21">
        <v>600</v>
      </c>
      <c r="F53" s="21">
        <v>600</v>
      </c>
      <c r="G53" s="21">
        <v>610</v>
      </c>
      <c r="H53" s="21">
        <v>610</v>
      </c>
      <c r="I53" s="21" t="str">
        <v>ATT</v>
      </c>
      <c r="J53" s="21" t="str">
        <v>ATT</v>
      </c>
      <c r="K53" s="21">
        <v>0</v>
      </c>
      <c r="L53" s="21">
        <v>0</v>
      </c>
      <c r="M53" s="21" t="str">
        <v>90.81</v>
      </c>
      <c r="N53" s="21" t="str">
        <v>465</v>
      </c>
      <c r="O53" s="21">
        <v>610</v>
      </c>
      <c r="P53" s="21">
        <v>760</v>
      </c>
      <c r="Q53" s="21">
        <v>120</v>
      </c>
      <c r="R53" s="21">
        <v>10</v>
      </c>
      <c r="S53" s="21">
        <v>20</v>
      </c>
      <c r="T53" s="21">
        <v>0</v>
      </c>
      <c r="U53" s="21" t="str">
        <v>150</v>
      </c>
      <c r="V53" s="21">
        <v>0</v>
      </c>
      <c r="W53" s="21">
        <v>0</v>
      </c>
      <c r="X53" s="21">
        <v>0</v>
      </c>
      <c r="Y53" s="21">
        <v>0</v>
      </c>
      <c r="Z53" s="21">
        <v>0</v>
      </c>
      <c r="AA53" s="21">
        <v>0</v>
      </c>
      <c r="AB53" s="21">
        <v>120</v>
      </c>
      <c r="AC53" s="21">
        <v>40</v>
      </c>
      <c r="AD53" s="21">
        <v>7</v>
      </c>
      <c r="AE53" s="21">
        <v>150</v>
      </c>
      <c r="AF53" s="21">
        <v>0</v>
      </c>
      <c r="AG53" s="21">
        <v>0</v>
      </c>
      <c r="AH53" s="21">
        <v>200</v>
      </c>
      <c r="AI53" s="21">
        <v>378</v>
      </c>
      <c r="AJ53" s="21">
        <v>500</v>
      </c>
      <c r="AK53" s="21">
        <v>12</v>
      </c>
      <c r="AL53" s="21">
        <v>20</v>
      </c>
      <c r="AM53" s="21">
        <v>0</v>
      </c>
      <c r="AN53" s="21">
        <v>0</v>
      </c>
      <c r="AO53" s="21">
        <v>0</v>
      </c>
      <c r="AP53" s="21">
        <v>0</v>
      </c>
      <c r="AQ53" s="21">
        <v>0</v>
      </c>
      <c r="AR53" s="21">
        <v>0</v>
      </c>
      <c r="AS53" s="21">
        <v>0</v>
      </c>
      <c r="AT53" s="21">
        <v>0</v>
      </c>
      <c r="AU53" s="21">
        <v>0</v>
      </c>
      <c r="AV53" s="21">
        <v>0</v>
      </c>
      <c r="AW53" s="21">
        <v>0</v>
      </c>
      <c r="AX53" s="21">
        <v>0</v>
      </c>
      <c r="AY53" s="21">
        <v>0</v>
      </c>
      <c r="AZ53" s="21">
        <v>0</v>
      </c>
      <c r="BA53" s="21">
        <v>0</v>
      </c>
      <c r="BB53" s="21">
        <v>0</v>
      </c>
      <c r="BC53" s="21">
        <v>0</v>
      </c>
      <c r="BD53" s="21">
        <v>0</v>
      </c>
      <c r="BE53" s="21">
        <v>0</v>
      </c>
      <c r="BF53" s="21">
        <v>0</v>
      </c>
      <c r="BG53" s="21">
        <v>0</v>
      </c>
      <c r="BH53" s="21">
        <v>0</v>
      </c>
      <c r="BI53" s="21">
        <v>0</v>
      </c>
      <c r="BJ53" s="21">
        <v>0</v>
      </c>
      <c r="BK53" s="21">
        <v>0</v>
      </c>
      <c r="BL53" s="21">
        <v>12</v>
      </c>
      <c r="BM53" s="21">
        <v>150</v>
      </c>
      <c r="BN53" s="21">
        <v>100</v>
      </c>
      <c r="BO53" s="21">
        <v>1</v>
      </c>
      <c r="BP53" s="21">
        <v>0</v>
      </c>
      <c r="BQ53" s="21">
        <v>150</v>
      </c>
      <c r="BR53" s="21">
        <v>200</v>
      </c>
      <c r="BS53" s="21">
        <v>0</v>
      </c>
      <c r="BT53" s="21">
        <v>24</v>
      </c>
      <c r="BU53" s="21">
        <v>100</v>
      </c>
      <c r="BV53" s="21">
        <v>12</v>
      </c>
      <c r="BW53" s="21">
        <v>0</v>
      </c>
      <c r="BX53" s="21">
        <v>20</v>
      </c>
      <c r="BY53" s="21">
        <v>0</v>
      </c>
      <c r="BZ53" s="21" t="str">
        <v>125117</v>
      </c>
      <c r="CA53" s="21" t="str">
        <v>29.7</v>
      </c>
      <c r="CB53" s="21" t="str">
        <v>50</v>
      </c>
      <c r="CC53" s="21" t="str">
        <v>99.1</v>
      </c>
      <c r="CD53" s="21">
        <v>6</v>
      </c>
      <c r="CF53">
        <f t="shared" si="14"/>
        <v>600</v>
      </c>
      <c r="CG53" t="str">
        <v>DC</v>
      </c>
      <c r="CH53" t="str">
        <v>LL</v>
      </c>
      <c r="CI53" t="str">
        <v>X</v>
      </c>
      <c r="CJ53" t="str">
        <v>SS</v>
      </c>
      <c r="CK53" t="str">
        <v>X</v>
      </c>
      <c r="CL53" t="str">
        <v>CL00</v>
      </c>
      <c r="CM53" t="str">
        <v>ST</v>
      </c>
      <c r="CN53" t="str">
        <f t="shared" si="15"/>
        <v>DC_LL_X_SS_X_CL00_ST</v>
      </c>
      <c r="CO53" t="str">
        <v>EUC-VMXM00F-600-600-0-0</v>
      </c>
      <c r="CQ53" t="str">
        <f t="shared" si="16"/>
        <v>PARA 600 600 610 610 ATT ATT 0 0 90.81 465 610 760 120 10 20 0 150 0 0 0 0 0 0 120 40 7 150 0 0 200 378 500 12 20 0 0 0 0 0 0 0 0 0 0 0 0 0 0 0 0 0 0 0 0 0 0 0 0 0 12 150 100 1 0 150 200 0 24 100 12 0 20 0 125117 29.7 50 99.1 6</v>
      </c>
      <c r="CR53" t="str">
        <f t="shared" si="17"/>
        <v>/EUC-VMXM00F-600-600-0-0</v>
      </c>
      <c r="CT53">
        <f>COUNTIF(Codes!$A$3:$A$35,CATA!CN53)</f>
        <v>1</v>
      </c>
      <c r="CU53" t="str">
        <f t="shared" si="18"/>
        <v>/EuC-CATA-SUPP/COMMON/DC_LL_X_SS_X_CL00_ST-GMSE</v>
      </c>
      <c r="CV53" t="str">
        <f t="shared" si="18"/>
        <v>/EuC-CATA-SUPP/COMMON/DC_LL_X_SS_X_CL00_ST-PTSE</v>
      </c>
      <c r="CW53" t="str">
        <f>IF(VLOOKUP(CN53,Codes!$A$3:$C$35,3,FALSE)=0,CF53,"OK")</f>
        <v>OK</v>
      </c>
    </row>
    <row r="54" spans="2:101">
      <c r="B54" s="21">
        <v>700</v>
      </c>
      <c r="E54" s="21">
        <v>700</v>
      </c>
      <c r="F54" s="21">
        <v>700</v>
      </c>
      <c r="G54" s="21">
        <v>711</v>
      </c>
      <c r="H54" s="21">
        <v>711</v>
      </c>
      <c r="I54" s="21" t="str">
        <v>ATT</v>
      </c>
      <c r="J54" s="21" t="str">
        <v>ATT</v>
      </c>
      <c r="K54" s="21">
        <v>0</v>
      </c>
      <c r="L54" s="21">
        <v>0</v>
      </c>
      <c r="M54" s="21" t="str">
        <v>96.81</v>
      </c>
      <c r="N54" s="21" t="str">
        <v>515.5</v>
      </c>
      <c r="O54" s="21">
        <v>711</v>
      </c>
      <c r="P54" s="21">
        <v>865</v>
      </c>
      <c r="Q54" s="21">
        <v>120</v>
      </c>
      <c r="R54" s="21">
        <v>10</v>
      </c>
      <c r="S54" s="21">
        <v>20</v>
      </c>
      <c r="T54" s="21">
        <v>0</v>
      </c>
      <c r="U54" s="21" t="str">
        <v>150</v>
      </c>
      <c r="V54" s="21">
        <v>0</v>
      </c>
      <c r="W54" s="21">
        <v>0</v>
      </c>
      <c r="X54" s="21">
        <v>0</v>
      </c>
      <c r="Y54" s="21">
        <v>0</v>
      </c>
      <c r="Z54" s="21">
        <v>0</v>
      </c>
      <c r="AA54" s="21">
        <v>0</v>
      </c>
      <c r="AB54" s="21">
        <v>120</v>
      </c>
      <c r="AC54" s="21">
        <v>40</v>
      </c>
      <c r="AD54" s="21">
        <v>7</v>
      </c>
      <c r="AE54" s="21">
        <v>150</v>
      </c>
      <c r="AF54" s="21">
        <v>0</v>
      </c>
      <c r="AG54" s="21">
        <v>0</v>
      </c>
      <c r="AH54" s="21">
        <v>200</v>
      </c>
      <c r="AI54" s="21">
        <v>412</v>
      </c>
      <c r="AJ54" s="21">
        <v>500</v>
      </c>
      <c r="AK54" s="21">
        <v>12</v>
      </c>
      <c r="AL54" s="21">
        <v>20</v>
      </c>
      <c r="AM54" s="21">
        <v>0</v>
      </c>
      <c r="AN54" s="21">
        <v>0</v>
      </c>
      <c r="AO54" s="21">
        <v>0</v>
      </c>
      <c r="AP54" s="21">
        <v>0</v>
      </c>
      <c r="AQ54" s="21">
        <v>0</v>
      </c>
      <c r="AR54" s="21">
        <v>0</v>
      </c>
      <c r="AS54" s="21">
        <v>0</v>
      </c>
      <c r="AT54" s="21">
        <v>0</v>
      </c>
      <c r="AU54" s="21">
        <v>0</v>
      </c>
      <c r="AV54" s="21">
        <v>0</v>
      </c>
      <c r="AW54" s="21">
        <v>0</v>
      </c>
      <c r="AX54" s="21">
        <v>0</v>
      </c>
      <c r="AY54" s="21">
        <v>0</v>
      </c>
      <c r="AZ54" s="21">
        <v>0</v>
      </c>
      <c r="BA54" s="21">
        <v>0</v>
      </c>
      <c r="BB54" s="21">
        <v>0</v>
      </c>
      <c r="BC54" s="21">
        <v>0</v>
      </c>
      <c r="BD54" s="21">
        <v>0</v>
      </c>
      <c r="BE54" s="21">
        <v>0</v>
      </c>
      <c r="BF54" s="21">
        <v>0</v>
      </c>
      <c r="BG54" s="21">
        <v>0</v>
      </c>
      <c r="BH54" s="21">
        <v>0</v>
      </c>
      <c r="BI54" s="21">
        <v>0</v>
      </c>
      <c r="BJ54" s="21">
        <v>0</v>
      </c>
      <c r="BK54" s="21">
        <v>0</v>
      </c>
      <c r="BL54" s="21">
        <v>12</v>
      </c>
      <c r="BM54" s="21">
        <v>150</v>
      </c>
      <c r="BN54" s="21">
        <v>100</v>
      </c>
      <c r="BO54" s="21">
        <v>1</v>
      </c>
      <c r="BP54" s="21">
        <v>0</v>
      </c>
      <c r="BQ54" s="21">
        <v>150</v>
      </c>
      <c r="BR54" s="21">
        <v>200</v>
      </c>
      <c r="BS54" s="21">
        <v>0</v>
      </c>
      <c r="BT54" s="21">
        <v>24</v>
      </c>
      <c r="BU54" s="21">
        <v>100</v>
      </c>
      <c r="BV54" s="21">
        <v>12</v>
      </c>
      <c r="BW54" s="21">
        <v>0</v>
      </c>
      <c r="BX54" s="21">
        <v>20</v>
      </c>
      <c r="BY54" s="21">
        <v>0</v>
      </c>
      <c r="BZ54" s="21" t="str">
        <v>125118</v>
      </c>
      <c r="CA54" s="21" t="str">
        <v>36.2</v>
      </c>
      <c r="CB54" s="21" t="str">
        <v>50</v>
      </c>
      <c r="CC54" s="21" t="str">
        <v>120.6</v>
      </c>
      <c r="CD54" s="21">
        <v>6</v>
      </c>
      <c r="CF54">
        <f t="shared" si="14"/>
        <v>700</v>
      </c>
      <c r="CG54" t="str">
        <v>DC</v>
      </c>
      <c r="CH54" t="str">
        <v>LL</v>
      </c>
      <c r="CI54" t="str">
        <v>X</v>
      </c>
      <c r="CJ54" t="str">
        <v>SS</v>
      </c>
      <c r="CK54" t="str">
        <v>X</v>
      </c>
      <c r="CL54" t="str">
        <v>CL00</v>
      </c>
      <c r="CM54" t="str">
        <v>ST</v>
      </c>
      <c r="CN54" t="str">
        <f t="shared" si="15"/>
        <v>DC_LL_X_SS_X_CL00_ST</v>
      </c>
      <c r="CO54" t="str">
        <v>EUC-VMXM00F-700-700-0-0</v>
      </c>
      <c r="CQ54" t="str">
        <f t="shared" si="16"/>
        <v>PARA 700 700 711 711 ATT ATT 0 0 96.81 515.5 711 865 120 10 20 0 150 0 0 0 0 0 0 120 40 7 150 0 0 200 412 500 12 20 0 0 0 0 0 0 0 0 0 0 0 0 0 0 0 0 0 0 0 0 0 0 0 0 0 12 150 100 1 0 150 200 0 24 100 12 0 20 0 125118 36.2 50 120.6 6</v>
      </c>
      <c r="CR54" t="str">
        <f t="shared" si="17"/>
        <v>/EUC-VMXM00F-700-700-0-0</v>
      </c>
      <c r="CT54">
        <f>COUNTIF(Codes!$A$3:$A$35,CATA!CN54)</f>
        <v>1</v>
      </c>
      <c r="CU54" t="str">
        <f t="shared" si="18"/>
        <v>/EuC-CATA-SUPP/COMMON/DC_LL_X_SS_X_CL00_ST-GMSE</v>
      </c>
      <c r="CV54" t="str">
        <f t="shared" si="18"/>
        <v>/EuC-CATA-SUPP/COMMON/DC_LL_X_SS_X_CL00_ST-PTSE</v>
      </c>
      <c r="CW54" t="str">
        <f>IF(VLOOKUP(CN54,Codes!$A$3:$C$35,3,FALSE)=0,CF54,"OK")</f>
        <v>OK</v>
      </c>
    </row>
    <row r="55" spans="2:101">
      <c r="B55" s="21">
        <v>800</v>
      </c>
      <c r="E55" s="21">
        <v>800</v>
      </c>
      <c r="F55" s="21">
        <v>800</v>
      </c>
      <c r="G55" s="21">
        <v>813</v>
      </c>
      <c r="H55" s="21">
        <v>813</v>
      </c>
      <c r="I55" s="21" t="str">
        <v>ATT</v>
      </c>
      <c r="J55" s="21" t="str">
        <v>ATT</v>
      </c>
      <c r="K55" s="21">
        <v>0</v>
      </c>
      <c r="L55" s="21">
        <v>0</v>
      </c>
      <c r="M55" s="21" t="str">
        <v>115.62</v>
      </c>
      <c r="N55" s="21" t="str">
        <v>566.5</v>
      </c>
      <c r="O55" s="21">
        <v>813</v>
      </c>
      <c r="P55" s="21">
        <v>965</v>
      </c>
      <c r="Q55" s="21">
        <v>120</v>
      </c>
      <c r="R55" s="21">
        <v>10</v>
      </c>
      <c r="S55" s="21">
        <v>20</v>
      </c>
      <c r="T55" s="21">
        <v>0</v>
      </c>
      <c r="U55" s="21" t="str">
        <v>150</v>
      </c>
      <c r="V55" s="21">
        <v>0</v>
      </c>
      <c r="W55" s="21">
        <v>0</v>
      </c>
      <c r="X55" s="21">
        <v>0</v>
      </c>
      <c r="Y55" s="21">
        <v>0</v>
      </c>
      <c r="Z55" s="21">
        <v>0</v>
      </c>
      <c r="AA55" s="21">
        <v>0</v>
      </c>
      <c r="AB55" s="21">
        <v>120</v>
      </c>
      <c r="AC55" s="21">
        <v>40</v>
      </c>
      <c r="AD55" s="21">
        <v>7</v>
      </c>
      <c r="AE55" s="21">
        <v>150</v>
      </c>
      <c r="AF55" s="21">
        <v>0</v>
      </c>
      <c r="AG55" s="21">
        <v>0</v>
      </c>
      <c r="AH55" s="21">
        <v>200</v>
      </c>
      <c r="AI55" s="21">
        <v>442</v>
      </c>
      <c r="AJ55" s="21">
        <v>500</v>
      </c>
      <c r="AK55" s="21">
        <v>12</v>
      </c>
      <c r="AL55" s="21">
        <v>20</v>
      </c>
      <c r="AM55" s="21">
        <v>0</v>
      </c>
      <c r="AN55" s="21">
        <v>0</v>
      </c>
      <c r="AO55" s="21">
        <v>0</v>
      </c>
      <c r="AP55" s="21">
        <v>0</v>
      </c>
      <c r="AQ55" s="21">
        <v>0</v>
      </c>
      <c r="AR55" s="21">
        <v>0</v>
      </c>
      <c r="AS55" s="21">
        <v>0</v>
      </c>
      <c r="AT55" s="21">
        <v>0</v>
      </c>
      <c r="AU55" s="21">
        <v>0</v>
      </c>
      <c r="AV55" s="21">
        <v>0</v>
      </c>
      <c r="AW55" s="21">
        <v>0</v>
      </c>
      <c r="AX55" s="21">
        <v>0</v>
      </c>
      <c r="AY55" s="21">
        <v>0</v>
      </c>
      <c r="AZ55" s="21">
        <v>0</v>
      </c>
      <c r="BA55" s="21">
        <v>0</v>
      </c>
      <c r="BB55" s="21">
        <v>0</v>
      </c>
      <c r="BC55" s="21">
        <v>0</v>
      </c>
      <c r="BD55" s="21">
        <v>0</v>
      </c>
      <c r="BE55" s="21">
        <v>0</v>
      </c>
      <c r="BF55" s="21">
        <v>0</v>
      </c>
      <c r="BG55" s="21">
        <v>0</v>
      </c>
      <c r="BH55" s="21">
        <v>0</v>
      </c>
      <c r="BI55" s="21">
        <v>0</v>
      </c>
      <c r="BJ55" s="21">
        <v>0</v>
      </c>
      <c r="BK55" s="21">
        <v>0</v>
      </c>
      <c r="BL55" s="21">
        <v>12</v>
      </c>
      <c r="BM55" s="21">
        <v>200</v>
      </c>
      <c r="BN55" s="21">
        <v>150</v>
      </c>
      <c r="BO55" s="21">
        <v>1</v>
      </c>
      <c r="BP55" s="21">
        <v>0</v>
      </c>
      <c r="BQ55" s="21">
        <v>150</v>
      </c>
      <c r="BR55" s="21">
        <v>200</v>
      </c>
      <c r="BS55" s="21">
        <v>0</v>
      </c>
      <c r="BT55" s="21">
        <v>24</v>
      </c>
      <c r="BU55" s="21">
        <v>100</v>
      </c>
      <c r="BV55" s="21">
        <v>12</v>
      </c>
      <c r="BW55" s="21">
        <v>0</v>
      </c>
      <c r="BX55" s="21">
        <v>20</v>
      </c>
      <c r="BY55" s="21">
        <v>0</v>
      </c>
      <c r="BZ55" s="21" t="str">
        <v>125119</v>
      </c>
      <c r="CA55" s="21" t="str">
        <v>43.3</v>
      </c>
      <c r="CB55" s="21" t="str">
        <v>50</v>
      </c>
      <c r="CC55" s="21" t="str">
        <v>144.2</v>
      </c>
      <c r="CD55" s="21">
        <v>6</v>
      </c>
      <c r="CF55">
        <f t="shared" si="14"/>
        <v>800</v>
      </c>
      <c r="CG55" t="str">
        <v>DC</v>
      </c>
      <c r="CH55" t="str">
        <v>LL</v>
      </c>
      <c r="CI55" t="str">
        <v>X</v>
      </c>
      <c r="CJ55" t="str">
        <v>SS</v>
      </c>
      <c r="CK55" t="str">
        <v>X</v>
      </c>
      <c r="CL55" t="str">
        <v>CL00</v>
      </c>
      <c r="CM55" t="str">
        <v>ST</v>
      </c>
      <c r="CN55" t="str">
        <f t="shared" si="15"/>
        <v>DC_LL_X_SS_X_CL00_ST</v>
      </c>
      <c r="CO55" t="str">
        <v>EUC-VMXM00F-800-800-0-0</v>
      </c>
      <c r="CQ55" t="str">
        <f t="shared" si="16"/>
        <v>PARA 800 800 813 813 ATT ATT 0 0 115.62 566.5 813 965 120 10 20 0 150 0 0 0 0 0 0 120 40 7 150 0 0 200 442 500 12 20 0 0 0 0 0 0 0 0 0 0 0 0 0 0 0 0 0 0 0 0 0 0 0 0 0 12 200 150 1 0 150 200 0 24 100 12 0 20 0 125119 43.3 50 144.2 6</v>
      </c>
      <c r="CR55" t="str">
        <f t="shared" si="17"/>
        <v>/EUC-VMXM00F-800-800-0-0</v>
      </c>
      <c r="CT55">
        <f>COUNTIF(Codes!$A$3:$A$35,CATA!CN55)</f>
        <v>1</v>
      </c>
      <c r="CU55" t="str">
        <f t="shared" si="18"/>
        <v>/EuC-CATA-SUPP/COMMON/DC_LL_X_SS_X_CL00_ST-GMSE</v>
      </c>
      <c r="CV55" t="str">
        <f t="shared" si="18"/>
        <v>/EuC-CATA-SUPP/COMMON/DC_LL_X_SS_X_CL00_ST-PTSE</v>
      </c>
      <c r="CW55" t="str">
        <f>IF(VLOOKUP(CN55,Codes!$A$3:$C$35,3,FALSE)=0,CF55,"OK")</f>
        <v>OK</v>
      </c>
    </row>
    <row r="56" spans="2:101">
      <c r="B56" s="21">
        <v>900</v>
      </c>
      <c r="E56" s="21">
        <v>900</v>
      </c>
      <c r="F56" s="21">
        <v>900</v>
      </c>
      <c r="G56" s="21">
        <v>915</v>
      </c>
      <c r="H56" s="21">
        <v>915</v>
      </c>
      <c r="I56" s="21" t="str">
        <v>ATT</v>
      </c>
      <c r="J56" s="21" t="str">
        <v>ATT</v>
      </c>
      <c r="K56" s="21">
        <v>0</v>
      </c>
      <c r="L56" s="21">
        <v>0</v>
      </c>
      <c r="M56" s="21" t="str">
        <v>115.62</v>
      </c>
      <c r="N56" s="21" t="str">
        <v>617</v>
      </c>
      <c r="O56" s="21">
        <v>915</v>
      </c>
      <c r="P56" s="21">
        <v>1070</v>
      </c>
      <c r="Q56" s="21">
        <v>120</v>
      </c>
      <c r="R56" s="21">
        <v>10</v>
      </c>
      <c r="S56" s="21">
        <v>20</v>
      </c>
      <c r="T56" s="21">
        <v>0</v>
      </c>
      <c r="U56" s="21" t="str">
        <v>149.5</v>
      </c>
      <c r="V56" s="21">
        <v>0</v>
      </c>
      <c r="W56" s="21">
        <v>0</v>
      </c>
      <c r="X56" s="21">
        <v>0</v>
      </c>
      <c r="Y56" s="21">
        <v>0</v>
      </c>
      <c r="Z56" s="21">
        <v>0</v>
      </c>
      <c r="AA56" s="21">
        <v>0</v>
      </c>
      <c r="AB56" s="21">
        <v>120</v>
      </c>
      <c r="AC56" s="21">
        <v>40</v>
      </c>
      <c r="AD56" s="21">
        <v>7</v>
      </c>
      <c r="AE56" s="21">
        <v>150</v>
      </c>
      <c r="AF56" s="21">
        <v>0</v>
      </c>
      <c r="AG56" s="21">
        <v>0</v>
      </c>
      <c r="AH56" s="21">
        <v>200</v>
      </c>
      <c r="AI56" s="21">
        <v>470</v>
      </c>
      <c r="AJ56" s="21">
        <v>500</v>
      </c>
      <c r="AK56" s="21">
        <v>12</v>
      </c>
      <c r="AL56" s="21">
        <v>20</v>
      </c>
      <c r="AM56" s="21">
        <v>0</v>
      </c>
      <c r="AN56" s="21">
        <v>0</v>
      </c>
      <c r="AO56" s="21">
        <v>0</v>
      </c>
      <c r="AP56" s="21">
        <v>0</v>
      </c>
      <c r="AQ56" s="21">
        <v>0</v>
      </c>
      <c r="AR56" s="21">
        <v>0</v>
      </c>
      <c r="AS56" s="21">
        <v>0</v>
      </c>
      <c r="AT56" s="21">
        <v>0</v>
      </c>
      <c r="AU56" s="21">
        <v>0</v>
      </c>
      <c r="AV56" s="21">
        <v>0</v>
      </c>
      <c r="AW56" s="21">
        <v>0</v>
      </c>
      <c r="AX56" s="21">
        <v>0</v>
      </c>
      <c r="AY56" s="21">
        <v>0</v>
      </c>
      <c r="AZ56" s="21">
        <v>0</v>
      </c>
      <c r="BA56" s="21">
        <v>0</v>
      </c>
      <c r="BB56" s="21">
        <v>0</v>
      </c>
      <c r="BC56" s="21">
        <v>0</v>
      </c>
      <c r="BD56" s="21">
        <v>0</v>
      </c>
      <c r="BE56" s="21">
        <v>0</v>
      </c>
      <c r="BF56" s="21">
        <v>0</v>
      </c>
      <c r="BG56" s="21">
        <v>0</v>
      </c>
      <c r="BH56" s="21">
        <v>0</v>
      </c>
      <c r="BI56" s="21">
        <v>0</v>
      </c>
      <c r="BJ56" s="21">
        <v>0</v>
      </c>
      <c r="BK56" s="21">
        <v>0</v>
      </c>
      <c r="BL56" s="21">
        <v>12</v>
      </c>
      <c r="BM56" s="21">
        <v>200</v>
      </c>
      <c r="BN56" s="21">
        <v>150</v>
      </c>
      <c r="BO56" s="21">
        <v>1</v>
      </c>
      <c r="BP56" s="21">
        <v>0</v>
      </c>
      <c r="BQ56" s="21">
        <v>150</v>
      </c>
      <c r="BR56" s="21">
        <v>200</v>
      </c>
      <c r="BS56" s="21">
        <v>0</v>
      </c>
      <c r="BT56" s="21">
        <v>24</v>
      </c>
      <c r="BU56" s="21">
        <v>100</v>
      </c>
      <c r="BV56" s="21">
        <v>12</v>
      </c>
      <c r="BW56" s="21">
        <v>0</v>
      </c>
      <c r="BX56" s="21">
        <v>20</v>
      </c>
      <c r="BY56" s="21">
        <v>0</v>
      </c>
      <c r="BZ56" s="21" t="str">
        <v>125141</v>
      </c>
      <c r="CA56" s="21" t="str">
        <v>51.2</v>
      </c>
      <c r="CB56" s="21" t="str">
        <v>50</v>
      </c>
      <c r="CC56" s="21" t="str">
        <v>170.8</v>
      </c>
      <c r="CD56" s="21">
        <v>6</v>
      </c>
      <c r="CF56">
        <f t="shared" si="14"/>
        <v>900</v>
      </c>
      <c r="CG56" t="str">
        <v>DC</v>
      </c>
      <c r="CH56" t="str">
        <v>LL</v>
      </c>
      <c r="CI56" t="str">
        <v>X</v>
      </c>
      <c r="CJ56" t="str">
        <v>SS</v>
      </c>
      <c r="CK56" t="str">
        <v>X</v>
      </c>
      <c r="CL56" t="str">
        <v>CL00</v>
      </c>
      <c r="CM56" t="str">
        <v>ST</v>
      </c>
      <c r="CN56" t="str">
        <f t="shared" si="15"/>
        <v>DC_LL_X_SS_X_CL00_ST</v>
      </c>
      <c r="CO56" t="str">
        <v>EUC-VMXM00F-900-900-0-0</v>
      </c>
      <c r="CQ56" t="str">
        <f t="shared" si="16"/>
        <v>PARA 900 900 915 915 ATT ATT 0 0 115.62 617 915 1070 120 10 20 0 149.5 0 0 0 0 0 0 120 40 7 150 0 0 200 470 500 12 20 0 0 0 0 0 0 0 0 0 0 0 0 0 0 0 0 0 0 0 0 0 0 0 0 0 12 200 150 1 0 150 200 0 24 100 12 0 20 0 125141 51.2 50 170.8 6</v>
      </c>
      <c r="CR56" t="str">
        <f t="shared" si="17"/>
        <v>/EUC-VMXM00F-900-900-0-0</v>
      </c>
      <c r="CT56">
        <f>COUNTIF(Codes!$A$3:$A$35,CATA!CN56)</f>
        <v>1</v>
      </c>
      <c r="CU56" t="str">
        <f t="shared" si="18"/>
        <v>/EuC-CATA-SUPP/COMMON/DC_LL_X_SS_X_CL00_ST-GMSE</v>
      </c>
      <c r="CV56" t="str">
        <f t="shared" si="18"/>
        <v>/EuC-CATA-SUPP/COMMON/DC_LL_X_SS_X_CL00_ST-PTSE</v>
      </c>
      <c r="CW56" t="str">
        <f>IF(VLOOKUP(CN56,Codes!$A$3:$C$35,3,FALSE)=0,CF56,"OK")</f>
        <v>OK</v>
      </c>
    </row>
    <row r="57" spans="2:101">
      <c r="B57" s="21">
        <v>1000</v>
      </c>
      <c r="E57" s="21">
        <v>1000</v>
      </c>
      <c r="F57" s="21">
        <v>1000</v>
      </c>
      <c r="G57" s="21">
        <v>1016</v>
      </c>
      <c r="H57" s="21">
        <v>1016</v>
      </c>
      <c r="I57" s="21" t="str">
        <v>ATT</v>
      </c>
      <c r="J57" s="21" t="str">
        <v>ATT</v>
      </c>
      <c r="K57" s="21">
        <v>0</v>
      </c>
      <c r="L57" s="21">
        <v>0</v>
      </c>
      <c r="M57" s="21" t="str">
        <v>125.62</v>
      </c>
      <c r="N57" s="21" t="str">
        <v>668</v>
      </c>
      <c r="O57" s="21">
        <v>1016</v>
      </c>
      <c r="P57" s="21">
        <v>1170</v>
      </c>
      <c r="Q57" s="21">
        <v>120</v>
      </c>
      <c r="R57" s="21">
        <v>10</v>
      </c>
      <c r="S57" s="21">
        <v>20</v>
      </c>
      <c r="T57" s="21">
        <v>0</v>
      </c>
      <c r="U57" s="21" t="str">
        <v>150</v>
      </c>
      <c r="V57" s="21">
        <v>0</v>
      </c>
      <c r="W57" s="21">
        <v>0</v>
      </c>
      <c r="X57" s="21">
        <v>0</v>
      </c>
      <c r="Y57" s="21">
        <v>0</v>
      </c>
      <c r="Z57" s="21">
        <v>0</v>
      </c>
      <c r="AA57" s="21">
        <v>0</v>
      </c>
      <c r="AB57" s="21">
        <v>120</v>
      </c>
      <c r="AC57" s="21">
        <v>40</v>
      </c>
      <c r="AD57" s="21">
        <v>7</v>
      </c>
      <c r="AE57" s="21">
        <v>150</v>
      </c>
      <c r="AF57" s="21">
        <v>0</v>
      </c>
      <c r="AG57" s="21">
        <v>0</v>
      </c>
      <c r="AH57" s="21">
        <v>200</v>
      </c>
      <c r="AI57" s="21">
        <v>496</v>
      </c>
      <c r="AJ57" s="21">
        <v>500</v>
      </c>
      <c r="AK57" s="21">
        <v>12</v>
      </c>
      <c r="AL57" s="21">
        <v>20</v>
      </c>
      <c r="AM57" s="21">
        <v>0</v>
      </c>
      <c r="AN57" s="21">
        <v>0</v>
      </c>
      <c r="AO57" s="21">
        <v>0</v>
      </c>
      <c r="AP57" s="21">
        <v>0</v>
      </c>
      <c r="AQ57" s="21">
        <v>0</v>
      </c>
      <c r="AR57" s="21">
        <v>0</v>
      </c>
      <c r="AS57" s="21">
        <v>0</v>
      </c>
      <c r="AT57" s="21">
        <v>0</v>
      </c>
      <c r="AU57" s="21">
        <v>0</v>
      </c>
      <c r="AV57" s="21">
        <v>0</v>
      </c>
      <c r="AW57" s="21">
        <v>0</v>
      </c>
      <c r="AX57" s="21">
        <v>0</v>
      </c>
      <c r="AY57" s="21">
        <v>0</v>
      </c>
      <c r="AZ57" s="21">
        <v>0</v>
      </c>
      <c r="BA57" s="21">
        <v>0</v>
      </c>
      <c r="BB57" s="21">
        <v>0</v>
      </c>
      <c r="BC57" s="21">
        <v>0</v>
      </c>
      <c r="BD57" s="21">
        <v>0</v>
      </c>
      <c r="BE57" s="21">
        <v>0</v>
      </c>
      <c r="BF57" s="21">
        <v>0</v>
      </c>
      <c r="BG57" s="21">
        <v>0</v>
      </c>
      <c r="BH57" s="21">
        <v>0</v>
      </c>
      <c r="BI57" s="21">
        <v>0</v>
      </c>
      <c r="BJ57" s="21">
        <v>0</v>
      </c>
      <c r="BK57" s="21">
        <v>0</v>
      </c>
      <c r="BL57" s="21">
        <v>12</v>
      </c>
      <c r="BM57" s="21">
        <v>200</v>
      </c>
      <c r="BN57" s="21">
        <v>150</v>
      </c>
      <c r="BO57" s="21">
        <v>1</v>
      </c>
      <c r="BP57" s="21">
        <v>0</v>
      </c>
      <c r="BQ57" s="21">
        <v>150</v>
      </c>
      <c r="BR57" s="21">
        <v>200</v>
      </c>
      <c r="BS57" s="21">
        <v>0</v>
      </c>
      <c r="BT57" s="21">
        <v>24</v>
      </c>
      <c r="BU57" s="21">
        <v>100</v>
      </c>
      <c r="BV57" s="21">
        <v>12</v>
      </c>
      <c r="BW57" s="21">
        <v>0</v>
      </c>
      <c r="BX57" s="21">
        <v>20</v>
      </c>
      <c r="BY57" s="21">
        <v>0</v>
      </c>
      <c r="BZ57" s="21" t="str">
        <v>125142</v>
      </c>
      <c r="CA57" s="21" t="str">
        <v>58.7</v>
      </c>
      <c r="CB57" s="21" t="str">
        <v>50</v>
      </c>
      <c r="CC57" s="21" t="str">
        <v>195.8</v>
      </c>
      <c r="CD57" s="21">
        <v>6</v>
      </c>
      <c r="CF57">
        <f t="shared" si="14"/>
        <v>1000</v>
      </c>
      <c r="CG57" t="str">
        <v>DC</v>
      </c>
      <c r="CH57" t="str">
        <v>LL</v>
      </c>
      <c r="CI57" t="str">
        <v>X</v>
      </c>
      <c r="CJ57" t="str">
        <v>SS</v>
      </c>
      <c r="CK57" t="str">
        <v>X</v>
      </c>
      <c r="CL57" t="str">
        <v>CL00</v>
      </c>
      <c r="CM57" t="str">
        <v>ST</v>
      </c>
      <c r="CN57" t="str">
        <f t="shared" si="15"/>
        <v>DC_LL_X_SS_X_CL00_ST</v>
      </c>
      <c r="CO57" t="str">
        <v>EUC-VMXM00F-1000-1000-0-0</v>
      </c>
      <c r="CQ57" t="str">
        <f t="shared" si="16"/>
        <v>PARA 1000 1000 1016 1016 ATT ATT 0 0 125.62 668 1016 1170 120 10 20 0 150 0 0 0 0 0 0 120 40 7 150 0 0 200 496 500 12 20 0 0 0 0 0 0 0 0 0 0 0 0 0 0 0 0 0 0 0 0 0 0 0 0 0 12 200 150 1 0 150 200 0 24 100 12 0 20 0 125142 58.7 50 195.8 6</v>
      </c>
      <c r="CR57" t="str">
        <f t="shared" si="17"/>
        <v>/EUC-VMXM00F-1000-1000-0-0</v>
      </c>
      <c r="CT57">
        <f>COUNTIF(Codes!$A$3:$A$35,CATA!CN57)</f>
        <v>1</v>
      </c>
      <c r="CU57" t="str">
        <f t="shared" si="18"/>
        <v>/EuC-CATA-SUPP/COMMON/DC_LL_X_SS_X_CL00_ST-GMSE</v>
      </c>
      <c r="CV57" t="str">
        <f t="shared" si="18"/>
        <v>/EuC-CATA-SUPP/COMMON/DC_LL_X_SS_X_CL00_ST-PTSE</v>
      </c>
      <c r="CW57" t="str">
        <f>IF(VLOOKUP(CN57,Codes!$A$3:$C$35,3,FALSE)=0,CF57,"OK")</f>
        <v>OK</v>
      </c>
    </row>
    <row r="58" spans="2:101">
      <c r="B58" s="13">
        <v>1200</v>
      </c>
      <c r="E58" s="14">
        <v>1200</v>
      </c>
      <c r="F58" s="14">
        <v>1200</v>
      </c>
      <c r="G58" s="14">
        <v>1220</v>
      </c>
      <c r="H58" s="14">
        <v>1220</v>
      </c>
      <c r="I58" s="14" t="str">
        <v>ATT</v>
      </c>
      <c r="J58" s="14" t="str">
        <v>ATT</v>
      </c>
      <c r="K58" s="14">
        <v>0</v>
      </c>
      <c r="L58" s="14">
        <v>0</v>
      </c>
      <c r="M58" s="14" t="str">
        <v>135.62</v>
      </c>
      <c r="N58" s="14" t="str">
        <v>770</v>
      </c>
      <c r="O58" s="14">
        <v>1220</v>
      </c>
      <c r="P58" s="14">
        <v>1380</v>
      </c>
      <c r="Q58" s="14">
        <v>120</v>
      </c>
      <c r="R58" s="14">
        <v>10</v>
      </c>
      <c r="S58" s="14">
        <v>20</v>
      </c>
      <c r="T58" s="14">
        <v>0</v>
      </c>
      <c r="U58" s="14" t="str">
        <v>150</v>
      </c>
      <c r="V58" s="14">
        <v>0</v>
      </c>
      <c r="W58" s="14">
        <v>0</v>
      </c>
      <c r="X58" s="14">
        <v>0</v>
      </c>
      <c r="Y58" s="14">
        <v>0</v>
      </c>
      <c r="Z58" s="14">
        <v>0</v>
      </c>
      <c r="AA58" s="14">
        <v>0</v>
      </c>
      <c r="AB58" s="14">
        <v>120</v>
      </c>
      <c r="AC58" s="14">
        <v>40</v>
      </c>
      <c r="AD58" s="14">
        <v>7</v>
      </c>
      <c r="AE58" s="14">
        <v>150</v>
      </c>
      <c r="AF58" s="14">
        <v>0</v>
      </c>
      <c r="AG58" s="14">
        <v>0</v>
      </c>
      <c r="AH58" s="14">
        <v>200</v>
      </c>
      <c r="AI58" s="14">
        <v>546</v>
      </c>
      <c r="AJ58" s="14">
        <v>500</v>
      </c>
      <c r="AK58" s="14">
        <v>12</v>
      </c>
      <c r="AL58" s="14">
        <v>20</v>
      </c>
      <c r="AM58" s="14">
        <v>0</v>
      </c>
      <c r="AN58" s="14">
        <v>0</v>
      </c>
      <c r="AO58" s="14">
        <v>0</v>
      </c>
      <c r="AP58" s="14">
        <v>0</v>
      </c>
      <c r="AQ58" s="14">
        <v>0</v>
      </c>
      <c r="AR58" s="14">
        <v>0</v>
      </c>
      <c r="AS58" s="14">
        <v>0</v>
      </c>
      <c r="AT58" s="14">
        <v>0</v>
      </c>
      <c r="AU58" s="14">
        <v>0</v>
      </c>
      <c r="AV58" s="14">
        <v>0</v>
      </c>
      <c r="AW58" s="14">
        <v>0</v>
      </c>
      <c r="AX58" s="14">
        <v>0</v>
      </c>
      <c r="AY58" s="14">
        <v>0</v>
      </c>
      <c r="AZ58" s="14">
        <v>0</v>
      </c>
      <c r="BA58" s="14">
        <v>0</v>
      </c>
      <c r="BB58" s="14">
        <v>0</v>
      </c>
      <c r="BC58" s="14">
        <v>0</v>
      </c>
      <c r="BD58" s="14">
        <v>0</v>
      </c>
      <c r="BE58" s="14">
        <v>0</v>
      </c>
      <c r="BF58" s="14">
        <v>0</v>
      </c>
      <c r="BG58" s="14">
        <v>0</v>
      </c>
      <c r="BH58" s="14">
        <v>0</v>
      </c>
      <c r="BI58" s="14">
        <v>0</v>
      </c>
      <c r="BJ58" s="14">
        <v>0</v>
      </c>
      <c r="BK58" s="14">
        <v>0</v>
      </c>
      <c r="BL58" s="14">
        <v>12</v>
      </c>
      <c r="BM58" s="14">
        <v>200</v>
      </c>
      <c r="BN58" s="14">
        <v>150</v>
      </c>
      <c r="BO58" s="14">
        <v>1</v>
      </c>
      <c r="BP58" s="14">
        <v>0</v>
      </c>
      <c r="BQ58" s="14">
        <v>150</v>
      </c>
      <c r="BR58" s="14">
        <v>200</v>
      </c>
      <c r="BS58" s="14">
        <v>0</v>
      </c>
      <c r="BT58" s="14">
        <v>24</v>
      </c>
      <c r="BU58" s="14">
        <v>100</v>
      </c>
      <c r="BV58" s="14">
        <v>12</v>
      </c>
      <c r="BW58" s="14">
        <v>0</v>
      </c>
      <c r="BX58" s="14">
        <v>20</v>
      </c>
      <c r="BY58" s="14">
        <v>0</v>
      </c>
      <c r="BZ58" s="14" t="str">
        <v>125143</v>
      </c>
      <c r="CA58" s="21" t="str">
        <v>64.4</v>
      </c>
      <c r="CB58" s="21" t="str">
        <v>50</v>
      </c>
      <c r="CC58" s="21" t="str">
        <v>214.5</v>
      </c>
      <c r="CD58" s="14">
        <v>6</v>
      </c>
      <c r="CF58">
        <f t="shared" si="14"/>
        <v>1200</v>
      </c>
      <c r="CG58" t="str">
        <v>DC</v>
      </c>
      <c r="CH58" t="str">
        <v>LL</v>
      </c>
      <c r="CI58" t="str">
        <v>X</v>
      </c>
      <c r="CJ58" t="str">
        <v>SS</v>
      </c>
      <c r="CK58" t="str">
        <v>X</v>
      </c>
      <c r="CL58" t="str">
        <v>CL00</v>
      </c>
      <c r="CM58" t="str">
        <v>ST</v>
      </c>
      <c r="CN58" t="str">
        <f t="shared" si="15"/>
        <v>DC_LL_X_SS_X_CL00_ST</v>
      </c>
      <c r="CO58" t="str">
        <v>EUC-VMXM00F-1200-1200-0-0</v>
      </c>
      <c r="CQ58" t="str">
        <f t="shared" si="16"/>
        <v>PARA 1200 1200 1220 1220 ATT ATT 0 0 135.62 770 1220 1380 120 10 20 0 150 0 0 0 0 0 0 120 40 7 150 0 0 200 546 500 12 20 0 0 0 0 0 0 0 0 0 0 0 0 0 0 0 0 0 0 0 0 0 0 0 0 0 12 200 150 1 0 150 200 0 24 100 12 0 20 0 125143 64.4 50 214.5 6</v>
      </c>
      <c r="CR58" t="str">
        <f t="shared" si="17"/>
        <v>/EUC-VMXM00F-1200-1200-0-0</v>
      </c>
      <c r="CT58">
        <f>COUNTIF(Codes!$A$3:$A$35,CATA!CN58)</f>
        <v>1</v>
      </c>
      <c r="CU58" t="str">
        <f t="shared" si="18"/>
        <v>/EuC-CATA-SUPP/COMMON/DC_LL_X_SS_X_CL00_ST-GMSE</v>
      </c>
      <c r="CV58" t="str">
        <f t="shared" si="18"/>
        <v>/EuC-CATA-SUPP/COMMON/DC_LL_X_SS_X_CL00_ST-PTSE</v>
      </c>
      <c r="CW58" t="str">
        <f>IF(VLOOKUP(CN58,Codes!$A$3:$C$35,3,FALSE)=0,CF58,"OK")</f>
        <v>OK</v>
      </c>
    </row>
    <row r="60" spans="2:101">
      <c r="CV60" s="81" t="s">
        <v>610</v>
      </c>
      <c r="CW60" s="82">
        <f>Codes!C36</f>
        <v>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BF1B3-1D9E-4740-9A4D-4834350A6BC8}">
  <dimension ref="B1:J25"/>
  <sheetViews>
    <sheetView workbookViewId="0">
      <selection activeCell="J55" sqref="J55"/>
    </sheetView>
    <sheetView workbookViewId="1"/>
    <sheetView workbookViewId="2"/>
  </sheetViews>
  <sheetFormatPr baseColWidth="10" defaultRowHeight="12.75"/>
  <cols>
    <col min="3" max="6" width="11.140625" bestFit="1" customWidth="1"/>
    <col min="8" max="8" width="11.85546875" customWidth="1"/>
    <col min="9" max="9" width="13.85546875" customWidth="1"/>
  </cols>
  <sheetData>
    <row r="1" spans="2:10">
      <c r="B1" s="23" t="s">
        <v>89</v>
      </c>
      <c r="C1" t="s">
        <v>721</v>
      </c>
      <c r="D1" t="s">
        <v>722</v>
      </c>
      <c r="E1" t="s">
        <v>723</v>
      </c>
      <c r="F1" t="s">
        <v>724</v>
      </c>
      <c r="G1" t="s">
        <v>725</v>
      </c>
      <c r="H1" t="s">
        <v>726</v>
      </c>
      <c r="I1" t="s">
        <v>770</v>
      </c>
      <c r="J1" t="s">
        <v>771</v>
      </c>
    </row>
    <row r="2" spans="2:10">
      <c r="B2" s="21">
        <v>15</v>
      </c>
      <c r="C2" s="84" t="s">
        <v>625</v>
      </c>
      <c r="D2" s="85" t="s">
        <v>649</v>
      </c>
      <c r="E2" s="84" t="s">
        <v>673</v>
      </c>
      <c r="F2" s="86" t="s">
        <v>697</v>
      </c>
      <c r="G2" t="s">
        <v>728</v>
      </c>
      <c r="H2" s="1" t="str">
        <f>G2</f>
        <v>1.32-125021</v>
      </c>
      <c r="I2" t="str">
        <f>SUBSTITUTE(IF(LSTWLD!$F$1="leicht",IF(LSTWLD!$B$1="Stainless",DRWG[[#This Row],[Light_S]],DRWG[[#This Row],[Light_C]]),IF(LSTWLD!$B$1="Stainless",DRWG[[#This Row],[Heavy_S]],DRWG[[#This Row],[Heavy_C]])),"1.31-0","")</f>
        <v>84032</v>
      </c>
      <c r="J2" t="str">
        <f>SUBSTITUTE(IF(LSTWLD!$D$1="FP",DRWG[[#This Row],[SC_Fixed]],DRWG[[#This Row],[SC_Slide]]),"1.32-","")</f>
        <v>125021</v>
      </c>
    </row>
    <row r="3" spans="2:10">
      <c r="B3" s="21">
        <v>20</v>
      </c>
      <c r="C3" s="84" t="s">
        <v>626</v>
      </c>
      <c r="D3" s="85" t="s">
        <v>650</v>
      </c>
      <c r="E3" s="84" t="s">
        <v>674</v>
      </c>
      <c r="F3" s="86" t="s">
        <v>698</v>
      </c>
      <c r="G3" t="s">
        <v>729</v>
      </c>
      <c r="H3" s="1" t="str">
        <f t="shared" ref="H3:H10" si="0">G3</f>
        <v>1.32-125026</v>
      </c>
      <c r="I3" t="str">
        <f>SUBSTITUTE(IF(LSTWLD!$F$1="leicht",IF(LSTWLD!$B$1="Stainless",DRWG[[#This Row],[Light_S]],DRWG[[#This Row],[Light_C]]),IF(LSTWLD!$B$1="Stainless",DRWG[[#This Row],[Heavy_S]],DRWG[[#This Row],[Heavy_C]])),"1.31-0","")</f>
        <v>84033</v>
      </c>
      <c r="J3" t="str">
        <f>SUBSTITUTE(IF(LSTWLD!$D$1="FP",DRWG[[#This Row],[SC_Fixed]],DRWG[[#This Row],[SC_Slide]]),"1.32-","")</f>
        <v>125026</v>
      </c>
    </row>
    <row r="4" spans="2:10">
      <c r="B4" s="21">
        <v>25</v>
      </c>
      <c r="C4" s="84" t="s">
        <v>627</v>
      </c>
      <c r="D4" s="85" t="s">
        <v>651</v>
      </c>
      <c r="E4" s="84" t="s">
        <v>675</v>
      </c>
      <c r="F4" s="86" t="s">
        <v>699</v>
      </c>
      <c r="G4" t="s">
        <v>730</v>
      </c>
      <c r="H4" s="1" t="str">
        <f t="shared" si="0"/>
        <v>1.32-125027</v>
      </c>
      <c r="I4" t="str">
        <f>SUBSTITUTE(IF(LSTWLD!$F$1="leicht",IF(LSTWLD!$B$1="Stainless",DRWG[[#This Row],[Light_S]],DRWG[[#This Row],[Light_C]]),IF(LSTWLD!$B$1="Stainless",DRWG[[#This Row],[Heavy_S]],DRWG[[#This Row],[Heavy_C]])),"1.31-0","")</f>
        <v>84034</v>
      </c>
      <c r="J4" t="str">
        <f>SUBSTITUTE(IF(LSTWLD!$D$1="FP",DRWG[[#This Row],[SC_Fixed]],DRWG[[#This Row],[SC_Slide]]),"1.32-","")</f>
        <v>125027</v>
      </c>
    </row>
    <row r="5" spans="2:10">
      <c r="B5" s="21">
        <v>32</v>
      </c>
      <c r="C5" s="84" t="s">
        <v>628</v>
      </c>
      <c r="D5" s="85" t="s">
        <v>652</v>
      </c>
      <c r="E5" s="84" t="s">
        <v>676</v>
      </c>
      <c r="F5" s="86" t="s">
        <v>700</v>
      </c>
      <c r="G5" t="s">
        <v>731</v>
      </c>
      <c r="H5" s="1" t="str">
        <f t="shared" si="0"/>
        <v>1.32-125028</v>
      </c>
      <c r="I5" t="str">
        <f>SUBSTITUTE(IF(LSTWLD!$F$1="leicht",IF(LSTWLD!$B$1="Stainless",DRWG[[#This Row],[Light_S]],DRWG[[#This Row],[Light_C]]),IF(LSTWLD!$B$1="Stainless",DRWG[[#This Row],[Heavy_S]],DRWG[[#This Row],[Heavy_C]])),"1.31-0","")</f>
        <v>84035</v>
      </c>
      <c r="J5" t="str">
        <f>SUBSTITUTE(IF(LSTWLD!$D$1="FP",DRWG[[#This Row],[SC_Fixed]],DRWG[[#This Row],[SC_Slide]]),"1.32-","")</f>
        <v>125028</v>
      </c>
    </row>
    <row r="6" spans="2:10">
      <c r="B6" s="21">
        <v>40</v>
      </c>
      <c r="C6" s="84" t="s">
        <v>629</v>
      </c>
      <c r="D6" s="85" t="s">
        <v>653</v>
      </c>
      <c r="E6" s="84" t="s">
        <v>677</v>
      </c>
      <c r="F6" s="86" t="s">
        <v>701</v>
      </c>
      <c r="G6" t="s">
        <v>732</v>
      </c>
      <c r="H6" s="1" t="str">
        <f t="shared" si="0"/>
        <v>1.32-125029</v>
      </c>
      <c r="I6" t="str">
        <f>SUBSTITUTE(IF(LSTWLD!$F$1="leicht",IF(LSTWLD!$B$1="Stainless",DRWG[[#This Row],[Light_S]],DRWG[[#This Row],[Light_C]]),IF(LSTWLD!$B$1="Stainless",DRWG[[#This Row],[Heavy_S]],DRWG[[#This Row],[Heavy_C]])),"1.31-0","")</f>
        <v>84036</v>
      </c>
      <c r="J6" t="str">
        <f>SUBSTITUTE(IF(LSTWLD!$D$1="FP",DRWG[[#This Row],[SC_Fixed]],DRWG[[#This Row],[SC_Slide]]),"1.32-","")</f>
        <v>125029</v>
      </c>
    </row>
    <row r="7" spans="2:10">
      <c r="B7" s="21">
        <v>50</v>
      </c>
      <c r="C7" s="84" t="s">
        <v>630</v>
      </c>
      <c r="D7" s="85" t="s">
        <v>654</v>
      </c>
      <c r="E7" s="84" t="s">
        <v>678</v>
      </c>
      <c r="F7" s="86" t="s">
        <v>702</v>
      </c>
      <c r="G7" t="s">
        <v>733</v>
      </c>
      <c r="H7" s="1" t="str">
        <f t="shared" si="0"/>
        <v>1.32-125038</v>
      </c>
      <c r="I7" t="str">
        <f>SUBSTITUTE(IF(LSTWLD!$F$1="leicht",IF(LSTWLD!$B$1="Stainless",DRWG[[#This Row],[Light_S]],DRWG[[#This Row],[Light_C]]),IF(LSTWLD!$B$1="Stainless",DRWG[[#This Row],[Heavy_S]],DRWG[[#This Row],[Heavy_C]])),"1.31-0","")</f>
        <v>84037</v>
      </c>
      <c r="J7" t="str">
        <f>SUBSTITUTE(IF(LSTWLD!$D$1="FP",DRWG[[#This Row],[SC_Fixed]],DRWG[[#This Row],[SC_Slide]]),"1.32-","")</f>
        <v>125038</v>
      </c>
    </row>
    <row r="8" spans="2:10">
      <c r="B8" s="21">
        <v>65</v>
      </c>
      <c r="C8" s="84" t="s">
        <v>631</v>
      </c>
      <c r="D8" s="85" t="s">
        <v>655</v>
      </c>
      <c r="E8" s="84" t="s">
        <v>679</v>
      </c>
      <c r="F8" s="86" t="s">
        <v>703</v>
      </c>
      <c r="G8" t="s">
        <v>734</v>
      </c>
      <c r="H8" s="1" t="str">
        <f t="shared" si="0"/>
        <v>1.32-125039</v>
      </c>
      <c r="I8" t="str">
        <f>SUBSTITUTE(IF(LSTWLD!$F$1="leicht",IF(LSTWLD!$B$1="Stainless",DRWG[[#This Row],[Light_S]],DRWG[[#This Row],[Light_C]]),IF(LSTWLD!$B$1="Stainless",DRWG[[#This Row],[Heavy_S]],DRWG[[#This Row],[Heavy_C]])),"1.31-0","")</f>
        <v>84038</v>
      </c>
      <c r="J8" t="str">
        <f>SUBSTITUTE(IF(LSTWLD!$D$1="FP",DRWG[[#This Row],[SC_Fixed]],DRWG[[#This Row],[SC_Slide]]),"1.32-","")</f>
        <v>125039</v>
      </c>
    </row>
    <row r="9" spans="2:10">
      <c r="B9" s="21">
        <v>80</v>
      </c>
      <c r="C9" s="84" t="s">
        <v>632</v>
      </c>
      <c r="D9" s="85" t="s">
        <v>656</v>
      </c>
      <c r="E9" s="84" t="s">
        <v>680</v>
      </c>
      <c r="F9" s="86" t="s">
        <v>704</v>
      </c>
      <c r="G9" t="s">
        <v>735</v>
      </c>
      <c r="H9" s="1" t="str">
        <f t="shared" si="0"/>
        <v>1.32-125040</v>
      </c>
      <c r="I9" t="str">
        <f>SUBSTITUTE(IF(LSTWLD!$F$1="leicht",IF(LSTWLD!$B$1="Stainless",DRWG[[#This Row],[Light_S]],DRWG[[#This Row],[Light_C]]),IF(LSTWLD!$B$1="Stainless",DRWG[[#This Row],[Heavy_S]],DRWG[[#This Row],[Heavy_C]])),"1.31-0","")</f>
        <v>84039</v>
      </c>
      <c r="J9" t="str">
        <f>SUBSTITUTE(IF(LSTWLD!$D$1="FP",DRWG[[#This Row],[SC_Fixed]],DRWG[[#This Row],[SC_Slide]]),"1.32-","")</f>
        <v>125040</v>
      </c>
    </row>
    <row r="10" spans="2:10">
      <c r="B10" s="21">
        <v>100</v>
      </c>
      <c r="C10" s="84" t="s">
        <v>633</v>
      </c>
      <c r="D10" s="85" t="s">
        <v>657</v>
      </c>
      <c r="E10" s="84" t="s">
        <v>681</v>
      </c>
      <c r="F10" s="86" t="s">
        <v>705</v>
      </c>
      <c r="G10" t="s">
        <v>736</v>
      </c>
      <c r="H10" s="1" t="str">
        <f t="shared" si="0"/>
        <v>1.32-125080</v>
      </c>
      <c r="I10" t="str">
        <f>SUBSTITUTE(IF(LSTWLD!$F$1="leicht",IF(LSTWLD!$B$1="Stainless",DRWG[[#This Row],[Light_S]],DRWG[[#This Row],[Light_C]]),IF(LSTWLD!$B$1="Stainless",DRWG[[#This Row],[Heavy_S]],DRWG[[#This Row],[Heavy_C]])),"1.31-0","")</f>
        <v>84040</v>
      </c>
      <c r="J10" t="str">
        <f>SUBSTITUTE(IF(LSTWLD!$D$1="FP",DRWG[[#This Row],[SC_Fixed]],DRWG[[#This Row],[SC_Slide]]),"1.32-","")</f>
        <v>125080</v>
      </c>
    </row>
    <row r="11" spans="2:10">
      <c r="B11" s="21">
        <v>125</v>
      </c>
      <c r="C11" s="84" t="s">
        <v>634</v>
      </c>
      <c r="D11" s="85" t="s">
        <v>658</v>
      </c>
      <c r="E11" s="84" t="s">
        <v>682</v>
      </c>
      <c r="F11" s="86" t="s">
        <v>706</v>
      </c>
      <c r="G11" t="s">
        <v>751</v>
      </c>
      <c r="H11" t="s">
        <v>737</v>
      </c>
      <c r="I11" t="str">
        <f>SUBSTITUTE(IF(LSTWLD!$F$1="leicht",IF(LSTWLD!$B$1="Stainless",DRWG[[#This Row],[Light_S]],DRWG[[#This Row],[Light_C]]),IF(LSTWLD!$B$1="Stainless",DRWG[[#This Row],[Heavy_S]],DRWG[[#This Row],[Heavy_C]])),"1.31-0","")</f>
        <v>84041</v>
      </c>
      <c r="J11" t="str">
        <f>SUBSTITUTE(IF(LSTWLD!$D$1="FP",DRWG[[#This Row],[SC_Fixed]],DRWG[[#This Row],[SC_Slide]]),"1.32-","")</f>
        <v>125100</v>
      </c>
    </row>
    <row r="12" spans="2:10">
      <c r="B12" s="21">
        <v>150</v>
      </c>
      <c r="C12" s="84" t="s">
        <v>635</v>
      </c>
      <c r="D12" s="85" t="s">
        <v>659</v>
      </c>
      <c r="E12" s="84" t="s">
        <v>683</v>
      </c>
      <c r="F12" s="86" t="s">
        <v>707</v>
      </c>
      <c r="G12" t="s">
        <v>752</v>
      </c>
      <c r="H12" t="s">
        <v>738</v>
      </c>
      <c r="I12" t="str">
        <f>SUBSTITUTE(IF(LSTWLD!$F$1="leicht",IF(LSTWLD!$B$1="Stainless",DRWG[[#This Row],[Light_S]],DRWG[[#This Row],[Light_C]]),IF(LSTWLD!$B$1="Stainless",DRWG[[#This Row],[Heavy_S]],DRWG[[#This Row],[Heavy_C]])),"1.31-0","")</f>
        <v>84042</v>
      </c>
      <c r="J12" t="str">
        <f>SUBSTITUTE(IF(LSTWLD!$D$1="FP",DRWG[[#This Row],[SC_Fixed]],DRWG[[#This Row],[SC_Slide]]),"1.32-","")</f>
        <v>125101</v>
      </c>
    </row>
    <row r="13" spans="2:10">
      <c r="B13" s="21">
        <v>200</v>
      </c>
      <c r="C13" s="84" t="s">
        <v>636</v>
      </c>
      <c r="D13" s="85" t="s">
        <v>660</v>
      </c>
      <c r="E13" s="84" t="s">
        <v>684</v>
      </c>
      <c r="F13" s="86" t="s">
        <v>708</v>
      </c>
      <c r="G13" t="s">
        <v>753</v>
      </c>
      <c r="H13" t="s">
        <v>739</v>
      </c>
      <c r="I13" t="str">
        <f>SUBSTITUTE(IF(LSTWLD!$F$1="leicht",IF(LSTWLD!$B$1="Stainless",DRWG[[#This Row],[Light_S]],DRWG[[#This Row],[Light_C]]),IF(LSTWLD!$B$1="Stainless",DRWG[[#This Row],[Heavy_S]],DRWG[[#This Row],[Heavy_C]])),"1.31-0","")</f>
        <v>84043</v>
      </c>
      <c r="J13" t="str">
        <f>SUBSTITUTE(IF(LSTWLD!$D$1="FP",DRWG[[#This Row],[SC_Fixed]],DRWG[[#This Row],[SC_Slide]]),"1.32-","")</f>
        <v>125102</v>
      </c>
    </row>
    <row r="14" spans="2:10">
      <c r="B14" s="21">
        <v>250</v>
      </c>
      <c r="C14" s="84" t="s">
        <v>637</v>
      </c>
      <c r="D14" s="85" t="s">
        <v>661</v>
      </c>
      <c r="E14" s="84" t="s">
        <v>685</v>
      </c>
      <c r="F14" s="86" t="s">
        <v>709</v>
      </c>
      <c r="G14" t="s">
        <v>754</v>
      </c>
      <c r="H14" t="s">
        <v>740</v>
      </c>
      <c r="I14" t="str">
        <f>SUBSTITUTE(IF(LSTWLD!$F$1="leicht",IF(LSTWLD!$B$1="Stainless",DRWG[[#This Row],[Light_S]],DRWG[[#This Row],[Light_C]]),IF(LSTWLD!$B$1="Stainless",DRWG[[#This Row],[Heavy_S]],DRWG[[#This Row],[Heavy_C]])),"1.31-0","")</f>
        <v>84044</v>
      </c>
      <c r="J14" t="str">
        <f>SUBSTITUTE(IF(LSTWLD!$D$1="FP",DRWG[[#This Row],[SC_Fixed]],DRWG[[#This Row],[SC_Slide]]),"1.32-","")</f>
        <v>125103</v>
      </c>
    </row>
    <row r="15" spans="2:10">
      <c r="B15" s="21">
        <v>300</v>
      </c>
      <c r="C15" s="84" t="s">
        <v>638</v>
      </c>
      <c r="D15" s="85" t="s">
        <v>662</v>
      </c>
      <c r="E15" s="84" t="s">
        <v>686</v>
      </c>
      <c r="F15" s="86" t="s">
        <v>710</v>
      </c>
      <c r="G15" t="s">
        <v>755</v>
      </c>
      <c r="H15" t="s">
        <v>741</v>
      </c>
      <c r="I15" t="str">
        <f>SUBSTITUTE(IF(LSTWLD!$F$1="leicht",IF(LSTWLD!$B$1="Stainless",DRWG[[#This Row],[Light_S]],DRWG[[#This Row],[Light_C]]),IF(LSTWLD!$B$1="Stainless",DRWG[[#This Row],[Heavy_S]],DRWG[[#This Row],[Heavy_C]])),"1.31-0","")</f>
        <v>84045</v>
      </c>
      <c r="J15" t="str">
        <f>SUBSTITUTE(IF(LSTWLD!$D$1="FP",DRWG[[#This Row],[SC_Fixed]],DRWG[[#This Row],[SC_Slide]]),"1.32-","")</f>
        <v>125104</v>
      </c>
    </row>
    <row r="16" spans="2:10">
      <c r="B16" s="21">
        <v>350</v>
      </c>
      <c r="C16" s="84" t="s">
        <v>639</v>
      </c>
      <c r="D16" s="85" t="s">
        <v>663</v>
      </c>
      <c r="E16" s="84" t="s">
        <v>687</v>
      </c>
      <c r="F16" s="86" t="s">
        <v>711</v>
      </c>
      <c r="G16" t="s">
        <v>756</v>
      </c>
      <c r="H16" t="s">
        <v>742</v>
      </c>
      <c r="I16" t="str">
        <f>SUBSTITUTE(IF(LSTWLD!$F$1="leicht",IF(LSTWLD!$B$1="Stainless",DRWG[[#This Row],[Light_S]],DRWG[[#This Row],[Light_C]]),IF(LSTWLD!$B$1="Stainless",DRWG[[#This Row],[Heavy_S]],DRWG[[#This Row],[Heavy_C]])),"1.31-0","")</f>
        <v>84046</v>
      </c>
      <c r="J16" t="str">
        <f>SUBSTITUTE(IF(LSTWLD!$D$1="FP",DRWG[[#This Row],[SC_Fixed]],DRWG[[#This Row],[SC_Slide]]),"1.32-","")</f>
        <v>125105</v>
      </c>
    </row>
    <row r="17" spans="2:10">
      <c r="B17" s="21">
        <v>400</v>
      </c>
      <c r="C17" s="84" t="s">
        <v>640</v>
      </c>
      <c r="D17" s="85" t="s">
        <v>664</v>
      </c>
      <c r="E17" s="84" t="s">
        <v>688</v>
      </c>
      <c r="F17" s="86" t="s">
        <v>712</v>
      </c>
      <c r="G17" t="s">
        <v>757</v>
      </c>
      <c r="H17" t="s">
        <v>743</v>
      </c>
      <c r="I17" t="str">
        <f>SUBSTITUTE(IF(LSTWLD!$F$1="leicht",IF(LSTWLD!$B$1="Stainless",DRWG[[#This Row],[Light_S]],DRWG[[#This Row],[Light_C]]),IF(LSTWLD!$B$1="Stainless",DRWG[[#This Row],[Heavy_S]],DRWG[[#This Row],[Heavy_C]])),"1.31-0","")</f>
        <v>84047</v>
      </c>
      <c r="J17" t="str">
        <f>SUBSTITUTE(IF(LSTWLD!$D$1="FP",DRWG[[#This Row],[SC_Fixed]],DRWG[[#This Row],[SC_Slide]]),"1.32-","")</f>
        <v>125115</v>
      </c>
    </row>
    <row r="18" spans="2:10">
      <c r="B18" s="21">
        <v>450</v>
      </c>
      <c r="C18" s="84" t="s">
        <v>641</v>
      </c>
      <c r="D18" s="85" t="s">
        <v>665</v>
      </c>
      <c r="E18" s="84" t="s">
        <v>689</v>
      </c>
      <c r="F18" s="86" t="s">
        <v>713</v>
      </c>
      <c r="G18" t="s">
        <v>727</v>
      </c>
      <c r="H18" t="s">
        <v>727</v>
      </c>
      <c r="I18" t="str">
        <f>SUBSTITUTE(IF(LSTWLD!$F$1="leicht",IF(LSTWLD!$B$1="Stainless",DRWG[[#This Row],[Light_S]],DRWG[[#This Row],[Light_C]]),IF(LSTWLD!$B$1="Stainless",DRWG[[#This Row],[Heavy_S]],DRWG[[#This Row],[Heavy_C]])),"1.31-0","")</f>
        <v>84048</v>
      </c>
      <c r="J18" t="str">
        <f>SUBSTITUTE(IF(LSTWLD!$D$1="FP",DRWG[[#This Row],[SC_Fixed]],DRWG[[#This Row],[SC_Slide]]),"1.32-","")</f>
        <v/>
      </c>
    </row>
    <row r="19" spans="2:10">
      <c r="B19" s="21">
        <v>500</v>
      </c>
      <c r="C19" s="84" t="s">
        <v>642</v>
      </c>
      <c r="D19" s="85" t="s">
        <v>666</v>
      </c>
      <c r="E19" s="84" t="s">
        <v>690</v>
      </c>
      <c r="F19" s="86" t="s">
        <v>714</v>
      </c>
      <c r="G19" t="s">
        <v>758</v>
      </c>
      <c r="H19" t="s">
        <v>744</v>
      </c>
      <c r="I19" t="str">
        <f>SUBSTITUTE(IF(LSTWLD!$F$1="leicht",IF(LSTWLD!$B$1="Stainless",DRWG[[#This Row],[Light_S]],DRWG[[#This Row],[Light_C]]),IF(LSTWLD!$B$1="Stainless",DRWG[[#This Row],[Heavy_S]],DRWG[[#This Row],[Heavy_C]])),"1.31-0","")</f>
        <v>84049</v>
      </c>
      <c r="J19" t="str">
        <f>SUBSTITUTE(IF(LSTWLD!$D$1="FP",DRWG[[#This Row],[SC_Fixed]],DRWG[[#This Row],[SC_Slide]]),"1.32-","")</f>
        <v>125116</v>
      </c>
    </row>
    <row r="20" spans="2:10">
      <c r="B20" s="21">
        <v>600</v>
      </c>
      <c r="C20" s="84" t="s">
        <v>643</v>
      </c>
      <c r="D20" s="85" t="s">
        <v>667</v>
      </c>
      <c r="E20" s="84" t="s">
        <v>691</v>
      </c>
      <c r="F20" s="86" t="s">
        <v>715</v>
      </c>
      <c r="G20" t="s">
        <v>759</v>
      </c>
      <c r="H20" t="s">
        <v>745</v>
      </c>
      <c r="I20" t="str">
        <f>SUBSTITUTE(IF(LSTWLD!$F$1="leicht",IF(LSTWLD!$B$1="Stainless",DRWG[[#This Row],[Light_S]],DRWG[[#This Row],[Light_C]]),IF(LSTWLD!$B$1="Stainless",DRWG[[#This Row],[Heavy_S]],DRWG[[#This Row],[Heavy_C]])),"1.31-0","")</f>
        <v>84050</v>
      </c>
      <c r="J20" t="str">
        <f>SUBSTITUTE(IF(LSTWLD!$D$1="FP",DRWG[[#This Row],[SC_Fixed]],DRWG[[#This Row],[SC_Slide]]),"1.32-","")</f>
        <v>125117</v>
      </c>
    </row>
    <row r="21" spans="2:10">
      <c r="B21" s="21">
        <v>700</v>
      </c>
      <c r="C21" s="84" t="s">
        <v>644</v>
      </c>
      <c r="D21" s="85" t="s">
        <v>668</v>
      </c>
      <c r="E21" s="84" t="s">
        <v>692</v>
      </c>
      <c r="F21" s="86" t="s">
        <v>716</v>
      </c>
      <c r="G21" t="s">
        <v>760</v>
      </c>
      <c r="H21" t="s">
        <v>746</v>
      </c>
      <c r="I21" t="str">
        <f>SUBSTITUTE(IF(LSTWLD!$F$1="leicht",IF(LSTWLD!$B$1="Stainless",DRWG[[#This Row],[Light_S]],DRWG[[#This Row],[Light_C]]),IF(LSTWLD!$B$1="Stainless",DRWG[[#This Row],[Heavy_S]],DRWG[[#This Row],[Heavy_C]])),"1.31-0","")</f>
        <v>84051</v>
      </c>
      <c r="J21" t="str">
        <f>SUBSTITUTE(IF(LSTWLD!$D$1="FP",DRWG[[#This Row],[SC_Fixed]],DRWG[[#This Row],[SC_Slide]]),"1.32-","")</f>
        <v>125118</v>
      </c>
    </row>
    <row r="22" spans="2:10">
      <c r="B22" s="21">
        <v>800</v>
      </c>
      <c r="C22" s="84" t="s">
        <v>645</v>
      </c>
      <c r="D22" s="85" t="s">
        <v>669</v>
      </c>
      <c r="E22" s="84" t="s">
        <v>693</v>
      </c>
      <c r="F22" s="86" t="s">
        <v>717</v>
      </c>
      <c r="G22" t="s">
        <v>761</v>
      </c>
      <c r="H22" t="s">
        <v>747</v>
      </c>
      <c r="I22" t="str">
        <f>SUBSTITUTE(IF(LSTWLD!$F$1="leicht",IF(LSTWLD!$B$1="Stainless",DRWG[[#This Row],[Light_S]],DRWG[[#This Row],[Light_C]]),IF(LSTWLD!$B$1="Stainless",DRWG[[#This Row],[Heavy_S]],DRWG[[#This Row],[Heavy_C]])),"1.31-0","")</f>
        <v>84052</v>
      </c>
      <c r="J22" t="str">
        <f>SUBSTITUTE(IF(LSTWLD!$D$1="FP",DRWG[[#This Row],[SC_Fixed]],DRWG[[#This Row],[SC_Slide]]),"1.32-","")</f>
        <v>125119</v>
      </c>
    </row>
    <row r="23" spans="2:10">
      <c r="B23" s="21">
        <v>900</v>
      </c>
      <c r="C23" s="84" t="s">
        <v>646</v>
      </c>
      <c r="D23" s="85" t="s">
        <v>670</v>
      </c>
      <c r="E23" s="84" t="s">
        <v>694</v>
      </c>
      <c r="F23" s="86" t="s">
        <v>718</v>
      </c>
      <c r="G23" t="s">
        <v>762</v>
      </c>
      <c r="H23" t="s">
        <v>748</v>
      </c>
      <c r="I23" t="str">
        <f>SUBSTITUTE(IF(LSTWLD!$F$1="leicht",IF(LSTWLD!$B$1="Stainless",DRWG[[#This Row],[Light_S]],DRWG[[#This Row],[Light_C]]),IF(LSTWLD!$B$1="Stainless",DRWG[[#This Row],[Heavy_S]],DRWG[[#This Row],[Heavy_C]])),"1.31-0","")</f>
        <v>84053</v>
      </c>
      <c r="J23" t="str">
        <f>SUBSTITUTE(IF(LSTWLD!$D$1="FP",DRWG[[#This Row],[SC_Fixed]],DRWG[[#This Row],[SC_Slide]]),"1.32-","")</f>
        <v>125141</v>
      </c>
    </row>
    <row r="24" spans="2:10">
      <c r="B24" s="21">
        <v>1000</v>
      </c>
      <c r="C24" s="84" t="s">
        <v>647</v>
      </c>
      <c r="D24" s="85" t="s">
        <v>671</v>
      </c>
      <c r="E24" s="84" t="s">
        <v>695</v>
      </c>
      <c r="F24" s="86" t="s">
        <v>719</v>
      </c>
      <c r="G24" t="s">
        <v>763</v>
      </c>
      <c r="H24" t="s">
        <v>749</v>
      </c>
      <c r="I24" t="str">
        <f>SUBSTITUTE(IF(LSTWLD!$F$1="leicht",IF(LSTWLD!$B$1="Stainless",DRWG[[#This Row],[Light_S]],DRWG[[#This Row],[Light_C]]),IF(LSTWLD!$B$1="Stainless",DRWG[[#This Row],[Heavy_S]],DRWG[[#This Row],[Heavy_C]])),"1.31-0","")</f>
        <v>84054</v>
      </c>
      <c r="J24" t="str">
        <f>SUBSTITUTE(IF(LSTWLD!$D$1="FP",DRWG[[#This Row],[SC_Fixed]],DRWG[[#This Row],[SC_Slide]]),"1.32-","")</f>
        <v>125142</v>
      </c>
    </row>
    <row r="25" spans="2:10">
      <c r="B25" s="13">
        <v>1200</v>
      </c>
      <c r="C25" s="84" t="s">
        <v>648</v>
      </c>
      <c r="D25" s="85" t="s">
        <v>672</v>
      </c>
      <c r="E25" s="84" t="s">
        <v>696</v>
      </c>
      <c r="F25" s="86" t="s">
        <v>720</v>
      </c>
      <c r="G25" t="s">
        <v>764</v>
      </c>
      <c r="H25" t="s">
        <v>750</v>
      </c>
      <c r="I25" t="str">
        <f>SUBSTITUTE(IF(LSTWLD!$F$1="leicht",IF(LSTWLD!$B$1="Stainless",DRWG[[#This Row],[Light_S]],DRWG[[#This Row],[Light_C]]),IF(LSTWLD!$B$1="Stainless",DRWG[[#This Row],[Heavy_S]],DRWG[[#This Row],[Heavy_C]])),"1.31-0","")</f>
        <v>84055</v>
      </c>
      <c r="J25" t="str">
        <f>SUBSTITUTE(IF(LSTWLD!$D$1="FP",DRWG[[#This Row],[SC_Fixed]],DRWG[[#This Row],[SC_Slide]]),"1.32-","")</f>
        <v>125143</v>
      </c>
    </row>
  </sheetData>
  <phoneticPr fontId="2" type="noConversion"/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8B2AD-1C79-4F1C-B6DA-948E5FED0DD7}">
  <dimension ref="A1:X39"/>
  <sheetViews>
    <sheetView workbookViewId="0"/>
    <sheetView workbookViewId="1"/>
    <sheetView workbookViewId="2"/>
  </sheetViews>
  <sheetFormatPr baseColWidth="10" defaultRowHeight="12.75"/>
  <cols>
    <col min="1" max="1" width="25.85546875" bestFit="1" customWidth="1"/>
    <col min="2" max="2" width="41.140625" bestFit="1" customWidth="1"/>
    <col min="4" max="4" width="26.42578125" bestFit="1" customWidth="1"/>
    <col min="5" max="6" width="66.85546875" bestFit="1" customWidth="1"/>
    <col min="7" max="7" width="3.5703125" bestFit="1" customWidth="1"/>
    <col min="8" max="8" width="28" bestFit="1" customWidth="1"/>
    <col min="9" max="9" width="3" bestFit="1" customWidth="1"/>
    <col min="10" max="10" width="28" bestFit="1" customWidth="1"/>
    <col min="12" max="12" width="27.7109375" bestFit="1" customWidth="1"/>
    <col min="14" max="14" width="14" bestFit="1" customWidth="1"/>
    <col min="16" max="16" width="12.85546875" bestFit="1" customWidth="1"/>
    <col min="18" max="19" width="28" customWidth="1"/>
    <col min="21" max="21" width="19.42578125" bestFit="1" customWidth="1"/>
    <col min="22" max="22" width="139.7109375" bestFit="1" customWidth="1"/>
    <col min="23" max="23" width="197.5703125" bestFit="1" customWidth="1"/>
    <col min="24" max="24" width="196.85546875" bestFit="1" customWidth="1"/>
  </cols>
  <sheetData>
    <row r="1" spans="1:24">
      <c r="E1" t="s">
        <v>534</v>
      </c>
      <c r="F1" t="s">
        <v>535</v>
      </c>
    </row>
    <row r="2" spans="1:24">
      <c r="A2" t="s">
        <v>333</v>
      </c>
      <c r="B2" t="s">
        <v>529</v>
      </c>
      <c r="C2" t="s">
        <v>530</v>
      </c>
      <c r="D2" t="s">
        <v>531</v>
      </c>
      <c r="E2" t="s">
        <v>532</v>
      </c>
      <c r="F2" t="s">
        <v>533</v>
      </c>
      <c r="G2" s="71" t="s">
        <v>104</v>
      </c>
      <c r="H2" s="71"/>
      <c r="I2" s="71" t="s">
        <v>121</v>
      </c>
      <c r="J2" s="71"/>
      <c r="K2" s="71" t="s">
        <v>545</v>
      </c>
      <c r="L2" s="71"/>
      <c r="M2" s="71" t="s">
        <v>96</v>
      </c>
      <c r="N2" s="71"/>
      <c r="O2" s="71" t="s">
        <v>92</v>
      </c>
      <c r="P2" s="71"/>
      <c r="Q2" s="71" t="s">
        <v>34</v>
      </c>
      <c r="R2" s="71"/>
      <c r="S2" s="71"/>
      <c r="T2" s="71" t="s">
        <v>115</v>
      </c>
      <c r="U2" s="71"/>
    </row>
    <row r="3" spans="1:24">
      <c r="A3" t="s">
        <v>504</v>
      </c>
      <c r="B3" t="str">
        <f>"!allCode.append('"&amp;A3&amp;"')"</f>
        <v>!allCode.append('D_LL_GU_FP_AX_CL12_ST')</v>
      </c>
      <c r="C3" t="s">
        <v>609</v>
      </c>
      <c r="E3" t="str">
        <f>_xlfn.TEXTJOIN(" ",FALSE,$D$2&amp;$A3&amp;"-"&amp;$E$2)</f>
        <v>/EuC-CATA-SUPP/COMMON/D_LL_GU_FP_AX_CL12_ST-GMSE</v>
      </c>
      <c r="F3" t="str">
        <f>_xlfn.TEXTJOIN(" ",FALSE,$D$2&amp;$A3&amp;"-"&amp;$F$2)</f>
        <v>/EuC-CATA-SUPP/COMMON/D_LL_GU_FP_AX_CL12_ST-PTSE</v>
      </c>
      <c r="G3" t="s">
        <v>114</v>
      </c>
      <c r="H3" t="s">
        <v>537</v>
      </c>
      <c r="I3" t="s">
        <v>340</v>
      </c>
      <c r="J3" t="s">
        <v>547</v>
      </c>
      <c r="K3" t="s">
        <v>341</v>
      </c>
      <c r="L3" t="s">
        <v>540</v>
      </c>
      <c r="M3" t="s">
        <v>21</v>
      </c>
      <c r="N3" t="s">
        <v>542</v>
      </c>
      <c r="O3" t="s">
        <v>344</v>
      </c>
      <c r="P3" t="s">
        <v>546</v>
      </c>
      <c r="Q3" t="s">
        <v>536</v>
      </c>
      <c r="R3" t="str">
        <f>SUBSTITUTE(SUBSTITUTE(Q3,"CL00",""),"CL","mit ")</f>
        <v>mit 12</v>
      </c>
      <c r="S3" t="str">
        <f>IF(R3&lt;&gt;"",R3&amp;" Flachnocken","")</f>
        <v>mit 12 Flachnocken</v>
      </c>
      <c r="T3" t="s">
        <v>350</v>
      </c>
      <c r="U3" t="str">
        <f>IF(T3="ST","mit Versteiffungsblech","")</f>
        <v>mit Versteiffungsblech</v>
      </c>
      <c r="V3" t="str">
        <f>_xlfn.TEXTJOIN("; ",TRUE,"desc '"&amp;H3,J3,L3,N3,P3,S3,U3&amp;"'")</f>
        <v>desc 'doppelt; aus 2 L-Profilen; mit Fuehrung; mit Futterblech; mit Axialstopp; mit 12 Flachnocken; mit Versteiffungsblech'</v>
      </c>
      <c r="W3" t="str">
        <f>_xlfn.TEXTJOIN(" ",FALSE,E3,$V3)</f>
        <v>/EuC-CATA-SUPP/COMMON/D_LL_GU_FP_AX_CL12_ST-GMSE desc 'doppelt; aus 2 L-Profilen; mit Fuehrung; mit Futterblech; mit Axialstopp; mit 12 Flachnocken; mit Versteiffungsblech'</v>
      </c>
      <c r="X3" t="str">
        <f>_xlfn.TEXTJOIN(" ",FALSE,F3,$V3)</f>
        <v>/EuC-CATA-SUPP/COMMON/D_LL_GU_FP_AX_CL12_ST-PTSE desc 'doppelt; aus 2 L-Profilen; mit Fuehrung; mit Futterblech; mit Axialstopp; mit 12 Flachnocken; mit Versteiffungsblech'</v>
      </c>
    </row>
    <row r="4" spans="1:24">
      <c r="A4" t="s">
        <v>511</v>
      </c>
      <c r="B4" t="str">
        <f t="shared" ref="B4:B35" si="0">"!allCode.append('"&amp;A4&amp;"')"</f>
        <v>!allCode.append('D_LL_GU_SS_X_CL00_ST')</v>
      </c>
      <c r="C4" t="s">
        <v>609</v>
      </c>
      <c r="E4" t="str">
        <f t="shared" ref="E4:E35" si="1">_xlfn.TEXTJOIN(" ",FALSE,$D$2&amp;$A4&amp;"-"&amp;$E$2)</f>
        <v>/EuC-CATA-SUPP/COMMON/D_LL_GU_SS_X_CL00_ST-GMSE</v>
      </c>
      <c r="F4" t="str">
        <f t="shared" ref="F4:F35" si="2">_xlfn.TEXTJOIN(" ",FALSE,$D$2&amp;$A4&amp;"-"&amp;$F$2)</f>
        <v>/EuC-CATA-SUPP/COMMON/D_LL_GU_SS_X_CL00_ST-PTSE</v>
      </c>
      <c r="G4" t="s">
        <v>114</v>
      </c>
      <c r="H4" t="s">
        <v>537</v>
      </c>
      <c r="I4" t="s">
        <v>340</v>
      </c>
      <c r="J4" t="s">
        <v>547</v>
      </c>
      <c r="K4" t="s">
        <v>341</v>
      </c>
      <c r="L4" t="s">
        <v>540</v>
      </c>
      <c r="M4" t="s">
        <v>22</v>
      </c>
      <c r="N4" t="s">
        <v>544</v>
      </c>
      <c r="Q4" t="s">
        <v>346</v>
      </c>
      <c r="R4" t="str">
        <f t="shared" ref="R4:R35" si="3">SUBSTITUTE(SUBSTITUTE(Q4,"CL00",""),"CL","mit ")</f>
        <v/>
      </c>
      <c r="S4" t="str">
        <f t="shared" ref="S4:S35" si="4">IF(R4&lt;&gt;"",R4&amp;" Flachnocken","")</f>
        <v/>
      </c>
      <c r="T4" t="s">
        <v>350</v>
      </c>
      <c r="U4" t="str">
        <f t="shared" ref="U4:U35" si="5">IF(T4="ST","mit Versteiffungsblech","")</f>
        <v>mit Versteiffungsblech</v>
      </c>
      <c r="V4" t="str">
        <f t="shared" ref="V4:V35" si="6">_xlfn.TEXTJOIN("; ",TRUE,"desc '"&amp;H4,J4,L4,N4,P4,S4,U4&amp;"'")</f>
        <v>desc 'doppelt; aus 2 L-Profilen; mit Fuehrung; mit Gleitplatten; mit Versteiffungsblech'</v>
      </c>
      <c r="W4" t="str">
        <f t="shared" ref="W4:X35" si="7">_xlfn.TEXTJOIN(" ",FALSE,E4,$V4)</f>
        <v>/EuC-CATA-SUPP/COMMON/D_LL_GU_SS_X_CL00_ST-GMSE desc 'doppelt; aus 2 L-Profilen; mit Fuehrung; mit Gleitplatten; mit Versteiffungsblech'</v>
      </c>
      <c r="X4" t="str">
        <f t="shared" si="7"/>
        <v>/EuC-CATA-SUPP/COMMON/D_LL_GU_SS_X_CL00_ST-PTSE desc 'doppelt; aus 2 L-Profilen; mit Fuehrung; mit Gleitplatten; mit Versteiffungsblech'</v>
      </c>
    </row>
    <row r="5" spans="1:24">
      <c r="A5" t="s">
        <v>502</v>
      </c>
      <c r="B5" t="str">
        <f t="shared" si="0"/>
        <v>!allCode.append('D_LL_GU_X_AX_CL08_ST')</v>
      </c>
      <c r="C5" t="s">
        <v>609</v>
      </c>
      <c r="E5" t="str">
        <f t="shared" si="1"/>
        <v>/EuC-CATA-SUPP/COMMON/D_LL_GU_X_AX_CL08_ST-GMSE</v>
      </c>
      <c r="F5" t="str">
        <f t="shared" si="2"/>
        <v>/EuC-CATA-SUPP/COMMON/D_LL_GU_X_AX_CL08_ST-PTSE</v>
      </c>
      <c r="G5" t="s">
        <v>114</v>
      </c>
      <c r="H5" t="s">
        <v>537</v>
      </c>
      <c r="I5" t="s">
        <v>340</v>
      </c>
      <c r="J5" t="s">
        <v>547</v>
      </c>
      <c r="K5" t="s">
        <v>341</v>
      </c>
      <c r="L5" t="s">
        <v>540</v>
      </c>
      <c r="O5" t="s">
        <v>344</v>
      </c>
      <c r="P5" t="s">
        <v>546</v>
      </c>
      <c r="Q5" t="s">
        <v>348</v>
      </c>
      <c r="R5" t="str">
        <f t="shared" si="3"/>
        <v>mit 08</v>
      </c>
      <c r="S5" t="str">
        <f t="shared" si="4"/>
        <v>mit 08 Flachnocken</v>
      </c>
      <c r="T5" t="s">
        <v>350</v>
      </c>
      <c r="U5" t="str">
        <f t="shared" si="5"/>
        <v>mit Versteiffungsblech</v>
      </c>
      <c r="V5" t="str">
        <f t="shared" si="6"/>
        <v>desc 'doppelt; aus 2 L-Profilen; mit Fuehrung; mit Axialstopp; mit 08 Flachnocken; mit Versteiffungsblech'</v>
      </c>
      <c r="W5" t="str">
        <f t="shared" si="7"/>
        <v>/EuC-CATA-SUPP/COMMON/D_LL_GU_X_AX_CL08_ST-GMSE desc 'doppelt; aus 2 L-Profilen; mit Fuehrung; mit Axialstopp; mit 08 Flachnocken; mit Versteiffungsblech'</v>
      </c>
      <c r="X5" t="str">
        <f t="shared" si="7"/>
        <v>/EuC-CATA-SUPP/COMMON/D_LL_GU_X_AX_CL08_ST-PTSE desc 'doppelt; aus 2 L-Profilen; mit Fuehrung; mit Axialstopp; mit 08 Flachnocken; mit Versteiffungsblech'</v>
      </c>
    </row>
    <row r="6" spans="1:24">
      <c r="A6" t="s">
        <v>503</v>
      </c>
      <c r="B6" t="str">
        <f t="shared" si="0"/>
        <v>!allCode.append('D_LL_GU_X_AX_CL12_ST')</v>
      </c>
      <c r="C6" t="s">
        <v>609</v>
      </c>
      <c r="E6" t="str">
        <f t="shared" si="1"/>
        <v>/EuC-CATA-SUPP/COMMON/D_LL_GU_X_AX_CL12_ST-GMSE</v>
      </c>
      <c r="F6" t="str">
        <f t="shared" si="2"/>
        <v>/EuC-CATA-SUPP/COMMON/D_LL_GU_X_AX_CL12_ST-PTSE</v>
      </c>
      <c r="G6" t="s">
        <v>114</v>
      </c>
      <c r="H6" t="s">
        <v>537</v>
      </c>
      <c r="I6" t="s">
        <v>340</v>
      </c>
      <c r="J6" t="s">
        <v>547</v>
      </c>
      <c r="K6" t="s">
        <v>341</v>
      </c>
      <c r="L6" t="s">
        <v>540</v>
      </c>
      <c r="O6" t="s">
        <v>344</v>
      </c>
      <c r="P6" t="s">
        <v>546</v>
      </c>
      <c r="Q6" t="s">
        <v>536</v>
      </c>
      <c r="R6" t="str">
        <f t="shared" si="3"/>
        <v>mit 12</v>
      </c>
      <c r="S6" t="str">
        <f t="shared" si="4"/>
        <v>mit 12 Flachnocken</v>
      </c>
      <c r="T6" t="s">
        <v>350</v>
      </c>
      <c r="U6" t="str">
        <f t="shared" si="5"/>
        <v>mit Versteiffungsblech</v>
      </c>
      <c r="V6" t="str">
        <f t="shared" si="6"/>
        <v>desc 'doppelt; aus 2 L-Profilen; mit Fuehrung; mit Axialstopp; mit 12 Flachnocken; mit Versteiffungsblech'</v>
      </c>
      <c r="W6" t="str">
        <f t="shared" si="7"/>
        <v>/EuC-CATA-SUPP/COMMON/D_LL_GU_X_AX_CL12_ST-GMSE desc 'doppelt; aus 2 L-Profilen; mit Fuehrung; mit Axialstopp; mit 12 Flachnocken; mit Versteiffungsblech'</v>
      </c>
      <c r="X6" t="str">
        <f t="shared" si="7"/>
        <v>/EuC-CATA-SUPP/COMMON/D_LL_GU_X_AX_CL12_ST-PTSE desc 'doppelt; aus 2 L-Profilen; mit Fuehrung; mit Axialstopp; mit 12 Flachnocken; mit Versteiffungsblech'</v>
      </c>
    </row>
    <row r="7" spans="1:24">
      <c r="A7" t="s">
        <v>510</v>
      </c>
      <c r="B7" t="str">
        <f t="shared" si="0"/>
        <v>!allCode.append('D_LL_GU_X_X_CL00_ST')</v>
      </c>
      <c r="C7" t="s">
        <v>609</v>
      </c>
      <c r="E7" t="str">
        <f t="shared" si="1"/>
        <v>/EuC-CATA-SUPP/COMMON/D_LL_GU_X_X_CL00_ST-GMSE</v>
      </c>
      <c r="F7" t="str">
        <f t="shared" si="2"/>
        <v>/EuC-CATA-SUPP/COMMON/D_LL_GU_X_X_CL00_ST-PTSE</v>
      </c>
      <c r="G7" t="s">
        <v>114</v>
      </c>
      <c r="H7" t="s">
        <v>537</v>
      </c>
      <c r="I7" t="s">
        <v>340</v>
      </c>
      <c r="J7" t="s">
        <v>547</v>
      </c>
      <c r="K7" t="s">
        <v>341</v>
      </c>
      <c r="L7" t="s">
        <v>540</v>
      </c>
      <c r="Q7" t="s">
        <v>346</v>
      </c>
      <c r="R7" t="str">
        <f t="shared" si="3"/>
        <v/>
      </c>
      <c r="S7" t="str">
        <f t="shared" si="4"/>
        <v/>
      </c>
      <c r="T7" t="s">
        <v>350</v>
      </c>
      <c r="U7" t="str">
        <f t="shared" si="5"/>
        <v>mit Versteiffungsblech</v>
      </c>
      <c r="V7" t="str">
        <f t="shared" si="6"/>
        <v>desc 'doppelt; aus 2 L-Profilen; mit Fuehrung; mit Versteiffungsblech'</v>
      </c>
      <c r="W7" t="str">
        <f t="shared" si="7"/>
        <v>/EuC-CATA-SUPP/COMMON/D_LL_GU_X_X_CL00_ST-GMSE desc 'doppelt; aus 2 L-Profilen; mit Fuehrung; mit Versteiffungsblech'</v>
      </c>
      <c r="X7" t="str">
        <f t="shared" si="7"/>
        <v>/EuC-CATA-SUPP/COMMON/D_LL_GU_X_X_CL00_ST-PTSE desc 'doppelt; aus 2 L-Profilen; mit Fuehrung; mit Versteiffungsblech'</v>
      </c>
    </row>
    <row r="8" spans="1:24">
      <c r="A8" t="s">
        <v>507</v>
      </c>
      <c r="B8" t="str">
        <f t="shared" si="0"/>
        <v>!allCode.append('D_LL_X_GP_X_CL08_ST')</v>
      </c>
      <c r="C8" t="s">
        <v>609</v>
      </c>
      <c r="E8" t="str">
        <f t="shared" si="1"/>
        <v>/EuC-CATA-SUPP/COMMON/D_LL_X_GP_X_CL08_ST-GMSE</v>
      </c>
      <c r="F8" t="str">
        <f t="shared" si="2"/>
        <v>/EuC-CATA-SUPP/COMMON/D_LL_X_GP_X_CL08_ST-PTSE</v>
      </c>
      <c r="G8" t="s">
        <v>114</v>
      </c>
      <c r="H8" t="s">
        <v>537</v>
      </c>
      <c r="I8" t="s">
        <v>340</v>
      </c>
      <c r="J8" t="s">
        <v>547</v>
      </c>
      <c r="M8" t="s">
        <v>343</v>
      </c>
      <c r="N8" t="s">
        <v>543</v>
      </c>
      <c r="Q8" t="s">
        <v>348</v>
      </c>
      <c r="R8" t="str">
        <f t="shared" si="3"/>
        <v>mit 08</v>
      </c>
      <c r="S8" t="str">
        <f t="shared" si="4"/>
        <v>mit 08 Flachnocken</v>
      </c>
      <c r="T8" t="s">
        <v>350</v>
      </c>
      <c r="U8" t="str">
        <f t="shared" si="5"/>
        <v>mit Versteiffungsblech</v>
      </c>
      <c r="V8" t="str">
        <f t="shared" si="6"/>
        <v>desc 'doppelt; aus 2 L-Profilen; mit Bodenplatte; mit 08 Flachnocken; mit Versteiffungsblech'</v>
      </c>
      <c r="W8" t="str">
        <f t="shared" si="7"/>
        <v>/EuC-CATA-SUPP/COMMON/D_LL_X_GP_X_CL08_ST-GMSE desc 'doppelt; aus 2 L-Profilen; mit Bodenplatte; mit 08 Flachnocken; mit Versteiffungsblech'</v>
      </c>
      <c r="X8" t="str">
        <f t="shared" si="7"/>
        <v>/EuC-CATA-SUPP/COMMON/D_LL_X_GP_X_CL08_ST-PTSE desc 'doppelt; aus 2 L-Profilen; mit Bodenplatte; mit 08 Flachnocken; mit Versteiffungsblech'</v>
      </c>
    </row>
    <row r="9" spans="1:24">
      <c r="A9" t="s">
        <v>508</v>
      </c>
      <c r="B9" t="str">
        <f t="shared" si="0"/>
        <v>!allCode.append('D_LL_X_GP_X_CL12_ST')</v>
      </c>
      <c r="C9" t="s">
        <v>609</v>
      </c>
      <c r="E9" t="str">
        <f t="shared" si="1"/>
        <v>/EuC-CATA-SUPP/COMMON/D_LL_X_GP_X_CL12_ST-GMSE</v>
      </c>
      <c r="F9" t="str">
        <f t="shared" si="2"/>
        <v>/EuC-CATA-SUPP/COMMON/D_LL_X_GP_X_CL12_ST-PTSE</v>
      </c>
      <c r="G9" t="s">
        <v>114</v>
      </c>
      <c r="H9" t="s">
        <v>537</v>
      </c>
      <c r="I9" t="s">
        <v>340</v>
      </c>
      <c r="J9" t="s">
        <v>547</v>
      </c>
      <c r="M9" t="s">
        <v>343</v>
      </c>
      <c r="N9" t="s">
        <v>543</v>
      </c>
      <c r="Q9" t="s">
        <v>536</v>
      </c>
      <c r="R9" t="str">
        <f t="shared" si="3"/>
        <v>mit 12</v>
      </c>
      <c r="S9" t="str">
        <f t="shared" si="4"/>
        <v>mit 12 Flachnocken</v>
      </c>
      <c r="T9" t="s">
        <v>350</v>
      </c>
      <c r="U9" t="str">
        <f t="shared" si="5"/>
        <v>mit Versteiffungsblech</v>
      </c>
      <c r="V9" t="str">
        <f t="shared" si="6"/>
        <v>desc 'doppelt; aus 2 L-Profilen; mit Bodenplatte; mit 12 Flachnocken; mit Versteiffungsblech'</v>
      </c>
      <c r="W9" t="str">
        <f t="shared" si="7"/>
        <v>/EuC-CATA-SUPP/COMMON/D_LL_X_GP_X_CL12_ST-GMSE desc 'doppelt; aus 2 L-Profilen; mit Bodenplatte; mit 12 Flachnocken; mit Versteiffungsblech'</v>
      </c>
      <c r="X9" t="str">
        <f t="shared" si="7"/>
        <v>/EuC-CATA-SUPP/COMMON/D_LL_X_GP_X_CL12_ST-PTSE desc 'doppelt; aus 2 L-Profilen; mit Bodenplatte; mit 12 Flachnocken; mit Versteiffungsblech'</v>
      </c>
    </row>
    <row r="10" spans="1:24">
      <c r="A10" t="s">
        <v>514</v>
      </c>
      <c r="B10" t="str">
        <f t="shared" si="0"/>
        <v>!allCode.append('D_LL_X_SS_X_CL00_ST')</v>
      </c>
      <c r="C10" t="s">
        <v>609</v>
      </c>
      <c r="E10" t="str">
        <f t="shared" si="1"/>
        <v>/EuC-CATA-SUPP/COMMON/D_LL_X_SS_X_CL00_ST-GMSE</v>
      </c>
      <c r="F10" t="str">
        <f t="shared" si="2"/>
        <v>/EuC-CATA-SUPP/COMMON/D_LL_X_SS_X_CL00_ST-PTSE</v>
      </c>
      <c r="G10" t="s">
        <v>114</v>
      </c>
      <c r="H10" t="s">
        <v>537</v>
      </c>
      <c r="I10" t="s">
        <v>340</v>
      </c>
      <c r="J10" t="s">
        <v>547</v>
      </c>
      <c r="M10" t="s">
        <v>22</v>
      </c>
      <c r="N10" t="s">
        <v>544</v>
      </c>
      <c r="Q10" t="s">
        <v>346</v>
      </c>
      <c r="R10" t="str">
        <f t="shared" si="3"/>
        <v/>
      </c>
      <c r="S10" t="str">
        <f t="shared" si="4"/>
        <v/>
      </c>
      <c r="T10" t="s">
        <v>350</v>
      </c>
      <c r="U10" t="str">
        <f t="shared" si="5"/>
        <v>mit Versteiffungsblech</v>
      </c>
      <c r="V10" t="str">
        <f t="shared" si="6"/>
        <v>desc 'doppelt; aus 2 L-Profilen; mit Gleitplatten; mit Versteiffungsblech'</v>
      </c>
      <c r="W10" t="str">
        <f t="shared" si="7"/>
        <v>/EuC-CATA-SUPP/COMMON/D_LL_X_SS_X_CL00_ST-GMSE desc 'doppelt; aus 2 L-Profilen; mit Gleitplatten; mit Versteiffungsblech'</v>
      </c>
      <c r="X10" t="str">
        <f t="shared" si="7"/>
        <v>/EuC-CATA-SUPP/COMMON/D_LL_X_SS_X_CL00_ST-PTSE desc 'doppelt; aus 2 L-Profilen; mit Gleitplatten; mit Versteiffungsblech'</v>
      </c>
    </row>
    <row r="11" spans="1:24">
      <c r="A11" t="s">
        <v>513</v>
      </c>
      <c r="B11" t="str">
        <f t="shared" si="0"/>
        <v>!allCode.append('D_LL_X_X_X_CL00_ST')</v>
      </c>
      <c r="C11" t="s">
        <v>609</v>
      </c>
      <c r="E11" t="str">
        <f t="shared" si="1"/>
        <v>/EuC-CATA-SUPP/COMMON/D_LL_X_X_X_CL00_ST-GMSE</v>
      </c>
      <c r="F11" t="str">
        <f t="shared" si="2"/>
        <v>/EuC-CATA-SUPP/COMMON/D_LL_X_X_X_CL00_ST-PTSE</v>
      </c>
      <c r="G11" t="s">
        <v>114</v>
      </c>
      <c r="H11" t="s">
        <v>537</v>
      </c>
      <c r="I11" t="s">
        <v>340</v>
      </c>
      <c r="J11" t="s">
        <v>547</v>
      </c>
      <c r="Q11" t="s">
        <v>346</v>
      </c>
      <c r="R11" t="str">
        <f t="shared" si="3"/>
        <v/>
      </c>
      <c r="S11" t="str">
        <f t="shared" si="4"/>
        <v/>
      </c>
      <c r="T11" t="s">
        <v>350</v>
      </c>
      <c r="U11" t="str">
        <f t="shared" si="5"/>
        <v>mit Versteiffungsblech</v>
      </c>
      <c r="V11" t="str">
        <f t="shared" si="6"/>
        <v>desc 'doppelt; aus 2 L-Profilen; mit Versteiffungsblech'</v>
      </c>
      <c r="W11" t="str">
        <f t="shared" si="7"/>
        <v>/EuC-CATA-SUPP/COMMON/D_LL_X_X_X_CL00_ST-GMSE desc 'doppelt; aus 2 L-Profilen; mit Versteiffungsblech'</v>
      </c>
      <c r="X11" t="str">
        <f t="shared" si="7"/>
        <v>/EuC-CATA-SUPP/COMMON/D_LL_X_X_X_CL00_ST-PTSE desc 'doppelt; aus 2 L-Profilen; mit Versteiffungsblech'</v>
      </c>
    </row>
    <row r="12" spans="1:24">
      <c r="A12" t="s">
        <v>521</v>
      </c>
      <c r="B12" t="str">
        <f t="shared" si="0"/>
        <v>!allCode.append('D_U_GU_X_AX_CL08_ST')</v>
      </c>
      <c r="C12" t="s">
        <v>609</v>
      </c>
      <c r="E12" t="str">
        <f t="shared" si="1"/>
        <v>/EuC-CATA-SUPP/COMMON/D_U_GU_X_AX_CL08_ST-GMSE</v>
      </c>
      <c r="F12" t="str">
        <f t="shared" si="2"/>
        <v>/EuC-CATA-SUPP/COMMON/D_U_GU_X_AX_CL08_ST-PTSE</v>
      </c>
      <c r="G12" t="s">
        <v>114</v>
      </c>
      <c r="H12" t="s">
        <v>537</v>
      </c>
      <c r="I12" t="s">
        <v>33</v>
      </c>
      <c r="J12" t="s">
        <v>548</v>
      </c>
      <c r="K12" t="s">
        <v>341</v>
      </c>
      <c r="L12" t="s">
        <v>540</v>
      </c>
      <c r="O12" t="s">
        <v>344</v>
      </c>
      <c r="P12" t="s">
        <v>546</v>
      </c>
      <c r="Q12" t="s">
        <v>348</v>
      </c>
      <c r="R12" t="str">
        <f t="shared" si="3"/>
        <v>mit 08</v>
      </c>
      <c r="S12" t="str">
        <f t="shared" si="4"/>
        <v>mit 08 Flachnocken</v>
      </c>
      <c r="T12" t="s">
        <v>350</v>
      </c>
      <c r="U12" t="str">
        <f t="shared" si="5"/>
        <v>mit Versteiffungsblech</v>
      </c>
      <c r="V12" t="str">
        <f t="shared" si="6"/>
        <v>desc 'doppelt; aus U-Traeger/gebogenem Blech; mit Fuehrung; mit Axialstopp; mit 08 Flachnocken; mit Versteiffungsblech'</v>
      </c>
      <c r="W12" t="str">
        <f t="shared" si="7"/>
        <v>/EuC-CATA-SUPP/COMMON/D_U_GU_X_AX_CL08_ST-GMSE desc 'doppelt; aus U-Traeger/gebogenem Blech; mit Fuehrung; mit Axialstopp; mit 08 Flachnocken; mit Versteiffungsblech'</v>
      </c>
      <c r="X12" t="str">
        <f t="shared" si="7"/>
        <v>/EuC-CATA-SUPP/COMMON/D_U_GU_X_AX_CL08_ST-PTSE desc 'doppelt; aus U-Traeger/gebogenem Blech; mit Fuehrung; mit Axialstopp; mit 08 Flachnocken; mit Versteiffungsblech'</v>
      </c>
    </row>
    <row r="13" spans="1:24">
      <c r="A13" t="s">
        <v>522</v>
      </c>
      <c r="B13" t="str">
        <f t="shared" si="0"/>
        <v>!allCode.append('D_U_GU_X_AX_CL08_X')</v>
      </c>
      <c r="C13" t="s">
        <v>609</v>
      </c>
      <c r="E13" t="str">
        <f t="shared" si="1"/>
        <v>/EuC-CATA-SUPP/COMMON/D_U_GU_X_AX_CL08_X-GMSE</v>
      </c>
      <c r="F13" t="str">
        <f t="shared" si="2"/>
        <v>/EuC-CATA-SUPP/COMMON/D_U_GU_X_AX_CL08_X-PTSE</v>
      </c>
      <c r="G13" t="s">
        <v>114</v>
      </c>
      <c r="H13" t="s">
        <v>537</v>
      </c>
      <c r="I13" t="s">
        <v>33</v>
      </c>
      <c r="J13" t="s">
        <v>548</v>
      </c>
      <c r="K13" t="s">
        <v>341</v>
      </c>
      <c r="L13" t="s">
        <v>540</v>
      </c>
      <c r="O13" t="s">
        <v>344</v>
      </c>
      <c r="P13" t="s">
        <v>546</v>
      </c>
      <c r="Q13" t="s">
        <v>348</v>
      </c>
      <c r="R13" t="str">
        <f t="shared" si="3"/>
        <v>mit 08</v>
      </c>
      <c r="S13" t="str">
        <f t="shared" si="4"/>
        <v>mit 08 Flachnocken</v>
      </c>
      <c r="U13" t="str">
        <f t="shared" si="5"/>
        <v/>
      </c>
      <c r="V13" t="str">
        <f t="shared" si="6"/>
        <v>desc 'doppelt; aus U-Traeger/gebogenem Blech; mit Fuehrung; mit Axialstopp; mit 08 Flachnocken; '</v>
      </c>
      <c r="W13" t="str">
        <f t="shared" si="7"/>
        <v>/EuC-CATA-SUPP/COMMON/D_U_GU_X_AX_CL08_X-GMSE desc 'doppelt; aus U-Traeger/gebogenem Blech; mit Fuehrung; mit Axialstopp; mit 08 Flachnocken; '</v>
      </c>
      <c r="X13" t="str">
        <f t="shared" si="7"/>
        <v>/EuC-CATA-SUPP/COMMON/D_U_GU_X_AX_CL08_X-PTSE desc 'doppelt; aus U-Traeger/gebogenem Blech; mit Fuehrung; mit Axialstopp; mit 08 Flachnocken; '</v>
      </c>
    </row>
    <row r="14" spans="1:24">
      <c r="A14" t="s">
        <v>495</v>
      </c>
      <c r="B14" t="str">
        <f t="shared" si="0"/>
        <v>!allCode.append('D_U_GU_X_X_CL00_ST')</v>
      </c>
      <c r="C14" t="s">
        <v>609</v>
      </c>
      <c r="E14" t="str">
        <f t="shared" si="1"/>
        <v>/EuC-CATA-SUPP/COMMON/D_U_GU_X_X_CL00_ST-GMSE</v>
      </c>
      <c r="F14" t="str">
        <f t="shared" si="2"/>
        <v>/EuC-CATA-SUPP/COMMON/D_U_GU_X_X_CL00_ST-PTSE</v>
      </c>
      <c r="G14" t="s">
        <v>114</v>
      </c>
      <c r="H14" t="s">
        <v>537</v>
      </c>
      <c r="I14" t="s">
        <v>33</v>
      </c>
      <c r="J14" t="s">
        <v>548</v>
      </c>
      <c r="K14" t="s">
        <v>341</v>
      </c>
      <c r="L14" t="s">
        <v>540</v>
      </c>
      <c r="Q14" t="s">
        <v>346</v>
      </c>
      <c r="R14" t="str">
        <f t="shared" si="3"/>
        <v/>
      </c>
      <c r="S14" t="str">
        <f t="shared" si="4"/>
        <v/>
      </c>
      <c r="T14" t="s">
        <v>350</v>
      </c>
      <c r="U14" t="str">
        <f t="shared" si="5"/>
        <v>mit Versteiffungsblech</v>
      </c>
      <c r="V14" t="str">
        <f t="shared" si="6"/>
        <v>desc 'doppelt; aus U-Traeger/gebogenem Blech; mit Fuehrung; mit Versteiffungsblech'</v>
      </c>
      <c r="W14" t="str">
        <f t="shared" si="7"/>
        <v>/EuC-CATA-SUPP/COMMON/D_U_GU_X_X_CL00_ST-GMSE desc 'doppelt; aus U-Traeger/gebogenem Blech; mit Fuehrung; mit Versteiffungsblech'</v>
      </c>
      <c r="X14" t="str">
        <f t="shared" si="7"/>
        <v>/EuC-CATA-SUPP/COMMON/D_U_GU_X_X_CL00_ST-PTSE desc 'doppelt; aus U-Traeger/gebogenem Blech; mit Fuehrung; mit Versteiffungsblech'</v>
      </c>
    </row>
    <row r="15" spans="1:24">
      <c r="A15" t="s">
        <v>494</v>
      </c>
      <c r="B15" t="str">
        <f t="shared" si="0"/>
        <v>!allCode.append('D_U_GU_X_X_CL00_X')</v>
      </c>
      <c r="C15" t="s">
        <v>609</v>
      </c>
      <c r="E15" t="str">
        <f t="shared" si="1"/>
        <v>/EuC-CATA-SUPP/COMMON/D_U_GU_X_X_CL00_X-GMSE</v>
      </c>
      <c r="F15" t="str">
        <f t="shared" si="2"/>
        <v>/EuC-CATA-SUPP/COMMON/D_U_GU_X_X_CL00_X-PTSE</v>
      </c>
      <c r="G15" t="s">
        <v>114</v>
      </c>
      <c r="H15" t="s">
        <v>537</v>
      </c>
      <c r="I15" t="s">
        <v>33</v>
      </c>
      <c r="J15" t="s">
        <v>548</v>
      </c>
      <c r="K15" t="s">
        <v>341</v>
      </c>
      <c r="L15" t="s">
        <v>540</v>
      </c>
      <c r="Q15" t="s">
        <v>346</v>
      </c>
      <c r="R15" t="str">
        <f t="shared" si="3"/>
        <v/>
      </c>
      <c r="S15" t="str">
        <f t="shared" si="4"/>
        <v/>
      </c>
      <c r="U15" t="str">
        <f t="shared" si="5"/>
        <v/>
      </c>
      <c r="V15" t="str">
        <f t="shared" si="6"/>
        <v>desc 'doppelt; aus U-Traeger/gebogenem Blech; mit Fuehrung; '</v>
      </c>
      <c r="W15" t="str">
        <f t="shared" si="7"/>
        <v>/EuC-CATA-SUPP/COMMON/D_U_GU_X_X_CL00_X-GMSE desc 'doppelt; aus U-Traeger/gebogenem Blech; mit Fuehrung; '</v>
      </c>
      <c r="X15" t="str">
        <f t="shared" si="7"/>
        <v>/EuC-CATA-SUPP/COMMON/D_U_GU_X_X_CL00_X-PTSE desc 'doppelt; aus U-Traeger/gebogenem Blech; mit Fuehrung; '</v>
      </c>
    </row>
    <row r="16" spans="1:24">
      <c r="A16" t="s">
        <v>523</v>
      </c>
      <c r="B16" t="str">
        <f t="shared" si="0"/>
        <v>!allCode.append('D_U_GULL_X_AX_CL08_ST')</v>
      </c>
      <c r="C16" t="s">
        <v>609</v>
      </c>
      <c r="E16" t="str">
        <f t="shared" si="1"/>
        <v>/EuC-CATA-SUPP/COMMON/D_U_GULL_X_AX_CL08_ST-GMSE</v>
      </c>
      <c r="F16" t="str">
        <f t="shared" si="2"/>
        <v>/EuC-CATA-SUPP/COMMON/D_U_GULL_X_AX_CL08_ST-PTSE</v>
      </c>
      <c r="G16" t="s">
        <v>114</v>
      </c>
      <c r="H16" t="s">
        <v>537</v>
      </c>
      <c r="I16" t="s">
        <v>33</v>
      </c>
      <c r="J16" t="s">
        <v>548</v>
      </c>
      <c r="K16" t="s">
        <v>342</v>
      </c>
      <c r="L16" t="s">
        <v>541</v>
      </c>
      <c r="O16" t="s">
        <v>344</v>
      </c>
      <c r="P16" t="s">
        <v>546</v>
      </c>
      <c r="Q16" t="s">
        <v>348</v>
      </c>
      <c r="R16" t="str">
        <f t="shared" si="3"/>
        <v>mit 08</v>
      </c>
      <c r="S16" t="str">
        <f t="shared" si="4"/>
        <v>mit 08 Flachnocken</v>
      </c>
      <c r="T16" t="s">
        <v>350</v>
      </c>
      <c r="U16" t="s">
        <v>550</v>
      </c>
      <c r="V16" t="str">
        <f t="shared" si="6"/>
        <v>desc 'doppelt; aus U-Traeger/gebogenem Blech; mit Fuehrung, L aufgeschweisst; mit Axialstopp; mit 08 Flachnocken; mit Versteif'</v>
      </c>
      <c r="W16" t="str">
        <f t="shared" si="7"/>
        <v>/EuC-CATA-SUPP/COMMON/D_U_GULL_X_AX_CL08_ST-GMSE desc 'doppelt; aus U-Traeger/gebogenem Blech; mit Fuehrung, L aufgeschweisst; mit Axialstopp; mit 08 Flachnocken; mit Versteif'</v>
      </c>
      <c r="X16" t="str">
        <f t="shared" si="7"/>
        <v>/EuC-CATA-SUPP/COMMON/D_U_GULL_X_AX_CL08_ST-PTSE desc 'doppelt; aus U-Traeger/gebogenem Blech; mit Fuehrung, L aufgeschweisst; mit Axialstopp; mit 08 Flachnocken; mit Versteif'</v>
      </c>
    </row>
    <row r="17" spans="1:24">
      <c r="A17" t="s">
        <v>524</v>
      </c>
      <c r="B17" t="str">
        <f t="shared" si="0"/>
        <v>!allCode.append('D_U_GULL_X_AX_CL08_X')</v>
      </c>
      <c r="C17" t="s">
        <v>609</v>
      </c>
      <c r="E17" t="str">
        <f t="shared" si="1"/>
        <v>/EuC-CATA-SUPP/COMMON/D_U_GULL_X_AX_CL08_X-GMSE</v>
      </c>
      <c r="F17" t="str">
        <f t="shared" si="2"/>
        <v>/EuC-CATA-SUPP/COMMON/D_U_GULL_X_AX_CL08_X-PTSE</v>
      </c>
      <c r="G17" t="s">
        <v>114</v>
      </c>
      <c r="H17" t="s">
        <v>537</v>
      </c>
      <c r="I17" t="s">
        <v>33</v>
      </c>
      <c r="J17" t="s">
        <v>548</v>
      </c>
      <c r="K17" t="s">
        <v>342</v>
      </c>
      <c r="L17" t="s">
        <v>541</v>
      </c>
      <c r="O17" t="s">
        <v>344</v>
      </c>
      <c r="P17" t="s">
        <v>546</v>
      </c>
      <c r="Q17" t="s">
        <v>348</v>
      </c>
      <c r="R17" t="str">
        <f t="shared" si="3"/>
        <v>mit 08</v>
      </c>
      <c r="S17" t="str">
        <f t="shared" si="4"/>
        <v>mit 08 Flachnocken</v>
      </c>
      <c r="U17" t="str">
        <f t="shared" si="5"/>
        <v/>
      </c>
      <c r="V17" t="str">
        <f t="shared" si="6"/>
        <v>desc 'doppelt; aus U-Traeger/gebogenem Blech; mit Fuehrung, L aufgeschweisst; mit Axialstopp; mit 08 Flachnocken; '</v>
      </c>
      <c r="W17" t="str">
        <f t="shared" si="7"/>
        <v>/EuC-CATA-SUPP/COMMON/D_U_GULL_X_AX_CL08_X-GMSE desc 'doppelt; aus U-Traeger/gebogenem Blech; mit Fuehrung, L aufgeschweisst; mit Axialstopp; mit 08 Flachnocken; '</v>
      </c>
      <c r="X17" t="str">
        <f t="shared" si="7"/>
        <v>/EuC-CATA-SUPP/COMMON/D_U_GULL_X_AX_CL08_X-PTSE desc 'doppelt; aus U-Traeger/gebogenem Blech; mit Fuehrung, L aufgeschweisst; mit Axialstopp; mit 08 Flachnocken; '</v>
      </c>
    </row>
    <row r="18" spans="1:24">
      <c r="A18" t="s">
        <v>500</v>
      </c>
      <c r="B18" t="str">
        <f t="shared" si="0"/>
        <v>!allCode.append('D_U_GULL_X_X_CL00_ST')</v>
      </c>
      <c r="C18" t="s">
        <v>609</v>
      </c>
      <c r="E18" t="str">
        <f t="shared" si="1"/>
        <v>/EuC-CATA-SUPP/COMMON/D_U_GULL_X_X_CL00_ST-GMSE</v>
      </c>
      <c r="F18" t="str">
        <f t="shared" si="2"/>
        <v>/EuC-CATA-SUPP/COMMON/D_U_GULL_X_X_CL00_ST-PTSE</v>
      </c>
      <c r="G18" t="s">
        <v>114</v>
      </c>
      <c r="H18" t="s">
        <v>537</v>
      </c>
      <c r="I18" t="s">
        <v>33</v>
      </c>
      <c r="J18" t="s">
        <v>548</v>
      </c>
      <c r="K18" t="s">
        <v>342</v>
      </c>
      <c r="L18" t="s">
        <v>541</v>
      </c>
      <c r="Q18" t="s">
        <v>346</v>
      </c>
      <c r="R18" t="str">
        <f t="shared" si="3"/>
        <v/>
      </c>
      <c r="S18" t="str">
        <f t="shared" si="4"/>
        <v/>
      </c>
      <c r="T18" t="s">
        <v>350</v>
      </c>
      <c r="U18" t="str">
        <f t="shared" si="5"/>
        <v>mit Versteiffungsblech</v>
      </c>
      <c r="V18" t="str">
        <f t="shared" si="6"/>
        <v>desc 'doppelt; aus U-Traeger/gebogenem Blech; mit Fuehrung, L aufgeschweisst; mit Versteiffungsblech'</v>
      </c>
      <c r="W18" t="str">
        <f t="shared" si="7"/>
        <v>/EuC-CATA-SUPP/COMMON/D_U_GULL_X_X_CL00_ST-GMSE desc 'doppelt; aus U-Traeger/gebogenem Blech; mit Fuehrung, L aufgeschweisst; mit Versteiffungsblech'</v>
      </c>
      <c r="X18" t="str">
        <f t="shared" si="7"/>
        <v>/EuC-CATA-SUPP/COMMON/D_U_GULL_X_X_CL00_ST-PTSE desc 'doppelt; aus U-Traeger/gebogenem Blech; mit Fuehrung, L aufgeschweisst; mit Versteiffungsblech'</v>
      </c>
    </row>
    <row r="19" spans="1:24">
      <c r="A19" t="s">
        <v>499</v>
      </c>
      <c r="B19" t="str">
        <f t="shared" si="0"/>
        <v>!allCode.append('D_U_GULL_X_X_CL00_X')</v>
      </c>
      <c r="C19" t="s">
        <v>609</v>
      </c>
      <c r="E19" t="str">
        <f t="shared" si="1"/>
        <v>/EuC-CATA-SUPP/COMMON/D_U_GULL_X_X_CL00_X-GMSE</v>
      </c>
      <c r="F19" t="str">
        <f t="shared" si="2"/>
        <v>/EuC-CATA-SUPP/COMMON/D_U_GULL_X_X_CL00_X-PTSE</v>
      </c>
      <c r="G19" t="s">
        <v>114</v>
      </c>
      <c r="H19" t="s">
        <v>537</v>
      </c>
      <c r="I19" t="s">
        <v>33</v>
      </c>
      <c r="J19" t="s">
        <v>548</v>
      </c>
      <c r="K19" t="s">
        <v>342</v>
      </c>
      <c r="L19" t="s">
        <v>541</v>
      </c>
      <c r="Q19" t="s">
        <v>346</v>
      </c>
      <c r="R19" t="str">
        <f t="shared" si="3"/>
        <v/>
      </c>
      <c r="S19" t="str">
        <f t="shared" si="4"/>
        <v/>
      </c>
      <c r="U19" t="str">
        <f t="shared" si="5"/>
        <v/>
      </c>
      <c r="V19" t="str">
        <f t="shared" si="6"/>
        <v>desc 'doppelt; aus U-Traeger/gebogenem Blech; mit Fuehrung, L aufgeschweisst; '</v>
      </c>
      <c r="W19" t="str">
        <f t="shared" si="7"/>
        <v>/EuC-CATA-SUPP/COMMON/D_U_GULL_X_X_CL00_X-GMSE desc 'doppelt; aus U-Traeger/gebogenem Blech; mit Fuehrung, L aufgeschweisst; '</v>
      </c>
      <c r="X19" t="str">
        <f t="shared" si="7"/>
        <v>/EuC-CATA-SUPP/COMMON/D_U_GULL_X_X_CL00_X-PTSE desc 'doppelt; aus U-Traeger/gebogenem Blech; mit Fuehrung, L aufgeschweisst; '</v>
      </c>
    </row>
    <row r="20" spans="1:24">
      <c r="A20" t="s">
        <v>498</v>
      </c>
      <c r="B20" t="str">
        <f t="shared" si="0"/>
        <v>!allCode.append('D_U_X_X_X_CL00_ST')</v>
      </c>
      <c r="C20" t="s">
        <v>609</v>
      </c>
      <c r="E20" t="str">
        <f t="shared" si="1"/>
        <v>/EuC-CATA-SUPP/COMMON/D_U_X_X_X_CL00_ST-GMSE</v>
      </c>
      <c r="F20" t="str">
        <f t="shared" si="2"/>
        <v>/EuC-CATA-SUPP/COMMON/D_U_X_X_X_CL00_ST-PTSE</v>
      </c>
      <c r="G20" t="s">
        <v>114</v>
      </c>
      <c r="H20" t="s">
        <v>537</v>
      </c>
      <c r="I20" t="s">
        <v>33</v>
      </c>
      <c r="J20" t="s">
        <v>548</v>
      </c>
      <c r="Q20" t="s">
        <v>346</v>
      </c>
      <c r="R20" t="str">
        <f t="shared" si="3"/>
        <v/>
      </c>
      <c r="S20" t="str">
        <f t="shared" si="4"/>
        <v/>
      </c>
      <c r="T20" t="s">
        <v>350</v>
      </c>
      <c r="U20" t="str">
        <f t="shared" si="5"/>
        <v>mit Versteiffungsblech</v>
      </c>
      <c r="V20" t="str">
        <f t="shared" si="6"/>
        <v>desc 'doppelt; aus U-Traeger/gebogenem Blech; mit Versteiffungsblech'</v>
      </c>
      <c r="W20" t="str">
        <f t="shared" si="7"/>
        <v>/EuC-CATA-SUPP/COMMON/D_U_X_X_X_CL00_ST-GMSE desc 'doppelt; aus U-Traeger/gebogenem Blech; mit Versteiffungsblech'</v>
      </c>
      <c r="X20" t="str">
        <f t="shared" si="7"/>
        <v>/EuC-CATA-SUPP/COMMON/D_U_X_X_X_CL00_ST-PTSE desc 'doppelt; aus U-Traeger/gebogenem Blech; mit Versteiffungsblech'</v>
      </c>
    </row>
    <row r="21" spans="1:24">
      <c r="A21" t="s">
        <v>497</v>
      </c>
      <c r="B21" t="str">
        <f t="shared" si="0"/>
        <v>!allCode.append('D_U_X_X_X_CL00_X')</v>
      </c>
      <c r="C21" t="s">
        <v>609</v>
      </c>
      <c r="E21" t="str">
        <f t="shared" si="1"/>
        <v>/EuC-CATA-SUPP/COMMON/D_U_X_X_X_CL00_X-GMSE</v>
      </c>
      <c r="F21" t="str">
        <f t="shared" si="2"/>
        <v>/EuC-CATA-SUPP/COMMON/D_U_X_X_X_CL00_X-PTSE</v>
      </c>
      <c r="G21" t="s">
        <v>114</v>
      </c>
      <c r="H21" t="s">
        <v>537</v>
      </c>
      <c r="I21" t="s">
        <v>33</v>
      </c>
      <c r="J21" t="s">
        <v>548</v>
      </c>
      <c r="Q21" t="s">
        <v>346</v>
      </c>
      <c r="R21" t="str">
        <f t="shared" si="3"/>
        <v/>
      </c>
      <c r="S21" t="str">
        <f t="shared" si="4"/>
        <v/>
      </c>
      <c r="U21" t="str">
        <f t="shared" si="5"/>
        <v/>
      </c>
      <c r="V21" t="str">
        <f t="shared" si="6"/>
        <v>desc 'doppelt; aus U-Traeger/gebogenem Blech; '</v>
      </c>
      <c r="W21" t="str">
        <f t="shared" si="7"/>
        <v>/EuC-CATA-SUPP/COMMON/D_U_X_X_X_CL00_X-GMSE desc 'doppelt; aus U-Traeger/gebogenem Blech; '</v>
      </c>
      <c r="X21" t="str">
        <f t="shared" si="7"/>
        <v>/EuC-CATA-SUPP/COMMON/D_U_X_X_X_CL00_X-PTSE desc 'doppelt; aus U-Traeger/gebogenem Blech; '</v>
      </c>
    </row>
    <row r="22" spans="1:24">
      <c r="A22" t="s">
        <v>525</v>
      </c>
      <c r="B22" t="str">
        <f t="shared" si="0"/>
        <v>!allCode.append('D_U_X_X_X_CL08_ST')</v>
      </c>
      <c r="C22" t="s">
        <v>609</v>
      </c>
      <c r="E22" t="str">
        <f t="shared" si="1"/>
        <v>/EuC-CATA-SUPP/COMMON/D_U_X_X_X_CL08_ST-GMSE</v>
      </c>
      <c r="F22" t="str">
        <f t="shared" si="2"/>
        <v>/EuC-CATA-SUPP/COMMON/D_U_X_X_X_CL08_ST-PTSE</v>
      </c>
      <c r="G22" t="s">
        <v>114</v>
      </c>
      <c r="H22" t="s">
        <v>537</v>
      </c>
      <c r="I22" t="s">
        <v>33</v>
      </c>
      <c r="J22" t="s">
        <v>548</v>
      </c>
      <c r="Q22" t="s">
        <v>348</v>
      </c>
      <c r="R22" t="str">
        <f t="shared" si="3"/>
        <v>mit 08</v>
      </c>
      <c r="S22" t="str">
        <f t="shared" si="4"/>
        <v>mit 08 Flachnocken</v>
      </c>
      <c r="T22" t="s">
        <v>350</v>
      </c>
      <c r="U22" t="str">
        <f t="shared" si="5"/>
        <v>mit Versteiffungsblech</v>
      </c>
      <c r="V22" t="str">
        <f t="shared" si="6"/>
        <v>desc 'doppelt; aus U-Traeger/gebogenem Blech; mit 08 Flachnocken; mit Versteiffungsblech'</v>
      </c>
      <c r="W22" t="str">
        <f t="shared" si="7"/>
        <v>/EuC-CATA-SUPP/COMMON/D_U_X_X_X_CL08_ST-GMSE desc 'doppelt; aus U-Traeger/gebogenem Blech; mit 08 Flachnocken; mit Versteiffungsblech'</v>
      </c>
      <c r="X22" t="str">
        <f t="shared" si="7"/>
        <v>/EuC-CATA-SUPP/COMMON/D_U_X_X_X_CL08_ST-PTSE desc 'doppelt; aus U-Traeger/gebogenem Blech; mit 08 Flachnocken; mit Versteiffungsblech'</v>
      </c>
    </row>
    <row r="23" spans="1:24">
      <c r="A23" t="s">
        <v>526</v>
      </c>
      <c r="B23" t="str">
        <f t="shared" si="0"/>
        <v>!allCode.append('D_U_X_X_X_CL08_X')</v>
      </c>
      <c r="C23" t="s">
        <v>609</v>
      </c>
      <c r="E23" t="str">
        <f t="shared" si="1"/>
        <v>/EuC-CATA-SUPP/COMMON/D_U_X_X_X_CL08_X-GMSE</v>
      </c>
      <c r="F23" t="str">
        <f t="shared" si="2"/>
        <v>/EuC-CATA-SUPP/COMMON/D_U_X_X_X_CL08_X-PTSE</v>
      </c>
      <c r="G23" t="s">
        <v>114</v>
      </c>
      <c r="H23" t="s">
        <v>537</v>
      </c>
      <c r="I23" t="s">
        <v>33</v>
      </c>
      <c r="J23" t="s">
        <v>548</v>
      </c>
      <c r="Q23" t="s">
        <v>348</v>
      </c>
      <c r="R23" t="str">
        <f t="shared" si="3"/>
        <v>mit 08</v>
      </c>
      <c r="S23" t="str">
        <f t="shared" si="4"/>
        <v>mit 08 Flachnocken</v>
      </c>
      <c r="U23" t="str">
        <f t="shared" si="5"/>
        <v/>
      </c>
      <c r="V23" t="str">
        <f t="shared" si="6"/>
        <v>desc 'doppelt; aus U-Traeger/gebogenem Blech; mit 08 Flachnocken; '</v>
      </c>
      <c r="W23" t="str">
        <f t="shared" si="7"/>
        <v>/EuC-CATA-SUPP/COMMON/D_U_X_X_X_CL08_X-GMSE desc 'doppelt; aus U-Traeger/gebogenem Blech; mit 08 Flachnocken; '</v>
      </c>
      <c r="X23" t="str">
        <f t="shared" si="7"/>
        <v>/EuC-CATA-SUPP/COMMON/D_U_X_X_X_CL08_X-PTSE desc 'doppelt; aus U-Traeger/gebogenem Blech; mit 08 Flachnocken; '</v>
      </c>
    </row>
    <row r="24" spans="1:24">
      <c r="A24" t="s">
        <v>505</v>
      </c>
      <c r="B24" t="str">
        <f t="shared" si="0"/>
        <v>!allCode.append('DC_LL_GU_FP_AX_CL16_ST')</v>
      </c>
      <c r="C24" t="s">
        <v>609</v>
      </c>
      <c r="E24" t="str">
        <f t="shared" si="1"/>
        <v>/EuC-CATA-SUPP/COMMON/DC_LL_GU_FP_AX_CL16_ST-GMSE</v>
      </c>
      <c r="F24" t="str">
        <f t="shared" si="2"/>
        <v>/EuC-CATA-SUPP/COMMON/DC_LL_GU_FP_AX_CL16_ST-PTSE</v>
      </c>
      <c r="G24" t="s">
        <v>479</v>
      </c>
      <c r="H24" t="s">
        <v>539</v>
      </c>
      <c r="I24" t="s">
        <v>340</v>
      </c>
      <c r="J24" t="s">
        <v>547</v>
      </c>
      <c r="K24" t="s">
        <v>341</v>
      </c>
      <c r="L24" t="s">
        <v>540</v>
      </c>
      <c r="M24" t="s">
        <v>21</v>
      </c>
      <c r="N24" t="s">
        <v>542</v>
      </c>
      <c r="O24" t="s">
        <v>344</v>
      </c>
      <c r="P24" t="s">
        <v>546</v>
      </c>
      <c r="Q24" t="s">
        <v>349</v>
      </c>
      <c r="R24" t="str">
        <f t="shared" si="3"/>
        <v>mit 16</v>
      </c>
      <c r="S24" t="str">
        <f t="shared" si="4"/>
        <v>mit 16 Flachnocken</v>
      </c>
      <c r="T24" t="s">
        <v>350</v>
      </c>
      <c r="U24" t="s">
        <v>551</v>
      </c>
      <c r="V24" t="str">
        <f t="shared" si="6"/>
        <v>desc 'doppelt, geschweisste Ausf.; aus 2 L-Profilen; mit Fuehrung; mit Futterblech; mit Axialstopp; mit 16 Flachnocken; mit'</v>
      </c>
      <c r="W24" t="str">
        <f t="shared" si="7"/>
        <v>/EuC-CATA-SUPP/COMMON/DC_LL_GU_FP_AX_CL16_ST-GMSE desc 'doppelt, geschweisste Ausf.; aus 2 L-Profilen; mit Fuehrung; mit Futterblech; mit Axialstopp; mit 16 Flachnocken; mit'</v>
      </c>
      <c r="X24" t="str">
        <f t="shared" si="7"/>
        <v>/EuC-CATA-SUPP/COMMON/DC_LL_GU_FP_AX_CL16_ST-PTSE desc 'doppelt, geschweisste Ausf.; aus 2 L-Profilen; mit Fuehrung; mit Futterblech; mit Axialstopp; mit 16 Flachnocken; mit'</v>
      </c>
    </row>
    <row r="25" spans="1:24">
      <c r="A25" t="s">
        <v>512</v>
      </c>
      <c r="B25" t="str">
        <f t="shared" si="0"/>
        <v>!allCode.append('DC_LL_GU_SS_X_CL00_ST')</v>
      </c>
      <c r="C25" t="s">
        <v>609</v>
      </c>
      <c r="E25" t="str">
        <f t="shared" si="1"/>
        <v>/EuC-CATA-SUPP/COMMON/DC_LL_GU_SS_X_CL00_ST-GMSE</v>
      </c>
      <c r="F25" t="str">
        <f t="shared" si="2"/>
        <v>/EuC-CATA-SUPP/COMMON/DC_LL_GU_SS_X_CL00_ST-PTSE</v>
      </c>
      <c r="G25" t="s">
        <v>479</v>
      </c>
      <c r="H25" t="s">
        <v>539</v>
      </c>
      <c r="I25" t="s">
        <v>340</v>
      </c>
      <c r="J25" t="s">
        <v>547</v>
      </c>
      <c r="K25" t="s">
        <v>341</v>
      </c>
      <c r="L25" t="s">
        <v>540</v>
      </c>
      <c r="M25" t="s">
        <v>22</v>
      </c>
      <c r="N25" t="s">
        <v>544</v>
      </c>
      <c r="Q25" t="s">
        <v>346</v>
      </c>
      <c r="R25" t="str">
        <f t="shared" si="3"/>
        <v/>
      </c>
      <c r="S25" t="str">
        <f t="shared" si="4"/>
        <v/>
      </c>
      <c r="T25" t="s">
        <v>350</v>
      </c>
      <c r="U25" t="str">
        <f t="shared" si="5"/>
        <v>mit Versteiffungsblech</v>
      </c>
      <c r="V25" t="str">
        <f t="shared" si="6"/>
        <v>desc 'doppelt, geschweisste Ausf.; aus 2 L-Profilen; mit Fuehrung; mit Gleitplatten; mit Versteiffungsblech'</v>
      </c>
      <c r="W25" t="str">
        <f t="shared" si="7"/>
        <v>/EuC-CATA-SUPP/COMMON/DC_LL_GU_SS_X_CL00_ST-GMSE desc 'doppelt, geschweisste Ausf.; aus 2 L-Profilen; mit Fuehrung; mit Gleitplatten; mit Versteiffungsblech'</v>
      </c>
      <c r="X25" t="str">
        <f t="shared" si="7"/>
        <v>/EuC-CATA-SUPP/COMMON/DC_LL_GU_SS_X_CL00_ST-PTSE desc 'doppelt, geschweisste Ausf.; aus 2 L-Profilen; mit Fuehrung; mit Gleitplatten; mit Versteiffungsblech'</v>
      </c>
    </row>
    <row r="26" spans="1:24">
      <c r="A26" t="s">
        <v>509</v>
      </c>
      <c r="B26" t="str">
        <f t="shared" si="0"/>
        <v>!allCode.append('DC_LL_X_GP_X_CL16_ST')</v>
      </c>
      <c r="C26" t="s">
        <v>609</v>
      </c>
      <c r="E26" t="str">
        <f t="shared" si="1"/>
        <v>/EuC-CATA-SUPP/COMMON/DC_LL_X_GP_X_CL16_ST-GMSE</v>
      </c>
      <c r="F26" t="str">
        <f t="shared" si="2"/>
        <v>/EuC-CATA-SUPP/COMMON/DC_LL_X_GP_X_CL16_ST-PTSE</v>
      </c>
      <c r="G26" t="s">
        <v>479</v>
      </c>
      <c r="H26" t="s">
        <v>539</v>
      </c>
      <c r="I26" t="s">
        <v>340</v>
      </c>
      <c r="J26" t="s">
        <v>547</v>
      </c>
      <c r="M26" t="s">
        <v>343</v>
      </c>
      <c r="N26" t="s">
        <v>543</v>
      </c>
      <c r="Q26" t="s">
        <v>349</v>
      </c>
      <c r="R26" t="str">
        <f t="shared" si="3"/>
        <v>mit 16</v>
      </c>
      <c r="S26" t="str">
        <f t="shared" si="4"/>
        <v>mit 16 Flachnocken</v>
      </c>
      <c r="T26" t="s">
        <v>350</v>
      </c>
      <c r="U26" t="str">
        <f t="shared" si="5"/>
        <v>mit Versteiffungsblech</v>
      </c>
      <c r="V26" t="str">
        <f t="shared" si="6"/>
        <v>desc 'doppelt, geschweisste Ausf.; aus 2 L-Profilen; mit Bodenplatte; mit 16 Flachnocken; mit Versteiffungsblech'</v>
      </c>
      <c r="W26" t="str">
        <f t="shared" si="7"/>
        <v>/EuC-CATA-SUPP/COMMON/DC_LL_X_GP_X_CL16_ST-GMSE desc 'doppelt, geschweisste Ausf.; aus 2 L-Profilen; mit Bodenplatte; mit 16 Flachnocken; mit Versteiffungsblech'</v>
      </c>
      <c r="X26" t="str">
        <f t="shared" si="7"/>
        <v>/EuC-CATA-SUPP/COMMON/DC_LL_X_GP_X_CL16_ST-PTSE desc 'doppelt, geschweisste Ausf.; aus 2 L-Profilen; mit Bodenplatte; mit 16 Flachnocken; mit Versteiffungsblech'</v>
      </c>
    </row>
    <row r="27" spans="1:24">
      <c r="A27" t="s">
        <v>515</v>
      </c>
      <c r="B27" t="str">
        <f t="shared" si="0"/>
        <v>!allCode.append('DC_LL_X_SS_X_CL00_ST')</v>
      </c>
      <c r="C27" t="s">
        <v>609</v>
      </c>
      <c r="E27" t="str">
        <f t="shared" si="1"/>
        <v>/EuC-CATA-SUPP/COMMON/DC_LL_X_SS_X_CL00_ST-GMSE</v>
      </c>
      <c r="F27" t="str">
        <f t="shared" si="2"/>
        <v>/EuC-CATA-SUPP/COMMON/DC_LL_X_SS_X_CL00_ST-PTSE</v>
      </c>
      <c r="G27" t="s">
        <v>479</v>
      </c>
      <c r="H27" t="s">
        <v>539</v>
      </c>
      <c r="I27" t="s">
        <v>340</v>
      </c>
      <c r="J27" t="s">
        <v>547</v>
      </c>
      <c r="M27" t="s">
        <v>22</v>
      </c>
      <c r="N27" t="s">
        <v>544</v>
      </c>
      <c r="Q27" t="s">
        <v>346</v>
      </c>
      <c r="R27" t="str">
        <f t="shared" si="3"/>
        <v/>
      </c>
      <c r="S27" t="str">
        <f t="shared" si="4"/>
        <v/>
      </c>
      <c r="T27" t="s">
        <v>350</v>
      </c>
      <c r="U27" t="str">
        <f t="shared" si="5"/>
        <v>mit Versteiffungsblech</v>
      </c>
      <c r="V27" t="str">
        <f t="shared" si="6"/>
        <v>desc 'doppelt, geschweisste Ausf.; aus 2 L-Profilen; mit Gleitplatten; mit Versteiffungsblech'</v>
      </c>
      <c r="W27" t="str">
        <f t="shared" si="7"/>
        <v>/EuC-CATA-SUPP/COMMON/DC_LL_X_SS_X_CL00_ST-GMSE desc 'doppelt, geschweisste Ausf.; aus 2 L-Profilen; mit Gleitplatten; mit Versteiffungsblech'</v>
      </c>
      <c r="X27" t="str">
        <f t="shared" si="7"/>
        <v>/EuC-CATA-SUPP/COMMON/DC_LL_X_SS_X_CL00_ST-PTSE desc 'doppelt, geschweisste Ausf.; aus 2 L-Profilen; mit Gleitplatten; mit Versteiffungsblech'</v>
      </c>
    </row>
    <row r="28" spans="1:24">
      <c r="A28" t="s">
        <v>517</v>
      </c>
      <c r="B28" t="str">
        <f t="shared" si="0"/>
        <v>!allCode.append('S_T_GU_X_AX_CL02_X')</v>
      </c>
      <c r="C28" t="s">
        <v>609</v>
      </c>
      <c r="E28" t="str">
        <f t="shared" si="1"/>
        <v>/EuC-CATA-SUPP/COMMON/S_T_GU_X_AX_CL02_X-GMSE</v>
      </c>
      <c r="F28" t="str">
        <f t="shared" si="2"/>
        <v>/EuC-CATA-SUPP/COMMON/S_T_GU_X_AX_CL02_X-PTSE</v>
      </c>
      <c r="G28" t="s">
        <v>104</v>
      </c>
      <c r="H28" t="s">
        <v>538</v>
      </c>
      <c r="I28" t="s">
        <v>115</v>
      </c>
      <c r="J28" t="s">
        <v>549</v>
      </c>
      <c r="K28" t="s">
        <v>341</v>
      </c>
      <c r="L28" t="s">
        <v>540</v>
      </c>
      <c r="O28" t="s">
        <v>344</v>
      </c>
      <c r="P28" t="s">
        <v>546</v>
      </c>
      <c r="Q28" t="s">
        <v>345</v>
      </c>
      <c r="R28" t="str">
        <f t="shared" si="3"/>
        <v>mit 02</v>
      </c>
      <c r="S28" t="str">
        <f t="shared" si="4"/>
        <v>mit 02 Flachnocken</v>
      </c>
      <c r="U28" t="str">
        <f t="shared" si="5"/>
        <v/>
      </c>
      <c r="V28" t="str">
        <f t="shared" si="6"/>
        <v>desc 'einzel; als T-Traeger/Konstruktion; mit Fuehrung; mit Axialstopp; mit 02 Flachnocken; '</v>
      </c>
      <c r="W28" t="str">
        <f t="shared" si="7"/>
        <v>/EuC-CATA-SUPP/COMMON/S_T_GU_X_AX_CL02_X-GMSE desc 'einzel; als T-Traeger/Konstruktion; mit Fuehrung; mit Axialstopp; mit 02 Flachnocken; '</v>
      </c>
      <c r="X28" t="str">
        <f t="shared" si="7"/>
        <v>/EuC-CATA-SUPP/COMMON/S_T_GU_X_AX_CL02_X-PTSE desc 'einzel; als T-Traeger/Konstruktion; mit Fuehrung; mit Axialstopp; mit 02 Flachnocken; '</v>
      </c>
    </row>
    <row r="29" spans="1:24">
      <c r="A29" t="s">
        <v>519</v>
      </c>
      <c r="B29" t="str">
        <f t="shared" si="0"/>
        <v>!allCode.append('S_T_GU_X_AX_CL04_X')</v>
      </c>
      <c r="C29" t="s">
        <v>609</v>
      </c>
      <c r="E29" t="str">
        <f t="shared" si="1"/>
        <v>/EuC-CATA-SUPP/COMMON/S_T_GU_X_AX_CL04_X-GMSE</v>
      </c>
      <c r="F29" t="str">
        <f t="shared" si="2"/>
        <v>/EuC-CATA-SUPP/COMMON/S_T_GU_X_AX_CL04_X-PTSE</v>
      </c>
      <c r="G29" t="s">
        <v>104</v>
      </c>
      <c r="H29" t="s">
        <v>538</v>
      </c>
      <c r="I29" t="s">
        <v>115</v>
      </c>
      <c r="J29" t="s">
        <v>549</v>
      </c>
      <c r="K29" t="s">
        <v>341</v>
      </c>
      <c r="L29" t="s">
        <v>540</v>
      </c>
      <c r="O29" t="s">
        <v>344</v>
      </c>
      <c r="P29" t="s">
        <v>546</v>
      </c>
      <c r="Q29" t="s">
        <v>347</v>
      </c>
      <c r="R29" t="str">
        <f t="shared" si="3"/>
        <v>mit 04</v>
      </c>
      <c r="S29" t="str">
        <f t="shared" si="4"/>
        <v>mit 04 Flachnocken</v>
      </c>
      <c r="U29" t="str">
        <f t="shared" si="5"/>
        <v/>
      </c>
      <c r="V29" t="str">
        <f t="shared" si="6"/>
        <v>desc 'einzel; als T-Traeger/Konstruktion; mit Fuehrung; mit Axialstopp; mit 04 Flachnocken; '</v>
      </c>
      <c r="W29" t="str">
        <f t="shared" si="7"/>
        <v>/EuC-CATA-SUPP/COMMON/S_T_GU_X_AX_CL04_X-GMSE desc 'einzel; als T-Traeger/Konstruktion; mit Fuehrung; mit Axialstopp; mit 04 Flachnocken; '</v>
      </c>
      <c r="X29" t="str">
        <f t="shared" si="7"/>
        <v>/EuC-CATA-SUPP/COMMON/S_T_GU_X_AX_CL04_X-PTSE desc 'einzel; als T-Traeger/Konstruktion; mit Fuehrung; mit Axialstopp; mit 04 Flachnocken; '</v>
      </c>
    </row>
    <row r="30" spans="1:24">
      <c r="A30" t="s">
        <v>501</v>
      </c>
      <c r="B30" t="str">
        <f t="shared" si="0"/>
        <v>!allCode.append('S_T_GU_X_AX_CL08_X')</v>
      </c>
      <c r="C30" t="s">
        <v>609</v>
      </c>
      <c r="E30" t="str">
        <f t="shared" si="1"/>
        <v>/EuC-CATA-SUPP/COMMON/S_T_GU_X_AX_CL08_X-GMSE</v>
      </c>
      <c r="F30" t="str">
        <f t="shared" si="2"/>
        <v>/EuC-CATA-SUPP/COMMON/S_T_GU_X_AX_CL08_X-PTSE</v>
      </c>
      <c r="G30" t="s">
        <v>104</v>
      </c>
      <c r="H30" t="s">
        <v>538</v>
      </c>
      <c r="I30" t="s">
        <v>115</v>
      </c>
      <c r="J30" t="s">
        <v>549</v>
      </c>
      <c r="K30" t="s">
        <v>341</v>
      </c>
      <c r="L30" t="s">
        <v>540</v>
      </c>
      <c r="O30" t="s">
        <v>344</v>
      </c>
      <c r="P30" t="s">
        <v>546</v>
      </c>
      <c r="Q30" t="s">
        <v>348</v>
      </c>
      <c r="R30" t="str">
        <f t="shared" si="3"/>
        <v>mit 08</v>
      </c>
      <c r="S30" t="str">
        <f t="shared" si="4"/>
        <v>mit 08 Flachnocken</v>
      </c>
      <c r="U30" t="str">
        <f t="shared" si="5"/>
        <v/>
      </c>
      <c r="V30" t="str">
        <f t="shared" si="6"/>
        <v>desc 'einzel; als T-Traeger/Konstruktion; mit Fuehrung; mit Axialstopp; mit 08 Flachnocken; '</v>
      </c>
      <c r="W30" t="str">
        <f t="shared" si="7"/>
        <v>/EuC-CATA-SUPP/COMMON/S_T_GU_X_AX_CL08_X-GMSE desc 'einzel; als T-Traeger/Konstruktion; mit Fuehrung; mit Axialstopp; mit 08 Flachnocken; '</v>
      </c>
      <c r="X30" t="str">
        <f t="shared" si="7"/>
        <v>/EuC-CATA-SUPP/COMMON/S_T_GU_X_AX_CL08_X-PTSE desc 'einzel; als T-Traeger/Konstruktion; mit Fuehrung; mit Axialstopp; mit 08 Flachnocken; '</v>
      </c>
    </row>
    <row r="31" spans="1:24">
      <c r="A31" t="s">
        <v>493</v>
      </c>
      <c r="B31" t="str">
        <f t="shared" si="0"/>
        <v>!allCode.append('S_T_GU_X_X_CL00_X')</v>
      </c>
      <c r="C31" t="s">
        <v>609</v>
      </c>
      <c r="E31" t="str">
        <f t="shared" si="1"/>
        <v>/EuC-CATA-SUPP/COMMON/S_T_GU_X_X_CL00_X-GMSE</v>
      </c>
      <c r="F31" t="str">
        <f t="shared" si="2"/>
        <v>/EuC-CATA-SUPP/COMMON/S_T_GU_X_X_CL00_X-PTSE</v>
      </c>
      <c r="G31" t="s">
        <v>104</v>
      </c>
      <c r="H31" t="s">
        <v>538</v>
      </c>
      <c r="I31" t="s">
        <v>115</v>
      </c>
      <c r="J31" t="s">
        <v>549</v>
      </c>
      <c r="K31" t="s">
        <v>341</v>
      </c>
      <c r="L31" t="s">
        <v>540</v>
      </c>
      <c r="Q31" t="s">
        <v>346</v>
      </c>
      <c r="R31" t="str">
        <f t="shared" si="3"/>
        <v/>
      </c>
      <c r="S31" t="str">
        <f t="shared" si="4"/>
        <v/>
      </c>
      <c r="U31" t="str">
        <f t="shared" si="5"/>
        <v/>
      </c>
      <c r="V31" t="str">
        <f t="shared" si="6"/>
        <v>desc 'einzel; als T-Traeger/Konstruktion; mit Fuehrung; '</v>
      </c>
      <c r="W31" t="str">
        <f t="shared" si="7"/>
        <v>/EuC-CATA-SUPP/COMMON/S_T_GU_X_X_CL00_X-GMSE desc 'einzel; als T-Traeger/Konstruktion; mit Fuehrung; '</v>
      </c>
      <c r="X31" t="str">
        <f t="shared" si="7"/>
        <v>/EuC-CATA-SUPP/COMMON/S_T_GU_X_X_CL00_X-PTSE desc 'einzel; als T-Traeger/Konstruktion; mit Fuehrung; '</v>
      </c>
    </row>
    <row r="32" spans="1:24">
      <c r="A32" t="s">
        <v>496</v>
      </c>
      <c r="B32" t="str">
        <f t="shared" si="0"/>
        <v>!allCode.append('S_T_X_X_X_CL00_X')</v>
      </c>
      <c r="C32" t="s">
        <v>609</v>
      </c>
      <c r="E32" t="str">
        <f t="shared" si="1"/>
        <v>/EuC-CATA-SUPP/COMMON/S_T_X_X_X_CL00_X-GMSE</v>
      </c>
      <c r="F32" t="str">
        <f t="shared" si="2"/>
        <v>/EuC-CATA-SUPP/COMMON/S_T_X_X_X_CL00_X-PTSE</v>
      </c>
      <c r="G32" t="s">
        <v>104</v>
      </c>
      <c r="H32" t="s">
        <v>538</v>
      </c>
      <c r="I32" t="s">
        <v>115</v>
      </c>
      <c r="J32" t="s">
        <v>549</v>
      </c>
      <c r="Q32" t="s">
        <v>346</v>
      </c>
      <c r="R32" t="str">
        <f t="shared" si="3"/>
        <v/>
      </c>
      <c r="S32" t="str">
        <f t="shared" si="4"/>
        <v/>
      </c>
      <c r="U32" t="str">
        <f t="shared" si="5"/>
        <v/>
      </c>
      <c r="V32" t="str">
        <f t="shared" si="6"/>
        <v>desc 'einzel; als T-Traeger/Konstruktion; '</v>
      </c>
      <c r="W32" t="str">
        <f t="shared" si="7"/>
        <v>/EuC-CATA-SUPP/COMMON/S_T_X_X_X_CL00_X-GMSE desc 'einzel; als T-Traeger/Konstruktion; '</v>
      </c>
      <c r="X32" t="str">
        <f t="shared" si="7"/>
        <v>/EuC-CATA-SUPP/COMMON/S_T_X_X_X_CL00_X-PTSE desc 'einzel; als T-Traeger/Konstruktion; '</v>
      </c>
    </row>
    <row r="33" spans="1:24">
      <c r="A33" t="s">
        <v>518</v>
      </c>
      <c r="B33" t="str">
        <f t="shared" si="0"/>
        <v>!allCode.append('S_T_X_X_X_CL02_X')</v>
      </c>
      <c r="C33" t="s">
        <v>609</v>
      </c>
      <c r="E33" t="str">
        <f t="shared" si="1"/>
        <v>/EuC-CATA-SUPP/COMMON/S_T_X_X_X_CL02_X-GMSE</v>
      </c>
      <c r="F33" t="str">
        <f t="shared" si="2"/>
        <v>/EuC-CATA-SUPP/COMMON/S_T_X_X_X_CL02_X-PTSE</v>
      </c>
      <c r="G33" t="s">
        <v>104</v>
      </c>
      <c r="H33" t="s">
        <v>538</v>
      </c>
      <c r="I33" t="s">
        <v>115</v>
      </c>
      <c r="J33" t="s">
        <v>549</v>
      </c>
      <c r="Q33" t="s">
        <v>345</v>
      </c>
      <c r="R33" t="str">
        <f t="shared" si="3"/>
        <v>mit 02</v>
      </c>
      <c r="S33" t="str">
        <f t="shared" si="4"/>
        <v>mit 02 Flachnocken</v>
      </c>
      <c r="U33" t="str">
        <f t="shared" si="5"/>
        <v/>
      </c>
      <c r="V33" t="str">
        <f t="shared" si="6"/>
        <v>desc 'einzel; als T-Traeger/Konstruktion; mit 02 Flachnocken; '</v>
      </c>
      <c r="W33" t="str">
        <f t="shared" si="7"/>
        <v>/EuC-CATA-SUPP/COMMON/S_T_X_X_X_CL02_X-GMSE desc 'einzel; als T-Traeger/Konstruktion; mit 02 Flachnocken; '</v>
      </c>
      <c r="X33" t="str">
        <f t="shared" si="7"/>
        <v>/EuC-CATA-SUPP/COMMON/S_T_X_X_X_CL02_X-PTSE desc 'einzel; als T-Traeger/Konstruktion; mit 02 Flachnocken; '</v>
      </c>
    </row>
    <row r="34" spans="1:24">
      <c r="A34" t="s">
        <v>520</v>
      </c>
      <c r="B34" t="str">
        <f t="shared" si="0"/>
        <v>!allCode.append('S_T_X_X_X_CL04_X')</v>
      </c>
      <c r="C34" t="s">
        <v>609</v>
      </c>
      <c r="E34" t="str">
        <f t="shared" si="1"/>
        <v>/EuC-CATA-SUPP/COMMON/S_T_X_X_X_CL04_X-GMSE</v>
      </c>
      <c r="F34" t="str">
        <f t="shared" si="2"/>
        <v>/EuC-CATA-SUPP/COMMON/S_T_X_X_X_CL04_X-PTSE</v>
      </c>
      <c r="G34" t="s">
        <v>104</v>
      </c>
      <c r="H34" t="s">
        <v>538</v>
      </c>
      <c r="I34" t="s">
        <v>115</v>
      </c>
      <c r="J34" t="s">
        <v>549</v>
      </c>
      <c r="Q34" t="s">
        <v>347</v>
      </c>
      <c r="R34" t="str">
        <f t="shared" si="3"/>
        <v>mit 04</v>
      </c>
      <c r="S34" t="str">
        <f t="shared" si="4"/>
        <v>mit 04 Flachnocken</v>
      </c>
      <c r="U34" t="str">
        <f t="shared" si="5"/>
        <v/>
      </c>
      <c r="V34" t="str">
        <f t="shared" si="6"/>
        <v>desc 'einzel; als T-Traeger/Konstruktion; mit 04 Flachnocken; '</v>
      </c>
      <c r="W34" t="str">
        <f t="shared" si="7"/>
        <v>/EuC-CATA-SUPP/COMMON/S_T_X_X_X_CL04_X-GMSE desc 'einzel; als T-Traeger/Konstruktion; mit 04 Flachnocken; '</v>
      </c>
      <c r="X34" t="str">
        <f t="shared" si="7"/>
        <v>/EuC-CATA-SUPP/COMMON/S_T_X_X_X_CL04_X-PTSE desc 'einzel; als T-Traeger/Konstruktion; mit 04 Flachnocken; '</v>
      </c>
    </row>
    <row r="35" spans="1:24">
      <c r="A35" t="s">
        <v>506</v>
      </c>
      <c r="B35" t="str">
        <f t="shared" si="0"/>
        <v>!allCode.append('S_T_X_X_X_CL08_X')</v>
      </c>
      <c r="C35" t="s">
        <v>609</v>
      </c>
      <c r="E35" t="str">
        <f t="shared" si="1"/>
        <v>/EuC-CATA-SUPP/COMMON/S_T_X_X_X_CL08_X-GMSE</v>
      </c>
      <c r="F35" t="str">
        <f t="shared" si="2"/>
        <v>/EuC-CATA-SUPP/COMMON/S_T_X_X_X_CL08_X-PTSE</v>
      </c>
      <c r="G35" t="s">
        <v>104</v>
      </c>
      <c r="H35" t="s">
        <v>538</v>
      </c>
      <c r="I35" t="s">
        <v>115</v>
      </c>
      <c r="J35" t="s">
        <v>549</v>
      </c>
      <c r="Q35" t="s">
        <v>348</v>
      </c>
      <c r="R35" t="str">
        <f t="shared" si="3"/>
        <v>mit 08</v>
      </c>
      <c r="S35" t="str">
        <f t="shared" si="4"/>
        <v>mit 08 Flachnocken</v>
      </c>
      <c r="U35" t="str">
        <f t="shared" si="5"/>
        <v/>
      </c>
      <c r="V35" t="str">
        <f t="shared" si="6"/>
        <v>desc 'einzel; als T-Traeger/Konstruktion; mit 08 Flachnocken; '</v>
      </c>
      <c r="W35" t="str">
        <f t="shared" si="7"/>
        <v>/EuC-CATA-SUPP/COMMON/S_T_X_X_X_CL08_X-GMSE desc 'einzel; als T-Traeger/Konstruktion; mit 08 Flachnocken; '</v>
      </c>
      <c r="X35" t="str">
        <f t="shared" si="7"/>
        <v>/EuC-CATA-SUPP/COMMON/S_T_X_X_X_CL08_X-PTSE desc 'einzel; als T-Traeger/Konstruktion; mit 08 Flachnocken; '</v>
      </c>
    </row>
    <row r="36" spans="1:24">
      <c r="C36">
        <f>COUNTIF(C3:C35,"")</f>
        <v>0</v>
      </c>
    </row>
    <row r="38" spans="1:24">
      <c r="B38" t="s">
        <v>527</v>
      </c>
    </row>
    <row r="39" spans="1:24">
      <c r="B39" t="s">
        <v>528</v>
      </c>
    </row>
  </sheetData>
  <sortState xmlns:xlrd2="http://schemas.microsoft.com/office/spreadsheetml/2017/richdata2" ref="A3:A35">
    <sortCondition ref="A35"/>
  </sortState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CCFD0-251F-4712-95DB-9E77B8BFF80D}">
  <dimension ref="A1:F80"/>
  <sheetViews>
    <sheetView topLeftCell="A31" workbookViewId="0"/>
    <sheetView workbookViewId="1"/>
    <sheetView workbookViewId="2"/>
  </sheetViews>
  <sheetFormatPr baseColWidth="10" defaultRowHeight="12.75"/>
  <cols>
    <col min="1" max="1" width="45.5703125" bestFit="1" customWidth="1"/>
    <col min="2" max="2" width="3" bestFit="1" customWidth="1"/>
    <col min="4" max="4" width="43.5703125" bestFit="1" customWidth="1"/>
    <col min="5" max="5" width="43.7109375" bestFit="1" customWidth="1"/>
    <col min="6" max="6" width="51" bestFit="1" customWidth="1"/>
  </cols>
  <sheetData>
    <row r="1" spans="1:6">
      <c r="D1" s="76" t="s">
        <v>557</v>
      </c>
      <c r="E1" s="76" t="s">
        <v>558</v>
      </c>
    </row>
    <row r="2" spans="1:6">
      <c r="D2" t="str">
        <f>CATA!$CR$5</f>
        <v>/EUC-VNX_00B-DN1-DN2-0-0_Func-SB</v>
      </c>
      <c r="E2" t="str">
        <f>CATA!CR34</f>
        <v>/EUC-VMX_00F-DN1-DN2-0-0_Func-SB</v>
      </c>
      <c r="F2" s="71" t="s">
        <v>559</v>
      </c>
    </row>
    <row r="3" spans="1:6">
      <c r="A3" t="str">
        <f>CATA!E$2</f>
        <v>DNIN - Nominal diameter inlet</v>
      </c>
      <c r="B3">
        <v>1</v>
      </c>
      <c r="C3" t="str">
        <f>"-PA"&amp;TEXT(B3,"00")</f>
        <v>-PA01</v>
      </c>
      <c r="D3" t="str">
        <f>D$2&amp;$C3</f>
        <v>/EUC-VNX_00B-DN1-DN2-0-0_Func-SB-PA01</v>
      </c>
      <c r="E3" t="str">
        <f>E$2&amp;$C3</f>
        <v>/EUC-VMX_00F-DN1-DN2-0-0_Func-SB-PA01</v>
      </c>
      <c r="F3" t="str">
        <f>IF($A3&lt;&gt;"unset","stext '"&amp;$A3&amp;"'","stext ''")</f>
        <v>stext 'DNIN - Nominal diameter inlet'</v>
      </c>
    </row>
    <row r="4" spans="1:6">
      <c r="A4" t="str">
        <f>CATA!F$2</f>
        <v>DNOU - Nominal diameter outlet</v>
      </c>
      <c r="B4">
        <v>2</v>
      </c>
      <c r="C4" t="str">
        <f t="shared" ref="C4:C67" si="0">"-PA"&amp;TEXT(B4,"00")</f>
        <v>-PA02</v>
      </c>
      <c r="D4" t="str">
        <f t="shared" ref="D4:D67" si="1">D$2&amp;C4</f>
        <v>/EUC-VNX_00B-DN1-DN2-0-0_Func-SB-PA02</v>
      </c>
      <c r="E4" t="str">
        <f t="shared" ref="E4:E67" si="2">E$2&amp;$C4</f>
        <v>/EUC-VMX_00F-DN1-DN2-0-0_Func-SB-PA02</v>
      </c>
      <c r="F4" t="str">
        <f t="shared" ref="F4:F67" si="3">IF($A4&lt;&gt;"unset","stext '"&amp;$A4&amp;"'","stext ''")</f>
        <v>stext 'DNOU - Nominal diameter outlet'</v>
      </c>
    </row>
    <row r="5" spans="1:6">
      <c r="A5" t="str">
        <f>CATA!G$2</f>
        <v>ODIN - Actual diameter inlet</v>
      </c>
      <c r="B5">
        <v>3</v>
      </c>
      <c r="C5" t="str">
        <f t="shared" si="0"/>
        <v>-PA03</v>
      </c>
      <c r="D5" t="str">
        <f t="shared" si="1"/>
        <v>/EUC-VNX_00B-DN1-DN2-0-0_Func-SB-PA03</v>
      </c>
      <c r="E5" t="str">
        <f t="shared" si="2"/>
        <v>/EUC-VMX_00F-DN1-DN2-0-0_Func-SB-PA03</v>
      </c>
      <c r="F5" t="str">
        <f t="shared" si="3"/>
        <v>stext 'ODIN - Actual diameter inlet'</v>
      </c>
    </row>
    <row r="6" spans="1:6">
      <c r="A6" t="str">
        <f>CATA!H$2</f>
        <v>ODOU - Actual diameter outlet</v>
      </c>
      <c r="B6">
        <v>4</v>
      </c>
      <c r="C6" t="str">
        <f t="shared" si="0"/>
        <v>-PA04</v>
      </c>
      <c r="D6" t="str">
        <f t="shared" si="1"/>
        <v>/EUC-VNX_00B-DN1-DN2-0-0_Func-SB-PA04</v>
      </c>
      <c r="E6" t="str">
        <f t="shared" si="2"/>
        <v>/EUC-VMX_00F-DN1-DN2-0-0_Func-SB-PA04</v>
      </c>
      <c r="F6" t="str">
        <f t="shared" si="3"/>
        <v>stext 'ODOU - Actual diameter outlet'</v>
      </c>
    </row>
    <row r="7" spans="1:6">
      <c r="A7" t="str">
        <f>CATA!I$2</f>
        <v>COIN - Component Connection Inlet</v>
      </c>
      <c r="B7">
        <v>5</v>
      </c>
      <c r="C7" t="str">
        <f t="shared" si="0"/>
        <v>-PA05</v>
      </c>
      <c r="D7" t="str">
        <f t="shared" si="1"/>
        <v>/EUC-VNX_00B-DN1-DN2-0-0_Func-SB-PA05</v>
      </c>
      <c r="E7" t="str">
        <f t="shared" si="2"/>
        <v>/EUC-VMX_00F-DN1-DN2-0-0_Func-SB-PA05</v>
      </c>
      <c r="F7" t="str">
        <f t="shared" si="3"/>
        <v>stext 'COIN - Component Connection Inlet'</v>
      </c>
    </row>
    <row r="8" spans="1:6">
      <c r="A8" t="str">
        <f>CATA!J$2</f>
        <v>COOU - Component Connection Outlet</v>
      </c>
      <c r="B8">
        <v>6</v>
      </c>
      <c r="C8" t="str">
        <f t="shared" si="0"/>
        <v>-PA06</v>
      </c>
      <c r="D8" t="str">
        <f t="shared" si="1"/>
        <v>/EUC-VNX_00B-DN1-DN2-0-0_Func-SB-PA06</v>
      </c>
      <c r="E8" t="str">
        <f t="shared" si="2"/>
        <v>/EUC-VMX_00F-DN1-DN2-0-0_Func-SB-PA06</v>
      </c>
      <c r="F8" t="str">
        <f t="shared" si="3"/>
        <v>stext 'COOU - Component Connection Outlet'</v>
      </c>
    </row>
    <row r="9" spans="1:6">
      <c r="A9" t="str">
        <f>CATA!K$2</f>
        <v>WTIN - wall thickness inlet</v>
      </c>
      <c r="B9">
        <v>7</v>
      </c>
      <c r="C9" t="str">
        <f t="shared" si="0"/>
        <v>-PA07</v>
      </c>
      <c r="D9" t="str">
        <f t="shared" si="1"/>
        <v>/EUC-VNX_00B-DN1-DN2-0-0_Func-SB-PA07</v>
      </c>
      <c r="E9" t="str">
        <f t="shared" si="2"/>
        <v>/EUC-VMX_00F-DN1-DN2-0-0_Func-SB-PA07</v>
      </c>
      <c r="F9" t="str">
        <f t="shared" si="3"/>
        <v>stext 'WTIN - wall thickness inlet'</v>
      </c>
    </row>
    <row r="10" spans="1:6">
      <c r="A10" t="str">
        <f>CATA!L$2</f>
        <v>WTOU - wall thickness outlet</v>
      </c>
      <c r="B10">
        <v>8</v>
      </c>
      <c r="C10" t="str">
        <f t="shared" si="0"/>
        <v>-PA08</v>
      </c>
      <c r="D10" t="str">
        <f t="shared" si="1"/>
        <v>/EUC-VNX_00B-DN1-DN2-0-0_Func-SB-PA08</v>
      </c>
      <c r="E10" t="str">
        <f t="shared" si="2"/>
        <v>/EUC-VMX_00F-DN1-DN2-0-0_Func-SB-PA08</v>
      </c>
      <c r="F10" t="str">
        <f t="shared" si="3"/>
        <v>stext 'WTOU - wall thickness outlet'</v>
      </c>
    </row>
    <row r="11" spans="1:6">
      <c r="A11" t="str">
        <f>CATA!M$2</f>
        <v>MASS - Total Weight in [kg]</v>
      </c>
      <c r="B11">
        <v>9</v>
      </c>
      <c r="C11" t="str">
        <f t="shared" si="0"/>
        <v>-PA09</v>
      </c>
      <c r="D11" t="str">
        <f t="shared" si="1"/>
        <v>/EUC-VNX_00B-DN1-DN2-0-0_Func-SB-PA09</v>
      </c>
      <c r="E11" t="str">
        <f t="shared" si="2"/>
        <v>/EUC-VMX_00F-DN1-DN2-0-0_Func-SB-PA09</v>
      </c>
      <c r="F11" t="str">
        <f t="shared" si="3"/>
        <v>stext 'MASS - Total Weight in [kg]'</v>
      </c>
    </row>
    <row r="12" spans="1:6">
      <c r="A12" t="str">
        <f>CATA!N$2</f>
        <v>HEIG - Centerline (CL)</v>
      </c>
      <c r="B12">
        <v>10</v>
      </c>
      <c r="C12" t="str">
        <f t="shared" si="0"/>
        <v>-PA10</v>
      </c>
      <c r="D12" t="str">
        <f t="shared" si="1"/>
        <v>/EUC-VNX_00B-DN1-DN2-0-0_Func-SB-PA10</v>
      </c>
      <c r="E12" t="str">
        <f t="shared" si="2"/>
        <v>/EUC-VMX_00F-DN1-DN2-0-0_Func-SB-PA10</v>
      </c>
      <c r="F12" t="str">
        <f t="shared" si="3"/>
        <v>stext 'HEIG - Centerline (CL)'</v>
      </c>
    </row>
    <row r="13" spans="1:6">
      <c r="A13" t="str">
        <f>CATA!O$2</f>
        <v>CLDI - Clamp inner diameter</v>
      </c>
      <c r="B13">
        <v>11</v>
      </c>
      <c r="C13" t="str">
        <f t="shared" si="0"/>
        <v>-PA11</v>
      </c>
      <c r="D13" t="str">
        <f t="shared" si="1"/>
        <v>/EUC-VNX_00B-DN1-DN2-0-0_Func-SB-PA11</v>
      </c>
      <c r="E13" t="str">
        <f t="shared" si="2"/>
        <v>/EUC-VMX_00F-DN1-DN2-0-0_Func-SB-PA11</v>
      </c>
      <c r="F13" t="str">
        <f t="shared" si="3"/>
        <v>stext 'CLDI - Clamp inner diameter'</v>
      </c>
    </row>
    <row r="14" spans="1:6">
      <c r="A14" t="str">
        <f>CATA!P$2</f>
        <v>CLAA - Clamp outer witdh (A+2xC)</v>
      </c>
      <c r="B14">
        <v>12</v>
      </c>
      <c r="C14" t="str">
        <f t="shared" si="0"/>
        <v>-PA12</v>
      </c>
      <c r="D14" t="str">
        <f t="shared" si="1"/>
        <v>/EUC-VNX_00B-DN1-DN2-0-0_Func-SB-PA12</v>
      </c>
      <c r="E14" t="str">
        <f t="shared" si="2"/>
        <v>/EUC-VMX_00F-DN1-DN2-0-0_Func-SB-PA12</v>
      </c>
      <c r="F14" t="str">
        <f t="shared" si="3"/>
        <v>stext 'CLAA - Clamp outer witdh (A+2xC)'</v>
      </c>
    </row>
    <row r="15" spans="1:6">
      <c r="A15" t="str">
        <f>CATA!Q$2</f>
        <v>CLWI - Clamp sheet swidth (B)</v>
      </c>
      <c r="B15">
        <v>13</v>
      </c>
      <c r="C15" t="str">
        <f t="shared" si="0"/>
        <v>-PA13</v>
      </c>
      <c r="D15" t="str">
        <f t="shared" si="1"/>
        <v>/EUC-VNX_00B-DN1-DN2-0-0_Func-SB-PA13</v>
      </c>
      <c r="E15" t="str">
        <f t="shared" si="2"/>
        <v>/EUC-VMX_00F-DN1-DN2-0-0_Func-SB-PA13</v>
      </c>
      <c r="F15" t="str">
        <f t="shared" si="3"/>
        <v>stext 'CLWI - Clamp sheet swidth (B)'</v>
      </c>
    </row>
    <row r="16" spans="1:6">
      <c r="A16" t="str">
        <f>CATA!R$2</f>
        <v>CLTH - Clamp wall thickness (sC)</v>
      </c>
      <c r="B16">
        <v>14</v>
      </c>
      <c r="C16" t="str">
        <f t="shared" si="0"/>
        <v>-PA14</v>
      </c>
      <c r="D16" t="str">
        <f t="shared" si="1"/>
        <v>/EUC-VNX_00B-DN1-DN2-0-0_Func-SB-PA14</v>
      </c>
      <c r="E16" t="str">
        <f t="shared" si="2"/>
        <v>/EUC-VMX_00F-DN1-DN2-0-0_Func-SB-PA14</v>
      </c>
      <c r="F16" t="str">
        <f t="shared" si="3"/>
        <v>stext 'CLTH - Clamp wall thickness (sC)'</v>
      </c>
    </row>
    <row r="17" spans="1:6">
      <c r="A17" t="str">
        <f>CATA!S$2</f>
        <v>CLDZ - Clamps clearance (f)</v>
      </c>
      <c r="B17">
        <v>15</v>
      </c>
      <c r="C17" t="str">
        <f t="shared" si="0"/>
        <v>-PA15</v>
      </c>
      <c r="D17" t="str">
        <f t="shared" si="1"/>
        <v>/EUC-VNX_00B-DN1-DN2-0-0_Func-SB-PA15</v>
      </c>
      <c r="E17" t="str">
        <f t="shared" si="2"/>
        <v>/EUC-VMX_00F-DN1-DN2-0-0_Func-SB-PA15</v>
      </c>
      <c r="F17" t="str">
        <f t="shared" si="3"/>
        <v>stext 'CLDZ - Clamps clearance (f)'</v>
      </c>
    </row>
    <row r="18" spans="1:6">
      <c r="A18" t="str">
        <f>CATA!T$2</f>
        <v>CLDX - Clamps - stiffplate dist.(Z)</v>
      </c>
      <c r="B18">
        <v>16</v>
      </c>
      <c r="C18" t="str">
        <f t="shared" si="0"/>
        <v>-PA16</v>
      </c>
      <c r="D18" t="str">
        <f t="shared" si="1"/>
        <v>/EUC-VNX_00B-DN1-DN2-0-0_Func-SB-PA16</v>
      </c>
      <c r="E18" t="str">
        <f t="shared" si="2"/>
        <v>/EUC-VMX_00F-DN1-DN2-0-0_Func-SB-PA16</v>
      </c>
      <c r="F18" t="str">
        <f t="shared" si="3"/>
        <v>stext 'CLDX - Clamps - stiffplate dist.(Z)'</v>
      </c>
    </row>
    <row r="19" spans="1:6">
      <c r="A19" t="str">
        <f>CATA!U$2</f>
        <v>CLHE - Clamp - clearance to bottom (BoP-sC)</v>
      </c>
      <c r="B19">
        <v>17</v>
      </c>
      <c r="C19" t="str">
        <f t="shared" si="0"/>
        <v>-PA17</v>
      </c>
      <c r="D19" t="str">
        <f t="shared" si="1"/>
        <v>/EUC-VNX_00B-DN1-DN2-0-0_Func-SB-PA17</v>
      </c>
      <c r="E19" t="str">
        <f t="shared" si="2"/>
        <v>/EUC-VMX_00F-DN1-DN2-0-0_Func-SB-PA17</v>
      </c>
      <c r="F19" t="str">
        <f t="shared" si="3"/>
        <v>stext 'CLHE - Clamp - clearance to bottom (BoP-sC)'</v>
      </c>
    </row>
    <row r="20" spans="1:6">
      <c r="A20" t="str">
        <f>CATA!V$2</f>
        <v>LGUH - Guiding L Height</v>
      </c>
      <c r="B20">
        <v>18</v>
      </c>
      <c r="C20" t="str">
        <f t="shared" si="0"/>
        <v>-PA18</v>
      </c>
      <c r="D20" t="str">
        <f t="shared" si="1"/>
        <v>/EUC-VNX_00B-DN1-DN2-0-0_Func-SB-PA18</v>
      </c>
      <c r="E20" t="str">
        <f t="shared" si="2"/>
        <v>/EUC-VMX_00F-DN1-DN2-0-0_Func-SB-PA18</v>
      </c>
      <c r="F20" t="str">
        <f t="shared" si="3"/>
        <v>stext 'LGUH - Guiding L Height'</v>
      </c>
    </row>
    <row r="21" spans="1:6">
      <c r="A21" t="str">
        <f>CATA!W$2</f>
        <v>LGUW - Guiding L Width</v>
      </c>
      <c r="B21">
        <v>19</v>
      </c>
      <c r="C21" t="str">
        <f t="shared" si="0"/>
        <v>-PA19</v>
      </c>
      <c r="D21" t="str">
        <f t="shared" si="1"/>
        <v>/EUC-VNX_00B-DN1-DN2-0-0_Func-SB-PA19</v>
      </c>
      <c r="E21" t="str">
        <f t="shared" si="2"/>
        <v>/EUC-VMX_00F-DN1-DN2-0-0_Func-SB-PA19</v>
      </c>
      <c r="F21" t="str">
        <f t="shared" si="3"/>
        <v>stext 'LGUW - Guiding L Width'</v>
      </c>
    </row>
    <row r="22" spans="1:6">
      <c r="A22" t="str">
        <f>CATA!X$2</f>
        <v>LGUT - Guiding L THK</v>
      </c>
      <c r="B22">
        <v>20</v>
      </c>
      <c r="C22" t="str">
        <f t="shared" si="0"/>
        <v>-PA20</v>
      </c>
      <c r="D22" t="str">
        <f t="shared" si="1"/>
        <v>/EUC-VNX_00B-DN1-DN2-0-0_Func-SB-PA20</v>
      </c>
      <c r="E22" t="str">
        <f t="shared" si="2"/>
        <v>/EUC-VMX_00F-DN1-DN2-0-0_Func-SB-PA20</v>
      </c>
      <c r="F22" t="str">
        <f t="shared" si="3"/>
        <v>stext 'LGUT - Guiding L THK'</v>
      </c>
    </row>
    <row r="23" spans="1:6">
      <c r="A23" t="str">
        <f>CATA!Y$2</f>
        <v>LGUL - Guiding L Length</v>
      </c>
      <c r="B23">
        <v>21</v>
      </c>
      <c r="C23" t="str">
        <f t="shared" si="0"/>
        <v>-PA21</v>
      </c>
      <c r="D23" t="str">
        <f t="shared" si="1"/>
        <v>/EUC-VNX_00B-DN1-DN2-0-0_Func-SB-PA21</v>
      </c>
      <c r="E23" t="str">
        <f t="shared" si="2"/>
        <v>/EUC-VMX_00F-DN1-DN2-0-0_Func-SB-PA21</v>
      </c>
      <c r="F23" t="str">
        <f t="shared" si="3"/>
        <v>stext 'LGUL - Guiding L Length'</v>
      </c>
    </row>
    <row r="24" spans="1:6">
      <c r="A24" t="str">
        <f>CATA!Z$2</f>
        <v>CANG - Angle of clamp ori</v>
      </c>
      <c r="B24">
        <v>22</v>
      </c>
      <c r="C24" t="str">
        <f t="shared" si="0"/>
        <v>-PA22</v>
      </c>
      <c r="D24" t="str">
        <f t="shared" si="1"/>
        <v>/EUC-VNX_00B-DN1-DN2-0-0_Func-SB-PA22</v>
      </c>
      <c r="E24" t="str">
        <f t="shared" si="2"/>
        <v>/EUC-VMX_00F-DN1-DN2-0-0_Func-SB-PA22</v>
      </c>
      <c r="F24" t="str">
        <f t="shared" si="3"/>
        <v>stext 'CANG - Angle of clamp ori'</v>
      </c>
    </row>
    <row r="25" spans="1:6">
      <c r="A25" t="str">
        <f>CATA!AA$2</f>
        <v>unset</v>
      </c>
      <c r="B25">
        <v>23</v>
      </c>
      <c r="C25" t="str">
        <f t="shared" si="0"/>
        <v>-PA23</v>
      </c>
      <c r="D25" t="str">
        <f t="shared" si="1"/>
        <v>/EUC-VNX_00B-DN1-DN2-0-0_Func-SB-PA23</v>
      </c>
      <c r="E25" t="str">
        <f t="shared" si="2"/>
        <v>/EUC-VMX_00F-DN1-DN2-0-0_Func-SB-PA23</v>
      </c>
      <c r="F25" t="str">
        <f t="shared" si="3"/>
        <v>stext ''</v>
      </c>
    </row>
    <row r="26" spans="1:6">
      <c r="A26" t="str">
        <f>CATA!AB$2</f>
        <v>Width of Clamp Bolt Plate</v>
      </c>
      <c r="B26">
        <v>24</v>
      </c>
      <c r="C26" t="str">
        <f t="shared" si="0"/>
        <v>-PA24</v>
      </c>
      <c r="D26" t="str">
        <f t="shared" si="1"/>
        <v>/EUC-VNX_00B-DN1-DN2-0-0_Func-SB-PA24</v>
      </c>
      <c r="E26" t="str">
        <f t="shared" si="2"/>
        <v>/EUC-VMX_00F-DN1-DN2-0-0_Func-SB-PA24</v>
      </c>
      <c r="F26" t="str">
        <f t="shared" si="3"/>
        <v>stext 'Width of Clamp Bolt Plate'</v>
      </c>
    </row>
    <row r="27" spans="1:6">
      <c r="A27" t="str">
        <f>CATA!AC$2</f>
        <v>Clearance between Bolt Plate</v>
      </c>
      <c r="B27">
        <v>25</v>
      </c>
      <c r="C27" t="str">
        <f t="shared" si="0"/>
        <v>-PA25</v>
      </c>
      <c r="D27" t="str">
        <f t="shared" si="1"/>
        <v>/EUC-VNX_00B-DN1-DN2-0-0_Func-SB-PA25</v>
      </c>
      <c r="E27" t="str">
        <f t="shared" si="2"/>
        <v>/EUC-VMX_00F-DN1-DN2-0-0_Func-SB-PA25</v>
      </c>
      <c r="F27" t="str">
        <f t="shared" si="3"/>
        <v>stext 'Clearance between Bolt Plate'</v>
      </c>
    </row>
    <row r="28" spans="1:6">
      <c r="A28" t="str">
        <f>CATA!AD$2</f>
        <v>Thickness of Bolt Plate</v>
      </c>
      <c r="B28">
        <v>26</v>
      </c>
      <c r="C28" t="str">
        <f t="shared" si="0"/>
        <v>-PA26</v>
      </c>
      <c r="D28" t="str">
        <f t="shared" si="1"/>
        <v>/EUC-VNX_00B-DN1-DN2-0-0_Func-SB-PA26</v>
      </c>
      <c r="E28" t="str">
        <f t="shared" si="2"/>
        <v>/EUC-VMX_00F-DN1-DN2-0-0_Func-SB-PA26</v>
      </c>
      <c r="F28" t="str">
        <f t="shared" si="3"/>
        <v>stext 'Thickness of Bolt Plate'</v>
      </c>
    </row>
    <row r="29" spans="1:6">
      <c r="A29" t="str">
        <f>CATA!AE$2</f>
        <v>Required Lenght of Bolt excl Nuts and Washer</v>
      </c>
      <c r="B29">
        <v>27</v>
      </c>
      <c r="C29" t="str">
        <f t="shared" si="0"/>
        <v>-PA27</v>
      </c>
      <c r="D29" t="str">
        <f t="shared" si="1"/>
        <v>/EUC-VNX_00B-DN1-DN2-0-0_Func-SB-PA27</v>
      </c>
      <c r="E29" t="str">
        <f t="shared" si="2"/>
        <v>/EUC-VMX_00F-DN1-DN2-0-0_Func-SB-PA27</v>
      </c>
      <c r="F29" t="str">
        <f t="shared" si="3"/>
        <v>stext 'Required Lenght of Bolt excl Nuts and Washer'</v>
      </c>
    </row>
    <row r="30" spans="1:6">
      <c r="A30" t="str">
        <f>CATA!AF$2</f>
        <v>unset</v>
      </c>
      <c r="B30">
        <v>28</v>
      </c>
      <c r="C30" t="str">
        <f t="shared" si="0"/>
        <v>-PA28</v>
      </c>
      <c r="D30" t="str">
        <f t="shared" si="1"/>
        <v>/EUC-VNX_00B-DN1-DN2-0-0_Func-SB-PA28</v>
      </c>
      <c r="E30" t="str">
        <f t="shared" si="2"/>
        <v>/EUC-VMX_00F-DN1-DN2-0-0_Func-SB-PA28</v>
      </c>
      <c r="F30" t="str">
        <f t="shared" si="3"/>
        <v>stext ''</v>
      </c>
    </row>
    <row r="31" spans="1:6">
      <c r="A31" t="str">
        <f>CATA!AG$2</f>
        <v>unset</v>
      </c>
      <c r="B31">
        <v>29</v>
      </c>
      <c r="C31" t="str">
        <f t="shared" si="0"/>
        <v>-PA29</v>
      </c>
      <c r="D31" t="str">
        <f t="shared" si="1"/>
        <v>/EUC-VNX_00B-DN1-DN2-0-0_Func-SB-PA29</v>
      </c>
      <c r="E31" t="str">
        <f t="shared" si="2"/>
        <v>/EUC-VMX_00F-DN1-DN2-0-0_Func-SB-PA29</v>
      </c>
      <c r="F31" t="str">
        <f t="shared" si="3"/>
        <v>stext ''</v>
      </c>
    </row>
    <row r="32" spans="1:6">
      <c r="A32" t="str">
        <f>CATA!AH$2</f>
        <v>FDIE - Foot biggest height (E)</v>
      </c>
      <c r="B32">
        <v>30</v>
      </c>
      <c r="C32" t="str">
        <f t="shared" si="0"/>
        <v>-PA30</v>
      </c>
      <c r="D32" t="str">
        <f t="shared" si="1"/>
        <v>/EUC-VNX_00B-DN1-DN2-0-0_Func-SB-PA30</v>
      </c>
      <c r="E32" t="str">
        <f t="shared" si="2"/>
        <v>/EUC-VMX_00F-DN1-DN2-0-0_Func-SB-PA30</v>
      </c>
      <c r="F32" t="str">
        <f t="shared" si="3"/>
        <v>stext 'FDIE - Foot biggest height (E)'</v>
      </c>
    </row>
    <row r="33" spans="1:6">
      <c r="A33" t="str">
        <f>CATA!AI$2</f>
        <v>FDIB - Foot width (A) or Dist betw. L-Steel</v>
      </c>
      <c r="B33">
        <v>31</v>
      </c>
      <c r="C33" t="str">
        <f t="shared" si="0"/>
        <v>-PA31</v>
      </c>
      <c r="D33" t="str">
        <f t="shared" si="1"/>
        <v>/EUC-VNX_00B-DN1-DN2-0-0_Func-SB-PA31</v>
      </c>
      <c r="E33" t="str">
        <f t="shared" si="2"/>
        <v>/EUC-VMX_00F-DN1-DN2-0-0_Func-SB-PA31</v>
      </c>
      <c r="F33" t="str">
        <f t="shared" si="3"/>
        <v>stext 'FDIB - Foot width (A) or Dist betw. L-Steel'</v>
      </c>
    </row>
    <row r="34" spans="1:6">
      <c r="A34" t="str">
        <f>CATA!AJ$2</f>
        <v>FDIL - Foot length (L)</v>
      </c>
      <c r="B34">
        <v>32</v>
      </c>
      <c r="C34" t="str">
        <f t="shared" si="0"/>
        <v>-PA32</v>
      </c>
      <c r="D34" t="str">
        <f t="shared" si="1"/>
        <v>/EUC-VNX_00B-DN1-DN2-0-0_Func-SB-PA32</v>
      </c>
      <c r="E34" t="str">
        <f t="shared" si="2"/>
        <v>/EUC-VMX_00F-DN1-DN2-0-0_Func-SB-PA32</v>
      </c>
      <c r="F34" t="str">
        <f t="shared" si="3"/>
        <v>stext 'FDIL - Foot length (L)'</v>
      </c>
    </row>
    <row r="35" spans="1:6">
      <c r="A35" t="str">
        <f>CATA!AK$2</f>
        <v>FDIT - Foot sheet thickness (sf) or L Thickness</v>
      </c>
      <c r="B35">
        <v>33</v>
      </c>
      <c r="C35" t="str">
        <f t="shared" si="0"/>
        <v>-PA33</v>
      </c>
      <c r="D35" t="str">
        <f t="shared" si="1"/>
        <v>/EUC-VNX_00B-DN1-DN2-0-0_Func-SB-PA33</v>
      </c>
      <c r="E35" t="str">
        <f t="shared" si="2"/>
        <v>/EUC-VMX_00F-DN1-DN2-0-0_Func-SB-PA33</v>
      </c>
      <c r="F35" t="str">
        <f t="shared" si="3"/>
        <v>stext 'FDIT - Foot sheet thickness (sf) or L Thickness'</v>
      </c>
    </row>
    <row r="36" spans="1:6">
      <c r="A36" t="str">
        <f>CATA!AL$2</f>
        <v>FDIO - Clamp inset from end of Shoe</v>
      </c>
      <c r="B36">
        <v>34</v>
      </c>
      <c r="C36" t="str">
        <f t="shared" si="0"/>
        <v>-PA34</v>
      </c>
      <c r="D36" t="str">
        <f t="shared" si="1"/>
        <v>/EUC-VNX_00B-DN1-DN2-0-0_Func-SB-PA34</v>
      </c>
      <c r="E36" t="str">
        <f t="shared" si="2"/>
        <v>/EUC-VMX_00F-DN1-DN2-0-0_Func-SB-PA34</v>
      </c>
      <c r="F36" t="str">
        <f t="shared" si="3"/>
        <v>stext 'FDIO - Clamp inset from end of Shoe'</v>
      </c>
    </row>
    <row r="37" spans="1:6">
      <c r="A37" t="str">
        <f>CATA!AM$2</f>
        <v>unset</v>
      </c>
      <c r="B37">
        <v>35</v>
      </c>
      <c r="C37" t="str">
        <f t="shared" si="0"/>
        <v>-PA35</v>
      </c>
      <c r="D37" t="str">
        <f t="shared" si="1"/>
        <v>/EUC-VNX_00B-DN1-DN2-0-0_Func-SB-PA35</v>
      </c>
      <c r="E37" t="str">
        <f t="shared" si="2"/>
        <v>/EUC-VMX_00F-DN1-DN2-0-0_Func-SB-PA35</v>
      </c>
      <c r="F37" t="str">
        <f t="shared" si="3"/>
        <v>stext ''</v>
      </c>
    </row>
    <row r="38" spans="1:6">
      <c r="A38" t="str">
        <f>CATA!AN$2</f>
        <v>unset</v>
      </c>
      <c r="B38">
        <v>36</v>
      </c>
      <c r="C38" t="str">
        <f t="shared" si="0"/>
        <v>-PA36</v>
      </c>
      <c r="D38" t="str">
        <f t="shared" si="1"/>
        <v>/EUC-VNX_00B-DN1-DN2-0-0_Func-SB-PA36</v>
      </c>
      <c r="E38" t="str">
        <f t="shared" si="2"/>
        <v>/EUC-VMX_00F-DN1-DN2-0-0_Func-SB-PA36</v>
      </c>
      <c r="F38" t="str">
        <f t="shared" si="3"/>
        <v>stext ''</v>
      </c>
    </row>
    <row r="39" spans="1:6">
      <c r="A39" t="str">
        <f>CATA!AO$2</f>
        <v>unset</v>
      </c>
      <c r="B39">
        <v>37</v>
      </c>
      <c r="C39" t="str">
        <f t="shared" si="0"/>
        <v>-PA37</v>
      </c>
      <c r="D39" t="str">
        <f t="shared" si="1"/>
        <v>/EUC-VNX_00B-DN1-DN2-0-0_Func-SB-PA37</v>
      </c>
      <c r="E39" t="str">
        <f t="shared" si="2"/>
        <v>/EUC-VMX_00F-DN1-DN2-0-0_Func-SB-PA37</v>
      </c>
      <c r="F39" t="str">
        <f t="shared" si="3"/>
        <v>stext ''</v>
      </c>
    </row>
    <row r="40" spans="1:6">
      <c r="A40" t="str">
        <f>CATA!AP$2</f>
        <v>GBBW - Guide border bottom width</v>
      </c>
      <c r="B40">
        <v>38</v>
      </c>
      <c r="C40" t="str">
        <f t="shared" si="0"/>
        <v>-PA38</v>
      </c>
      <c r="D40" t="str">
        <f t="shared" si="1"/>
        <v>/EUC-VNX_00B-DN1-DN2-0-0_Func-SB-PA38</v>
      </c>
      <c r="E40" t="str">
        <f t="shared" si="2"/>
        <v>/EUC-VMX_00F-DN1-DN2-0-0_Func-SB-PA38</v>
      </c>
      <c r="F40" t="str">
        <f t="shared" si="3"/>
        <v>stext 'GBBW - Guide border bottom width'</v>
      </c>
    </row>
    <row r="41" spans="1:6">
      <c r="A41" t="str">
        <f>CATA!AQ$2</f>
        <v>GBIH - Guide border inner height</v>
      </c>
      <c r="B41">
        <v>39</v>
      </c>
      <c r="C41" t="str">
        <f t="shared" si="0"/>
        <v>-PA39</v>
      </c>
      <c r="D41" t="str">
        <f t="shared" si="1"/>
        <v>/EUC-VNX_00B-DN1-DN2-0-0_Func-SB-PA39</v>
      </c>
      <c r="E41" t="str">
        <f t="shared" si="2"/>
        <v>/EUC-VMX_00F-DN1-DN2-0-0_Func-SB-PA39</v>
      </c>
      <c r="F41" t="str">
        <f t="shared" si="3"/>
        <v>stext 'GBIH - Guide border inner height'</v>
      </c>
    </row>
    <row r="42" spans="1:6">
      <c r="A42" t="str">
        <f>CATA!AR$2</f>
        <v>unset</v>
      </c>
      <c r="B42">
        <v>40</v>
      </c>
      <c r="C42" t="str">
        <f t="shared" si="0"/>
        <v>-PA40</v>
      </c>
      <c r="D42" t="str">
        <f t="shared" si="1"/>
        <v>/EUC-VNX_00B-DN1-DN2-0-0_Func-SB-PA40</v>
      </c>
      <c r="E42" t="str">
        <f t="shared" si="2"/>
        <v>/EUC-VMX_00F-DN1-DN2-0-0_Func-SB-PA40</v>
      </c>
      <c r="F42" t="str">
        <f t="shared" si="3"/>
        <v>stext ''</v>
      </c>
    </row>
    <row r="43" spans="1:6">
      <c r="A43" t="str">
        <f>CATA!AS$2</f>
        <v>GBWI - Guide total width</v>
      </c>
      <c r="B43">
        <v>41</v>
      </c>
      <c r="C43" t="str">
        <f t="shared" si="0"/>
        <v>-PA41</v>
      </c>
      <c r="D43" t="str">
        <f t="shared" si="1"/>
        <v>/EUC-VNX_00B-DN1-DN2-0-0_Func-SB-PA41</v>
      </c>
      <c r="E43" t="str">
        <f t="shared" si="2"/>
        <v>/EUC-VMX_00F-DN1-DN2-0-0_Func-SB-PA41</v>
      </c>
      <c r="F43" t="str">
        <f t="shared" si="3"/>
        <v>stext 'GBWI - Guide total width'</v>
      </c>
    </row>
    <row r="44" spans="1:6">
      <c r="A44" t="str">
        <f>CATA!AT$2</f>
        <v>GBHE - Guide total height</v>
      </c>
      <c r="B44">
        <v>42</v>
      </c>
      <c r="C44" t="str">
        <f t="shared" si="0"/>
        <v>-PA42</v>
      </c>
      <c r="D44" t="str">
        <f t="shared" si="1"/>
        <v>/EUC-VNX_00B-DN1-DN2-0-0_Func-SB-PA42</v>
      </c>
      <c r="E44" t="str">
        <f t="shared" si="2"/>
        <v>/EUC-VMX_00F-DN1-DN2-0-0_Func-SB-PA42</v>
      </c>
      <c r="F44" t="str">
        <f t="shared" si="3"/>
        <v>stext 'GBHE - Guide total height'</v>
      </c>
    </row>
    <row r="45" spans="1:6">
      <c r="A45" t="str">
        <f>CATA!AU$2</f>
        <v>GBTH - Guide Thickness</v>
      </c>
      <c r="B45">
        <v>43</v>
      </c>
      <c r="C45" t="str">
        <f t="shared" si="0"/>
        <v>-PA43</v>
      </c>
      <c r="D45" t="str">
        <f t="shared" si="1"/>
        <v>/EUC-VNX_00B-DN1-DN2-0-0_Func-SB-PA43</v>
      </c>
      <c r="E45" t="str">
        <f t="shared" si="2"/>
        <v>/EUC-VMX_00F-DN1-DN2-0-0_Func-SB-PA43</v>
      </c>
      <c r="F45" t="str">
        <f t="shared" si="3"/>
        <v>stext 'GBTH - Guide Thickness'</v>
      </c>
    </row>
    <row r="46" spans="1:6">
      <c r="A46" t="str">
        <f>CATA!AV$2</f>
        <v>unset</v>
      </c>
      <c r="B46">
        <v>44</v>
      </c>
      <c r="C46" t="str">
        <f t="shared" si="0"/>
        <v>-PA44</v>
      </c>
      <c r="D46" t="str">
        <f t="shared" si="1"/>
        <v>/EUC-VNX_00B-DN1-DN2-0-0_Func-SB-PA44</v>
      </c>
      <c r="E46" t="str">
        <f t="shared" si="2"/>
        <v>/EUC-VMX_00F-DN1-DN2-0-0_Func-SB-PA44</v>
      </c>
      <c r="F46" t="str">
        <f t="shared" si="3"/>
        <v>stext ''</v>
      </c>
    </row>
    <row r="47" spans="1:6">
      <c r="A47" t="str">
        <f>CATA!AW$2</f>
        <v>GBDS - Guide to support clearance</v>
      </c>
      <c r="B47">
        <v>45</v>
      </c>
      <c r="C47" t="str">
        <f t="shared" si="0"/>
        <v>-PA45</v>
      </c>
      <c r="D47" t="str">
        <f t="shared" si="1"/>
        <v>/EUC-VNX_00B-DN1-DN2-0-0_Func-SB-PA45</v>
      </c>
      <c r="E47" t="str">
        <f t="shared" si="2"/>
        <v>/EUC-VMX_00F-DN1-DN2-0-0_Func-SB-PA45</v>
      </c>
      <c r="F47" t="str">
        <f t="shared" si="3"/>
        <v>stext 'GBDS - Guide to support clearance'</v>
      </c>
    </row>
    <row r="48" spans="1:6">
      <c r="A48" t="str">
        <f>CATA!AX$2</f>
        <v>FCLL - Fixed point cleat length x</v>
      </c>
      <c r="B48">
        <v>46</v>
      </c>
      <c r="C48" t="str">
        <f t="shared" si="0"/>
        <v>-PA46</v>
      </c>
      <c r="D48" t="str">
        <f t="shared" si="1"/>
        <v>/EUC-VNX_00B-DN1-DN2-0-0_Func-SB-PA46</v>
      </c>
      <c r="E48" t="str">
        <f t="shared" si="2"/>
        <v>/EUC-VMX_00F-DN1-DN2-0-0_Func-SB-PA46</v>
      </c>
      <c r="F48" t="str">
        <f t="shared" si="3"/>
        <v>stext 'FCLL - Fixed point cleat length x'</v>
      </c>
    </row>
    <row r="49" spans="1:6">
      <c r="A49" t="str">
        <f>CATA!AY$2</f>
        <v>FCLW - Fixed point cleat width y</v>
      </c>
      <c r="B49">
        <v>47</v>
      </c>
      <c r="C49" t="str">
        <f t="shared" si="0"/>
        <v>-PA47</v>
      </c>
      <c r="D49" t="str">
        <f t="shared" si="1"/>
        <v>/EUC-VNX_00B-DN1-DN2-0-0_Func-SB-PA47</v>
      </c>
      <c r="E49" t="str">
        <f t="shared" si="2"/>
        <v>/EUC-VMX_00F-DN1-DN2-0-0_Func-SB-PA47</v>
      </c>
      <c r="F49" t="str">
        <f t="shared" si="3"/>
        <v>stext 'FCLW - Fixed point cleat width y'</v>
      </c>
    </row>
    <row r="50" spans="1:6">
      <c r="A50" t="str">
        <f>CATA!AZ$2</f>
        <v>FCLH - Fixed point cleat thickness z</v>
      </c>
      <c r="B50">
        <v>48</v>
      </c>
      <c r="C50" t="str">
        <f t="shared" si="0"/>
        <v>-PA48</v>
      </c>
      <c r="D50" t="str">
        <f t="shared" si="1"/>
        <v>/EUC-VNX_00B-DN1-DN2-0-0_Func-SB-PA48</v>
      </c>
      <c r="E50" t="str">
        <f t="shared" si="2"/>
        <v>/EUC-VMX_00F-DN1-DN2-0-0_Func-SB-PA48</v>
      </c>
      <c r="F50" t="str">
        <f t="shared" si="3"/>
        <v>stext 'FCLH - Fixed point cleat thickness z'</v>
      </c>
    </row>
    <row r="51" spans="1:6">
      <c r="A51" t="str">
        <f>CATA!BA$2</f>
        <v>unset</v>
      </c>
      <c r="B51">
        <v>49</v>
      </c>
      <c r="C51" t="str">
        <f t="shared" si="0"/>
        <v>-PA49</v>
      </c>
      <c r="D51" t="str">
        <f t="shared" si="1"/>
        <v>/EUC-VNX_00B-DN1-DN2-0-0_Func-SB-PA49</v>
      </c>
      <c r="E51" t="str">
        <f t="shared" si="2"/>
        <v>/EUC-VMX_00F-DN1-DN2-0-0_Func-SB-PA49</v>
      </c>
      <c r="F51" t="str">
        <f t="shared" si="3"/>
        <v>stext ''</v>
      </c>
    </row>
    <row r="52" spans="1:6">
      <c r="A52" t="str">
        <f>CATA!BB$2</f>
        <v>FCLA - Fixed point cleat angle of arch</v>
      </c>
      <c r="B52">
        <v>50</v>
      </c>
      <c r="C52" t="str">
        <f t="shared" si="0"/>
        <v>-PA50</v>
      </c>
      <c r="D52" t="str">
        <f t="shared" si="1"/>
        <v>/EUC-VNX_00B-DN1-DN2-0-0_Func-SB-PA50</v>
      </c>
      <c r="E52" t="str">
        <f t="shared" si="2"/>
        <v>/EUC-VMX_00F-DN1-DN2-0-0_Func-SB-PA50</v>
      </c>
      <c r="F52" t="str">
        <f t="shared" si="3"/>
        <v>stext 'FCLA - Fixed point cleat angle of arch'</v>
      </c>
    </row>
    <row r="53" spans="1:6">
      <c r="A53" t="str">
        <f>CATA!BC$2</f>
        <v>BWID - Secondary Supp.Beam default width</v>
      </c>
      <c r="B53">
        <v>51</v>
      </c>
      <c r="C53" t="str">
        <f t="shared" si="0"/>
        <v>-PA51</v>
      </c>
      <c r="D53" t="str">
        <f t="shared" si="1"/>
        <v>/EUC-VNX_00B-DN1-DN2-0-0_Func-SB-PA51</v>
      </c>
      <c r="E53" t="str">
        <f t="shared" si="2"/>
        <v>/EUC-VMX_00F-DN1-DN2-0-0_Func-SB-PA51</v>
      </c>
      <c r="F53" t="str">
        <f t="shared" si="3"/>
        <v>stext 'BWID - Secondary Supp.Beam default width'</v>
      </c>
    </row>
    <row r="54" spans="1:6">
      <c r="A54" t="str">
        <f>CATA!BD$2</f>
        <v>CLEA - Clearance Stop to Beam</v>
      </c>
      <c r="B54">
        <v>52</v>
      </c>
      <c r="C54" t="str">
        <f t="shared" si="0"/>
        <v>-PA52</v>
      </c>
      <c r="D54" t="str">
        <f t="shared" si="1"/>
        <v>/EUC-VNX_00B-DN1-DN2-0-0_Func-SB-PA52</v>
      </c>
      <c r="E54" t="str">
        <f t="shared" si="2"/>
        <v>/EUC-VMX_00F-DN1-DN2-0-0_Func-SB-PA52</v>
      </c>
      <c r="F54" t="str">
        <f t="shared" si="3"/>
        <v>stext 'CLEA - Clearance Stop to Beam'</v>
      </c>
    </row>
    <row r="55" spans="1:6">
      <c r="A55" t="str">
        <f>CATA!BE$2</f>
        <v>LWID - W width</v>
      </c>
      <c r="B55">
        <v>53</v>
      </c>
      <c r="C55" t="str">
        <f t="shared" si="0"/>
        <v>-PA53</v>
      </c>
      <c r="D55" t="str">
        <f t="shared" si="1"/>
        <v>/EUC-VNX_00B-DN1-DN2-0-0_Func-SB-PA53</v>
      </c>
      <c r="E55" t="str">
        <f t="shared" si="2"/>
        <v>/EUC-VMX_00F-DN1-DN2-0-0_Func-SB-PA53</v>
      </c>
      <c r="F55" t="str">
        <f t="shared" si="3"/>
        <v>stext 'LWID - W width'</v>
      </c>
    </row>
    <row r="56" spans="1:6">
      <c r="A56" t="str">
        <f>CATA!BF$2</f>
        <v>unset</v>
      </c>
      <c r="B56">
        <v>54</v>
      </c>
      <c r="C56" t="str">
        <f t="shared" si="0"/>
        <v>-PA54</v>
      </c>
      <c r="D56" t="str">
        <f t="shared" si="1"/>
        <v>/EUC-VNX_00B-DN1-DN2-0-0_Func-SB-PA54</v>
      </c>
      <c r="E56" t="str">
        <f t="shared" si="2"/>
        <v>/EUC-VMX_00F-DN1-DN2-0-0_Func-SB-PA54</v>
      </c>
      <c r="F56" t="str">
        <f t="shared" si="3"/>
        <v>stext ''</v>
      </c>
    </row>
    <row r="57" spans="1:6">
      <c r="A57" t="str">
        <f>CATA!BG$2</f>
        <v>LTHK - H thickness</v>
      </c>
      <c r="B57">
        <v>55</v>
      </c>
      <c r="C57" t="str">
        <f t="shared" si="0"/>
        <v>-PA55</v>
      </c>
      <c r="D57" t="str">
        <f t="shared" si="1"/>
        <v>/EUC-VNX_00B-DN1-DN2-0-0_Func-SB-PA55</v>
      </c>
      <c r="E57" t="str">
        <f t="shared" si="2"/>
        <v>/EUC-VMX_00F-DN1-DN2-0-0_Func-SB-PA55</v>
      </c>
      <c r="F57" t="str">
        <f t="shared" si="3"/>
        <v>stext 'LTHK - H thickness'</v>
      </c>
    </row>
    <row r="58" spans="1:6">
      <c r="A58" t="str">
        <f>CATA!BH$2</f>
        <v>LLEN - L length of Axial stop</v>
      </c>
      <c r="B58">
        <v>56</v>
      </c>
      <c r="C58" t="str">
        <f t="shared" si="0"/>
        <v>-PA56</v>
      </c>
      <c r="D58" t="str">
        <f t="shared" si="1"/>
        <v>/EUC-VNX_00B-DN1-DN2-0-0_Func-SB-PA56</v>
      </c>
      <c r="E58" t="str">
        <f t="shared" si="2"/>
        <v>/EUC-VMX_00F-DN1-DN2-0-0_Func-SB-PA56</v>
      </c>
      <c r="F58" t="str">
        <f t="shared" si="3"/>
        <v>stext 'LLEN - L length of Axial stop'</v>
      </c>
    </row>
    <row r="59" spans="1:6">
      <c r="A59" t="str">
        <f>CATA!BI$2</f>
        <v>unset</v>
      </c>
      <c r="B59">
        <v>57</v>
      </c>
      <c r="C59" t="str">
        <f t="shared" si="0"/>
        <v>-PA57</v>
      </c>
      <c r="D59" t="str">
        <f t="shared" si="1"/>
        <v>/EUC-VNX_00B-DN1-DN2-0-0_Func-SB-PA57</v>
      </c>
      <c r="E59" t="str">
        <f t="shared" si="2"/>
        <v>/EUC-VMX_00F-DN1-DN2-0-0_Func-SB-PA57</v>
      </c>
      <c r="F59" t="str">
        <f t="shared" si="3"/>
        <v>stext ''</v>
      </c>
    </row>
    <row r="60" spans="1:6">
      <c r="A60" t="str">
        <f>CATA!BJ$2</f>
        <v>unset</v>
      </c>
      <c r="B60">
        <v>58</v>
      </c>
      <c r="C60" t="str">
        <f t="shared" si="0"/>
        <v>-PA58</v>
      </c>
      <c r="D60" t="str">
        <f t="shared" si="1"/>
        <v>/EUC-VNX_00B-DN1-DN2-0-0_Func-SB-PA58</v>
      </c>
      <c r="E60" t="str">
        <f t="shared" si="2"/>
        <v>/EUC-VMX_00F-DN1-DN2-0-0_Func-SB-PA58</v>
      </c>
      <c r="F60" t="str">
        <f t="shared" si="3"/>
        <v>stext ''</v>
      </c>
    </row>
    <row r="61" spans="1:6">
      <c r="A61" t="str">
        <f>CATA!BK$2</f>
        <v>unset</v>
      </c>
      <c r="B61">
        <v>59</v>
      </c>
      <c r="C61" t="str">
        <f t="shared" si="0"/>
        <v>-PA59</v>
      </c>
      <c r="D61" t="str">
        <f t="shared" si="1"/>
        <v>/EUC-VNX_00B-DN1-DN2-0-0_Func-SB-PA59</v>
      </c>
      <c r="E61" t="str">
        <f t="shared" si="2"/>
        <v>/EUC-VMX_00F-DN1-DN2-0-0_Func-SB-PA59</v>
      </c>
      <c r="F61" t="str">
        <f t="shared" si="3"/>
        <v>stext ''</v>
      </c>
    </row>
    <row r="62" spans="1:6">
      <c r="A62" t="str">
        <f>CATA!BL$2</f>
        <v>SPTH - Sliding/Fill/Ground Plate height</v>
      </c>
      <c r="B62">
        <v>60</v>
      </c>
      <c r="C62" t="str">
        <f t="shared" si="0"/>
        <v>-PA60</v>
      </c>
      <c r="D62" t="str">
        <f t="shared" si="1"/>
        <v>/EUC-VNX_00B-DN1-DN2-0-0_Func-SB-PA60</v>
      </c>
      <c r="E62" t="str">
        <f t="shared" si="2"/>
        <v>/EUC-VMX_00F-DN1-DN2-0-0_Func-SB-PA60</v>
      </c>
      <c r="F62" t="str">
        <f t="shared" si="3"/>
        <v>stext 'SPTH - Sliding/Fill/Ground Plate height'</v>
      </c>
    </row>
    <row r="63" spans="1:6">
      <c r="A63" t="str">
        <f>CATA!BM$2</f>
        <v>SPLE - Sliding/Fill/Ground Plate length</v>
      </c>
      <c r="B63">
        <v>61</v>
      </c>
      <c r="C63" t="str">
        <f t="shared" si="0"/>
        <v>-PA61</v>
      </c>
      <c r="D63" t="str">
        <f t="shared" si="1"/>
        <v>/EUC-VNX_00B-DN1-DN2-0-0_Func-SB-PA61</v>
      </c>
      <c r="E63" t="str">
        <f t="shared" si="2"/>
        <v>/EUC-VMX_00F-DN1-DN2-0-0_Func-SB-PA61</v>
      </c>
      <c r="F63" t="str">
        <f t="shared" si="3"/>
        <v>stext 'SPLE - Sliding/Fill/Ground Plate length'</v>
      </c>
    </row>
    <row r="64" spans="1:6">
      <c r="A64" t="str">
        <f>CATA!BN$2</f>
        <v>SPTH - Sliding/Fill/Ground Plate width</v>
      </c>
      <c r="B64">
        <v>62</v>
      </c>
      <c r="C64" t="str">
        <f t="shared" si="0"/>
        <v>-PA62</v>
      </c>
      <c r="D64" t="str">
        <f t="shared" si="1"/>
        <v>/EUC-VNX_00B-DN1-DN2-0-0_Func-SB-PA62</v>
      </c>
      <c r="E64" t="str">
        <f t="shared" si="2"/>
        <v>/EUC-VMX_00F-DN1-DN2-0-0_Func-SB-PA62</v>
      </c>
      <c r="F64" t="str">
        <f t="shared" si="3"/>
        <v>stext 'SPTH - Sliding/Fill/Ground Plate width'</v>
      </c>
    </row>
    <row r="65" spans="1:6">
      <c r="A65" t="str">
        <f>CATA!BO$2</f>
        <v>SSTH - Sliding/Fill Shoe Thickness</v>
      </c>
      <c r="B65">
        <v>63</v>
      </c>
      <c r="C65" t="str">
        <f t="shared" si="0"/>
        <v>-PA63</v>
      </c>
      <c r="D65" t="str">
        <f t="shared" si="1"/>
        <v>/EUC-VNX_00B-DN1-DN2-0-0_Func-SB-PA63</v>
      </c>
      <c r="E65" t="str">
        <f t="shared" si="2"/>
        <v>/EUC-VMX_00F-DN1-DN2-0-0_Func-SB-PA63</v>
      </c>
      <c r="F65" t="str">
        <f t="shared" si="3"/>
        <v>stext 'SSTH - Sliding/Fill Shoe Thickness'</v>
      </c>
    </row>
    <row r="66" spans="1:6">
      <c r="A66" t="str">
        <f>CATA!BP$2</f>
        <v>unset</v>
      </c>
      <c r="B66">
        <v>64</v>
      </c>
      <c r="C66" t="str">
        <f t="shared" si="0"/>
        <v>-PA64</v>
      </c>
      <c r="D66" t="str">
        <f t="shared" si="1"/>
        <v>/EUC-VNX_00B-DN1-DN2-0-0_Func-SB-PA64</v>
      </c>
      <c r="E66" t="str">
        <f t="shared" si="2"/>
        <v>/EUC-VMX_00F-DN1-DN2-0-0_Func-SB-PA64</v>
      </c>
      <c r="F66" t="str">
        <f t="shared" si="3"/>
        <v>stext ''</v>
      </c>
    </row>
    <row r="67" spans="1:6">
      <c r="A67" t="str">
        <f>CATA!BQ$2</f>
        <v>FOLL - Foot - outer L width or U-Baseplate extension</v>
      </c>
      <c r="B67">
        <v>65</v>
      </c>
      <c r="C67" t="str">
        <f t="shared" si="0"/>
        <v>-PA65</v>
      </c>
      <c r="D67" t="str">
        <f t="shared" si="1"/>
        <v>/EUC-VNX_00B-DN1-DN2-0-0_Func-SB-PA65</v>
      </c>
      <c r="E67" t="str">
        <f t="shared" si="2"/>
        <v>/EUC-VMX_00F-DN1-DN2-0-0_Func-SB-PA65</v>
      </c>
      <c r="F67" t="str">
        <f t="shared" si="3"/>
        <v>stext 'FOLL - Foot - outer L width or U-Baseplate extension'</v>
      </c>
    </row>
    <row r="68" spans="1:6">
      <c r="A68" t="str">
        <f>CATA!BR$2</f>
        <v>FOLH - Foot - outer L height</v>
      </c>
      <c r="B68">
        <v>66</v>
      </c>
      <c r="C68" t="str">
        <f t="shared" ref="C68:C80" si="4">"-PA"&amp;TEXT(B68,"00")</f>
        <v>-PA66</v>
      </c>
      <c r="D68" t="str">
        <f t="shared" ref="D68:D80" si="5">D$2&amp;C68</f>
        <v>/EUC-VNX_00B-DN1-DN2-0-0_Func-SB-PA66</v>
      </c>
      <c r="E68" t="str">
        <f t="shared" ref="E68:E80" si="6">E$2&amp;$C68</f>
        <v>/EUC-VMX_00F-DN1-DN2-0-0_Func-SB-PA66</v>
      </c>
      <c r="F68" t="str">
        <f t="shared" ref="F68:F80" si="7">IF($A68&lt;&gt;"unset","stext '"&amp;$A68&amp;"'","stext ''")</f>
        <v>stext 'FOLH - Foot - outer L height'</v>
      </c>
    </row>
    <row r="69" spans="1:6">
      <c r="A69" t="str">
        <f>CATA!BS$2</f>
        <v>unset</v>
      </c>
      <c r="B69">
        <v>67</v>
      </c>
      <c r="C69" t="str">
        <f t="shared" si="4"/>
        <v>-PA67</v>
      </c>
      <c r="D69" t="str">
        <f t="shared" si="5"/>
        <v>/EUC-VNX_00B-DN1-DN2-0-0_Func-SB-PA67</v>
      </c>
      <c r="E69" t="str">
        <f t="shared" si="6"/>
        <v>/EUC-VMX_00F-DN1-DN2-0-0_Func-SB-PA67</v>
      </c>
      <c r="F69" t="str">
        <f t="shared" si="7"/>
        <v>stext ''</v>
      </c>
    </row>
    <row r="70" spans="1:6">
      <c r="A70" t="str">
        <f>CATA!BT$2</f>
        <v>FSLL - Foot - stiff. Offset from L-bot</v>
      </c>
      <c r="B70">
        <v>68</v>
      </c>
      <c r="C70" t="str">
        <f t="shared" si="4"/>
        <v>-PA68</v>
      </c>
      <c r="D70" t="str">
        <f t="shared" si="5"/>
        <v>/EUC-VNX_00B-DN1-DN2-0-0_Func-SB-PA68</v>
      </c>
      <c r="E70" t="str">
        <f t="shared" si="6"/>
        <v>/EUC-VMX_00F-DN1-DN2-0-0_Func-SB-PA68</v>
      </c>
      <c r="F70" t="str">
        <f t="shared" si="7"/>
        <v>stext 'FSLL - Foot - stiff. Offset from L-bot'</v>
      </c>
    </row>
    <row r="71" spans="1:6">
      <c r="A71" t="str">
        <f>CATA!BU$2</f>
        <v>FSLH - Foot - stiff. height</v>
      </c>
      <c r="B71">
        <v>69</v>
      </c>
      <c r="C71" t="str">
        <f t="shared" si="4"/>
        <v>-PA69</v>
      </c>
      <c r="D71" t="str">
        <f t="shared" si="5"/>
        <v>/EUC-VNX_00B-DN1-DN2-0-0_Func-SB-PA69</v>
      </c>
      <c r="E71" t="str">
        <f t="shared" si="6"/>
        <v>/EUC-VMX_00F-DN1-DN2-0-0_Func-SB-PA69</v>
      </c>
      <c r="F71" t="str">
        <f t="shared" si="7"/>
        <v>stext 'FSLH - Foot - stiff. height'</v>
      </c>
    </row>
    <row r="72" spans="1:6">
      <c r="A72" t="str">
        <f>CATA!BV$2</f>
        <v>FSLT - Foot - stiff. L thickness</v>
      </c>
      <c r="B72">
        <v>70</v>
      </c>
      <c r="C72" t="str">
        <f t="shared" si="4"/>
        <v>-PA70</v>
      </c>
      <c r="D72" t="str">
        <f t="shared" si="5"/>
        <v>/EUC-VNX_00B-DN1-DN2-0-0_Func-SB-PA70</v>
      </c>
      <c r="E72" t="str">
        <f t="shared" si="6"/>
        <v>/EUC-VMX_00F-DN1-DN2-0-0_Func-SB-PA70</v>
      </c>
      <c r="F72" t="str">
        <f t="shared" si="7"/>
        <v>stext 'FSLT - Foot - stiff. L thickness'</v>
      </c>
    </row>
    <row r="73" spans="1:6">
      <c r="A73" t="str">
        <f>CATA!BW$2</f>
        <v>unset</v>
      </c>
      <c r="B73">
        <v>71</v>
      </c>
      <c r="C73" t="str">
        <f t="shared" si="4"/>
        <v>-PA71</v>
      </c>
      <c r="D73" t="str">
        <f t="shared" si="5"/>
        <v>/EUC-VNX_00B-DN1-DN2-0-0_Func-SB-PA71</v>
      </c>
      <c r="E73" t="str">
        <f t="shared" si="6"/>
        <v>/EUC-VMX_00F-DN1-DN2-0-0_Func-SB-PA71</v>
      </c>
      <c r="F73" t="str">
        <f t="shared" si="7"/>
        <v>stext ''</v>
      </c>
    </row>
    <row r="74" spans="1:6">
      <c r="A74" t="str">
        <f>CATA!BX$2</f>
        <v>FSLO - Foot - stiff. End inset</v>
      </c>
      <c r="B74">
        <v>72</v>
      </c>
      <c r="C74" t="str">
        <f t="shared" si="4"/>
        <v>-PA72</v>
      </c>
      <c r="D74" t="str">
        <f t="shared" si="5"/>
        <v>/EUC-VNX_00B-DN1-DN2-0-0_Func-SB-PA72</v>
      </c>
      <c r="E74" t="str">
        <f t="shared" si="6"/>
        <v>/EUC-VMX_00F-DN1-DN2-0-0_Func-SB-PA72</v>
      </c>
      <c r="F74" t="str">
        <f t="shared" si="7"/>
        <v>stext 'FSLO - Foot - stiff. End inset'</v>
      </c>
    </row>
    <row r="75" spans="1:6">
      <c r="A75" t="str">
        <f>CATA!BY$2</f>
        <v>unset</v>
      </c>
      <c r="B75">
        <v>73</v>
      </c>
      <c r="C75" t="str">
        <f t="shared" si="4"/>
        <v>-PA73</v>
      </c>
      <c r="D75" t="str">
        <f t="shared" si="5"/>
        <v>/EUC-VNX_00B-DN1-DN2-0-0_Func-SB-PA73</v>
      </c>
      <c r="E75" t="str">
        <f t="shared" si="6"/>
        <v>/EUC-VMX_00F-DN1-DN2-0-0_Func-SB-PA73</v>
      </c>
      <c r="F75" t="str">
        <f t="shared" si="7"/>
        <v>stext ''</v>
      </c>
    </row>
    <row r="76" spans="1:6">
      <c r="A76" t="str">
        <f>CATA!BZ$2</f>
        <v>DRWG - Drawing Number</v>
      </c>
      <c r="B76">
        <v>74</v>
      </c>
      <c r="C76" t="str">
        <f t="shared" si="4"/>
        <v>-PA74</v>
      </c>
      <c r="D76" t="str">
        <f t="shared" si="5"/>
        <v>/EUC-VNX_00B-DN1-DN2-0-0_Func-SB-PA74</v>
      </c>
      <c r="E76" t="str">
        <f t="shared" si="6"/>
        <v>/EUC-VMX_00F-DN1-DN2-0-0_Func-SB-PA74</v>
      </c>
      <c r="F76" t="str">
        <f t="shared" si="7"/>
        <v>stext 'DRWG - Drawing Number'</v>
      </c>
    </row>
    <row r="77" spans="1:6">
      <c r="A77" t="str">
        <f>CATA!CA$2</f>
        <v>XFOR - permitted axial load 100C</v>
      </c>
      <c r="B77">
        <v>75</v>
      </c>
      <c r="C77" t="str">
        <f t="shared" si="4"/>
        <v>-PA75</v>
      </c>
      <c r="D77" t="str">
        <f t="shared" si="5"/>
        <v>/EUC-VNX_00B-DN1-DN2-0-0_Func-SB-PA75</v>
      </c>
      <c r="E77" t="str">
        <f t="shared" si="6"/>
        <v>/EUC-VMX_00F-DN1-DN2-0-0_Func-SB-PA75</v>
      </c>
      <c r="F77" t="str">
        <f t="shared" si="7"/>
        <v>stext 'XFOR - permitted axial load 100C'</v>
      </c>
    </row>
    <row r="78" spans="1:6">
      <c r="A78" t="str">
        <f>CATA!CB$2</f>
        <v>YFOR - permitted later load 100C</v>
      </c>
      <c r="B78">
        <v>76</v>
      </c>
      <c r="C78" t="str">
        <f t="shared" si="4"/>
        <v>-PA76</v>
      </c>
      <c r="D78" t="str">
        <f t="shared" si="5"/>
        <v>/EUC-VNX_00B-DN1-DN2-0-0_Func-SB-PA76</v>
      </c>
      <c r="E78" t="str">
        <f t="shared" si="6"/>
        <v>/EUC-VMX_00F-DN1-DN2-0-0_Func-SB-PA76</v>
      </c>
      <c r="F78" t="str">
        <f t="shared" si="7"/>
        <v>stext 'YFOR - permitted later load 100C'</v>
      </c>
    </row>
    <row r="79" spans="1:6">
      <c r="A79" t="str">
        <f>CATA!CC$2</f>
        <v>ZFOR - permitted vert load 100C</v>
      </c>
      <c r="B79">
        <v>77</v>
      </c>
      <c r="C79" t="str">
        <f t="shared" si="4"/>
        <v>-PA77</v>
      </c>
      <c r="D79" t="str">
        <f t="shared" si="5"/>
        <v>/EUC-VNX_00B-DN1-DN2-0-0_Func-SB-PA77</v>
      </c>
      <c r="E79" t="str">
        <f t="shared" si="6"/>
        <v>/EUC-VMX_00F-DN1-DN2-0-0_Func-SB-PA77</v>
      </c>
      <c r="F79" t="str">
        <f t="shared" si="7"/>
        <v>stext 'ZFOR - permitted vert load 100C'</v>
      </c>
    </row>
    <row r="80" spans="1:6">
      <c r="A80" t="str">
        <f>CATA!CD$2</f>
        <v>WELA - Prefered Weldsize A</v>
      </c>
      <c r="B80">
        <v>78</v>
      </c>
      <c r="C80" t="str">
        <f t="shared" si="4"/>
        <v>-PA78</v>
      </c>
      <c r="D80" t="str">
        <f t="shared" si="5"/>
        <v>/EUC-VNX_00B-DN1-DN2-0-0_Func-SB-PA78</v>
      </c>
      <c r="E80" t="str">
        <f t="shared" si="6"/>
        <v>/EUC-VMX_00F-DN1-DN2-0-0_Func-SB-PA78</v>
      </c>
      <c r="F80" t="str">
        <f t="shared" si="7"/>
        <v>stext 'WELA - Prefered Weldsize A'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7AC9F-A2C0-4833-9E64-41E149DBCBF4}">
  <dimension ref="A1:I109"/>
  <sheetViews>
    <sheetView topLeftCell="A52" workbookViewId="0">
      <selection activeCell="A82" sqref="A82:A106"/>
    </sheetView>
    <sheetView tabSelected="1" workbookViewId="1">
      <selection activeCell="F19" sqref="F19"/>
    </sheetView>
    <sheetView workbookViewId="2"/>
  </sheetViews>
  <sheetFormatPr baseColWidth="10" defaultRowHeight="12.75"/>
  <cols>
    <col min="1" max="1" width="139.85546875" customWidth="1"/>
    <col min="2" max="2" width="13.140625" bestFit="1" customWidth="1"/>
    <col min="4" max="4" width="43.28515625" bestFit="1" customWidth="1"/>
    <col min="5" max="5" width="51" bestFit="1" customWidth="1"/>
    <col min="6" max="6" width="40.28515625" bestFit="1" customWidth="1"/>
    <col min="7" max="7" width="61.140625" bestFit="1" customWidth="1"/>
    <col min="8" max="8" width="62.7109375" bestFit="1" customWidth="1"/>
    <col min="9" max="9" width="190.7109375" bestFit="1" customWidth="1"/>
    <col min="10" max="10" width="29.28515625" bestFit="1" customWidth="1"/>
  </cols>
  <sheetData>
    <row r="1" spans="1:8">
      <c r="B1" t="s">
        <v>595</v>
      </c>
    </row>
    <row r="2" spans="1:8">
      <c r="B2" t="str">
        <f>B106</f>
        <v xml:space="preserve"> </v>
      </c>
      <c r="C2" s="71" t="s">
        <v>563</v>
      </c>
      <c r="D2" s="71" t="s">
        <v>562</v>
      </c>
    </row>
    <row r="3" spans="1:8">
      <c r="A3" t="str">
        <f t="shared" ref="A3:A66" si="0">_xlfn.TEXTJOIN(" ",TRUE,B3:I3)</f>
        <v xml:space="preserve">  CATE /EUC-VNX_00B-DN1-DN2-0-0_Func-SB PURP PIPE GTYPE ATTA DESC 'Support, SB heavy for W&amp;P pipes'</v>
      </c>
      <c r="B3" t="str">
        <f>$B$2</f>
        <v xml:space="preserve"> </v>
      </c>
      <c r="C3" t="s">
        <v>561</v>
      </c>
      <c r="D3" t="str">
        <f>CATA!CR5</f>
        <v>/EUC-VNX_00B-DN1-DN2-0-0_Func-SB</v>
      </c>
      <c r="E3" t="s">
        <v>600</v>
      </c>
      <c r="F3" t="s">
        <v>601</v>
      </c>
      <c r="G3" t="s">
        <v>598</v>
      </c>
      <c r="H3" t="str">
        <f>Detailtext!L20</f>
        <v>'Support, SB heavy for W&amp;P pipes'</v>
      </c>
    </row>
    <row r="4" spans="1:8">
      <c r="A4" t="str">
        <f t="shared" si="0"/>
        <v xml:space="preserve">  TEXT /EUC-VNX_00B-DN1-DN2-0-0_Func-SB-PA01 stext 'DNIN - Nominal diameter inlet'</v>
      </c>
      <c r="B4" t="str">
        <f t="shared" ref="B4:B67" si="1">$B$2</f>
        <v xml:space="preserve"> </v>
      </c>
      <c r="C4" t="s">
        <v>560</v>
      </c>
      <c r="D4" t="str">
        <f>Texts!D3</f>
        <v>/EUC-VNX_00B-DN1-DN2-0-0_Func-SB-PA01</v>
      </c>
      <c r="E4" t="str">
        <f>Texts!F3</f>
        <v>stext 'DNIN - Nominal diameter inlet'</v>
      </c>
    </row>
    <row r="5" spans="1:8">
      <c r="A5" t="str">
        <f t="shared" si="0"/>
        <v xml:space="preserve">  TEXT /EUC-VNX_00B-DN1-DN2-0-0_Func-SB-PA02 stext 'DNOU - Nominal diameter outlet'</v>
      </c>
      <c r="B5" t="str">
        <f t="shared" si="1"/>
        <v xml:space="preserve"> </v>
      </c>
      <c r="C5" t="s">
        <v>560</v>
      </c>
      <c r="D5" t="str">
        <f>Texts!D4</f>
        <v>/EUC-VNX_00B-DN1-DN2-0-0_Func-SB-PA02</v>
      </c>
      <c r="E5" t="str">
        <f>Texts!F4</f>
        <v>stext 'DNOU - Nominal diameter outlet'</v>
      </c>
    </row>
    <row r="6" spans="1:8">
      <c r="A6" t="str">
        <f t="shared" si="0"/>
        <v xml:space="preserve">  TEXT /EUC-VNX_00B-DN1-DN2-0-0_Func-SB-PA03 stext 'ODIN - Actual diameter inlet'</v>
      </c>
      <c r="B6" t="str">
        <f t="shared" si="1"/>
        <v xml:space="preserve"> </v>
      </c>
      <c r="C6" t="s">
        <v>560</v>
      </c>
      <c r="D6" t="str">
        <f>Texts!D5</f>
        <v>/EUC-VNX_00B-DN1-DN2-0-0_Func-SB-PA03</v>
      </c>
      <c r="E6" t="str">
        <f>Texts!F5</f>
        <v>stext 'ODIN - Actual diameter inlet'</v>
      </c>
    </row>
    <row r="7" spans="1:8">
      <c r="A7" t="str">
        <f t="shared" si="0"/>
        <v xml:space="preserve">  TEXT /EUC-VNX_00B-DN1-DN2-0-0_Func-SB-PA04 stext 'ODOU - Actual diameter outlet'</v>
      </c>
      <c r="B7" t="str">
        <f t="shared" si="1"/>
        <v xml:space="preserve"> </v>
      </c>
      <c r="C7" t="s">
        <v>560</v>
      </c>
      <c r="D7" t="str">
        <f>Texts!D6</f>
        <v>/EUC-VNX_00B-DN1-DN2-0-0_Func-SB-PA04</v>
      </c>
      <c r="E7" t="str">
        <f>Texts!F6</f>
        <v>stext 'ODOU - Actual diameter outlet'</v>
      </c>
    </row>
    <row r="8" spans="1:8">
      <c r="A8" t="str">
        <f t="shared" si="0"/>
        <v xml:space="preserve">  TEXT /EUC-VNX_00B-DN1-DN2-0-0_Func-SB-PA05 stext 'COIN - Component Connection Inlet'</v>
      </c>
      <c r="B8" t="str">
        <f t="shared" si="1"/>
        <v xml:space="preserve"> </v>
      </c>
      <c r="C8" t="s">
        <v>560</v>
      </c>
      <c r="D8" t="str">
        <f>Texts!D7</f>
        <v>/EUC-VNX_00B-DN1-DN2-0-0_Func-SB-PA05</v>
      </c>
      <c r="E8" t="str">
        <f>Texts!F7</f>
        <v>stext 'COIN - Component Connection Inlet'</v>
      </c>
    </row>
    <row r="9" spans="1:8">
      <c r="A9" t="str">
        <f t="shared" si="0"/>
        <v xml:space="preserve">  TEXT /EUC-VNX_00B-DN1-DN2-0-0_Func-SB-PA06 stext 'COOU - Component Connection Outlet'</v>
      </c>
      <c r="B9" t="str">
        <f t="shared" si="1"/>
        <v xml:space="preserve"> </v>
      </c>
      <c r="C9" t="s">
        <v>560</v>
      </c>
      <c r="D9" t="str">
        <f>Texts!D8</f>
        <v>/EUC-VNX_00B-DN1-DN2-0-0_Func-SB-PA06</v>
      </c>
      <c r="E9" t="str">
        <f>Texts!F8</f>
        <v>stext 'COOU - Component Connection Outlet'</v>
      </c>
    </row>
    <row r="10" spans="1:8">
      <c r="A10" t="str">
        <f t="shared" si="0"/>
        <v xml:space="preserve">  TEXT /EUC-VNX_00B-DN1-DN2-0-0_Func-SB-PA07 stext 'WTIN - wall thickness inlet'</v>
      </c>
      <c r="B10" t="str">
        <f t="shared" si="1"/>
        <v xml:space="preserve"> </v>
      </c>
      <c r="C10" t="s">
        <v>560</v>
      </c>
      <c r="D10" t="str">
        <f>Texts!D9</f>
        <v>/EUC-VNX_00B-DN1-DN2-0-0_Func-SB-PA07</v>
      </c>
      <c r="E10" t="str">
        <f>Texts!F9</f>
        <v>stext 'WTIN - wall thickness inlet'</v>
      </c>
    </row>
    <row r="11" spans="1:8">
      <c r="A11" t="str">
        <f t="shared" si="0"/>
        <v xml:space="preserve">  TEXT /EUC-VNX_00B-DN1-DN2-0-0_Func-SB-PA08 stext 'WTOU - wall thickness outlet'</v>
      </c>
      <c r="B11" t="str">
        <f t="shared" si="1"/>
        <v xml:space="preserve"> </v>
      </c>
      <c r="C11" t="s">
        <v>560</v>
      </c>
      <c r="D11" t="str">
        <f>Texts!D10</f>
        <v>/EUC-VNX_00B-DN1-DN2-0-0_Func-SB-PA08</v>
      </c>
      <c r="E11" t="str">
        <f>Texts!F10</f>
        <v>stext 'WTOU - wall thickness outlet'</v>
      </c>
    </row>
    <row r="12" spans="1:8">
      <c r="A12" t="str">
        <f t="shared" si="0"/>
        <v xml:space="preserve">  TEXT /EUC-VNX_00B-DN1-DN2-0-0_Func-SB-PA09 stext 'MASS - Total Weight in [kg]'</v>
      </c>
      <c r="B12" t="str">
        <f t="shared" si="1"/>
        <v xml:space="preserve"> </v>
      </c>
      <c r="C12" t="s">
        <v>560</v>
      </c>
      <c r="D12" t="str">
        <f>Texts!D11</f>
        <v>/EUC-VNX_00B-DN1-DN2-0-0_Func-SB-PA09</v>
      </c>
      <c r="E12" t="str">
        <f>Texts!F11</f>
        <v>stext 'MASS - Total Weight in [kg]'</v>
      </c>
    </row>
    <row r="13" spans="1:8">
      <c r="A13" t="str">
        <f t="shared" si="0"/>
        <v xml:space="preserve">  TEXT /EUC-VNX_00B-DN1-DN2-0-0_Func-SB-PA10 stext 'HEIG - Centerline (CL)'</v>
      </c>
      <c r="B13" t="str">
        <f t="shared" si="1"/>
        <v xml:space="preserve"> </v>
      </c>
      <c r="C13" t="s">
        <v>560</v>
      </c>
      <c r="D13" t="str">
        <f>Texts!D12</f>
        <v>/EUC-VNX_00B-DN1-DN2-0-0_Func-SB-PA10</v>
      </c>
      <c r="E13" t="str">
        <f>Texts!F12</f>
        <v>stext 'HEIG - Centerline (CL)'</v>
      </c>
    </row>
    <row r="14" spans="1:8">
      <c r="A14" t="str">
        <f t="shared" si="0"/>
        <v xml:space="preserve">  TEXT /EUC-VNX_00B-DN1-DN2-0-0_Func-SB-PA11 stext 'CLDI - Clamp inner diameter'</v>
      </c>
      <c r="B14" t="str">
        <f t="shared" si="1"/>
        <v xml:space="preserve"> </v>
      </c>
      <c r="C14" t="s">
        <v>560</v>
      </c>
      <c r="D14" t="str">
        <f>Texts!D13</f>
        <v>/EUC-VNX_00B-DN1-DN2-0-0_Func-SB-PA11</v>
      </c>
      <c r="E14" t="str">
        <f>Texts!F13</f>
        <v>stext 'CLDI - Clamp inner diameter'</v>
      </c>
    </row>
    <row r="15" spans="1:8">
      <c r="A15" t="str">
        <f t="shared" si="0"/>
        <v xml:space="preserve">  TEXT /EUC-VNX_00B-DN1-DN2-0-0_Func-SB-PA12 stext 'CLAA - Clamp outer witdh (A+2xC)'</v>
      </c>
      <c r="B15" t="str">
        <f t="shared" si="1"/>
        <v xml:space="preserve"> </v>
      </c>
      <c r="C15" t="s">
        <v>560</v>
      </c>
      <c r="D15" t="str">
        <f>Texts!D14</f>
        <v>/EUC-VNX_00B-DN1-DN2-0-0_Func-SB-PA12</v>
      </c>
      <c r="E15" t="str">
        <f>Texts!F14</f>
        <v>stext 'CLAA - Clamp outer witdh (A+2xC)'</v>
      </c>
    </row>
    <row r="16" spans="1:8">
      <c r="A16" t="str">
        <f t="shared" si="0"/>
        <v xml:space="preserve">  TEXT /EUC-VNX_00B-DN1-DN2-0-0_Func-SB-PA13 stext 'CLWI - Clamp sheet swidth (B)'</v>
      </c>
      <c r="B16" t="str">
        <f t="shared" si="1"/>
        <v xml:space="preserve"> </v>
      </c>
      <c r="C16" t="s">
        <v>560</v>
      </c>
      <c r="D16" t="str">
        <f>Texts!D15</f>
        <v>/EUC-VNX_00B-DN1-DN2-0-0_Func-SB-PA13</v>
      </c>
      <c r="E16" t="str">
        <f>Texts!F15</f>
        <v>stext 'CLWI - Clamp sheet swidth (B)'</v>
      </c>
    </row>
    <row r="17" spans="1:5">
      <c r="A17" t="str">
        <f t="shared" si="0"/>
        <v xml:space="preserve">  TEXT /EUC-VNX_00B-DN1-DN2-0-0_Func-SB-PA14 stext 'CLTH - Clamp wall thickness (sC)'</v>
      </c>
      <c r="B17" t="str">
        <f t="shared" si="1"/>
        <v xml:space="preserve"> </v>
      </c>
      <c r="C17" t="s">
        <v>560</v>
      </c>
      <c r="D17" t="str">
        <f>Texts!D16</f>
        <v>/EUC-VNX_00B-DN1-DN2-0-0_Func-SB-PA14</v>
      </c>
      <c r="E17" t="str">
        <f>Texts!F16</f>
        <v>stext 'CLTH - Clamp wall thickness (sC)'</v>
      </c>
    </row>
    <row r="18" spans="1:5">
      <c r="A18" t="str">
        <f t="shared" si="0"/>
        <v xml:space="preserve">  TEXT /EUC-VNX_00B-DN1-DN2-0-0_Func-SB-PA15 stext 'CLDZ - Clamps clearance (f)'</v>
      </c>
      <c r="B18" t="str">
        <f t="shared" si="1"/>
        <v xml:space="preserve"> </v>
      </c>
      <c r="C18" t="s">
        <v>560</v>
      </c>
      <c r="D18" t="str">
        <f>Texts!D17</f>
        <v>/EUC-VNX_00B-DN1-DN2-0-0_Func-SB-PA15</v>
      </c>
      <c r="E18" t="str">
        <f>Texts!F17</f>
        <v>stext 'CLDZ - Clamps clearance (f)'</v>
      </c>
    </row>
    <row r="19" spans="1:5">
      <c r="A19" t="str">
        <f t="shared" si="0"/>
        <v xml:space="preserve">  TEXT /EUC-VNX_00B-DN1-DN2-0-0_Func-SB-PA16 stext 'CLDX - Clamps - stiffplate dist.(Z)'</v>
      </c>
      <c r="B19" t="str">
        <f t="shared" si="1"/>
        <v xml:space="preserve"> </v>
      </c>
      <c r="C19" t="s">
        <v>560</v>
      </c>
      <c r="D19" t="str">
        <f>Texts!D18</f>
        <v>/EUC-VNX_00B-DN1-DN2-0-0_Func-SB-PA16</v>
      </c>
      <c r="E19" t="str">
        <f>Texts!F18</f>
        <v>stext 'CLDX - Clamps - stiffplate dist.(Z)'</v>
      </c>
    </row>
    <row r="20" spans="1:5">
      <c r="A20" t="str">
        <f t="shared" si="0"/>
        <v xml:space="preserve">  TEXT /EUC-VNX_00B-DN1-DN2-0-0_Func-SB-PA17 stext 'CLHE - Clamp - clearance to bottom (BoP-sC)'</v>
      </c>
      <c r="B20" t="str">
        <f t="shared" si="1"/>
        <v xml:space="preserve"> </v>
      </c>
      <c r="C20" t="s">
        <v>560</v>
      </c>
      <c r="D20" t="str">
        <f>Texts!D19</f>
        <v>/EUC-VNX_00B-DN1-DN2-0-0_Func-SB-PA17</v>
      </c>
      <c r="E20" t="str">
        <f>Texts!F19</f>
        <v>stext 'CLHE - Clamp - clearance to bottom (BoP-sC)'</v>
      </c>
    </row>
    <row r="21" spans="1:5">
      <c r="A21" t="str">
        <f t="shared" si="0"/>
        <v xml:space="preserve">  TEXT /EUC-VNX_00B-DN1-DN2-0-0_Func-SB-PA18 stext 'LGUH - Guiding L Height'</v>
      </c>
      <c r="B21" t="str">
        <f t="shared" si="1"/>
        <v xml:space="preserve"> </v>
      </c>
      <c r="C21" t="s">
        <v>560</v>
      </c>
      <c r="D21" t="str">
        <f>Texts!D20</f>
        <v>/EUC-VNX_00B-DN1-DN2-0-0_Func-SB-PA18</v>
      </c>
      <c r="E21" t="str">
        <f>Texts!F20</f>
        <v>stext 'LGUH - Guiding L Height'</v>
      </c>
    </row>
    <row r="22" spans="1:5">
      <c r="A22" t="str">
        <f t="shared" si="0"/>
        <v xml:space="preserve">  TEXT /EUC-VNX_00B-DN1-DN2-0-0_Func-SB-PA19 stext 'LGUW - Guiding L Width'</v>
      </c>
      <c r="B22" t="str">
        <f t="shared" si="1"/>
        <v xml:space="preserve"> </v>
      </c>
      <c r="C22" t="s">
        <v>560</v>
      </c>
      <c r="D22" t="str">
        <f>Texts!D21</f>
        <v>/EUC-VNX_00B-DN1-DN2-0-0_Func-SB-PA19</v>
      </c>
      <c r="E22" t="str">
        <f>Texts!F21</f>
        <v>stext 'LGUW - Guiding L Width'</v>
      </c>
    </row>
    <row r="23" spans="1:5">
      <c r="A23" t="str">
        <f t="shared" si="0"/>
        <v xml:space="preserve">  TEXT /EUC-VNX_00B-DN1-DN2-0-0_Func-SB-PA20 stext 'LGUT - Guiding L THK'</v>
      </c>
      <c r="B23" t="str">
        <f t="shared" si="1"/>
        <v xml:space="preserve"> </v>
      </c>
      <c r="C23" t="s">
        <v>560</v>
      </c>
      <c r="D23" t="str">
        <f>Texts!D22</f>
        <v>/EUC-VNX_00B-DN1-DN2-0-0_Func-SB-PA20</v>
      </c>
      <c r="E23" t="str">
        <f>Texts!F22</f>
        <v>stext 'LGUT - Guiding L THK'</v>
      </c>
    </row>
    <row r="24" spans="1:5">
      <c r="A24" t="str">
        <f t="shared" si="0"/>
        <v xml:space="preserve">  TEXT /EUC-VNX_00B-DN1-DN2-0-0_Func-SB-PA21 stext 'LGUL - Guiding L Length'</v>
      </c>
      <c r="B24" t="str">
        <f t="shared" si="1"/>
        <v xml:space="preserve"> </v>
      </c>
      <c r="C24" t="s">
        <v>560</v>
      </c>
      <c r="D24" t="str">
        <f>Texts!D23</f>
        <v>/EUC-VNX_00B-DN1-DN2-0-0_Func-SB-PA21</v>
      </c>
      <c r="E24" t="str">
        <f>Texts!F23</f>
        <v>stext 'LGUL - Guiding L Length'</v>
      </c>
    </row>
    <row r="25" spans="1:5">
      <c r="A25" t="str">
        <f t="shared" si="0"/>
        <v xml:space="preserve">  TEXT /EUC-VNX_00B-DN1-DN2-0-0_Func-SB-PA22 stext 'CANG - Angle of clamp ori'</v>
      </c>
      <c r="B25" t="str">
        <f t="shared" si="1"/>
        <v xml:space="preserve"> </v>
      </c>
      <c r="C25" t="s">
        <v>560</v>
      </c>
      <c r="D25" t="str">
        <f>Texts!D24</f>
        <v>/EUC-VNX_00B-DN1-DN2-0-0_Func-SB-PA22</v>
      </c>
      <c r="E25" t="str">
        <f>Texts!F24</f>
        <v>stext 'CANG - Angle of clamp ori'</v>
      </c>
    </row>
    <row r="26" spans="1:5">
      <c r="A26" t="str">
        <f t="shared" si="0"/>
        <v xml:space="preserve">  TEXT /EUC-VNX_00B-DN1-DN2-0-0_Func-SB-PA23 stext ''</v>
      </c>
      <c r="B26" t="str">
        <f t="shared" si="1"/>
        <v xml:space="preserve"> </v>
      </c>
      <c r="C26" t="s">
        <v>560</v>
      </c>
      <c r="D26" t="str">
        <f>Texts!D25</f>
        <v>/EUC-VNX_00B-DN1-DN2-0-0_Func-SB-PA23</v>
      </c>
      <c r="E26" t="str">
        <f>Texts!F25</f>
        <v>stext ''</v>
      </c>
    </row>
    <row r="27" spans="1:5">
      <c r="A27" t="str">
        <f t="shared" si="0"/>
        <v xml:space="preserve">  TEXT /EUC-VNX_00B-DN1-DN2-0-0_Func-SB-PA24 stext 'Width of Clamp Bolt Plate'</v>
      </c>
      <c r="B27" t="str">
        <f t="shared" si="1"/>
        <v xml:space="preserve"> </v>
      </c>
      <c r="C27" t="s">
        <v>560</v>
      </c>
      <c r="D27" t="str">
        <f>Texts!D26</f>
        <v>/EUC-VNX_00B-DN1-DN2-0-0_Func-SB-PA24</v>
      </c>
      <c r="E27" t="str">
        <f>Texts!F26</f>
        <v>stext 'Width of Clamp Bolt Plate'</v>
      </c>
    </row>
    <row r="28" spans="1:5">
      <c r="A28" t="str">
        <f t="shared" si="0"/>
        <v xml:space="preserve">  TEXT /EUC-VNX_00B-DN1-DN2-0-0_Func-SB-PA25 stext 'Clearance between Bolt Plate'</v>
      </c>
      <c r="B28" t="str">
        <f t="shared" si="1"/>
        <v xml:space="preserve"> </v>
      </c>
      <c r="C28" t="s">
        <v>560</v>
      </c>
      <c r="D28" t="str">
        <f>Texts!D27</f>
        <v>/EUC-VNX_00B-DN1-DN2-0-0_Func-SB-PA25</v>
      </c>
      <c r="E28" t="str">
        <f>Texts!F27</f>
        <v>stext 'Clearance between Bolt Plate'</v>
      </c>
    </row>
    <row r="29" spans="1:5">
      <c r="A29" t="str">
        <f t="shared" si="0"/>
        <v xml:space="preserve">  TEXT /EUC-VNX_00B-DN1-DN2-0-0_Func-SB-PA26 stext 'Thickness of Bolt Plate'</v>
      </c>
      <c r="B29" t="str">
        <f t="shared" si="1"/>
        <v xml:space="preserve"> </v>
      </c>
      <c r="C29" t="s">
        <v>560</v>
      </c>
      <c r="D29" t="str">
        <f>Texts!D28</f>
        <v>/EUC-VNX_00B-DN1-DN2-0-0_Func-SB-PA26</v>
      </c>
      <c r="E29" t="str">
        <f>Texts!F28</f>
        <v>stext 'Thickness of Bolt Plate'</v>
      </c>
    </row>
    <row r="30" spans="1:5">
      <c r="A30" t="str">
        <f t="shared" si="0"/>
        <v xml:space="preserve">  TEXT /EUC-VNX_00B-DN1-DN2-0-0_Func-SB-PA27 stext 'Required Lenght of Bolt excl Nuts and Washer'</v>
      </c>
      <c r="B30" t="str">
        <f t="shared" si="1"/>
        <v xml:space="preserve"> </v>
      </c>
      <c r="C30" t="s">
        <v>560</v>
      </c>
      <c r="D30" t="str">
        <f>Texts!D29</f>
        <v>/EUC-VNX_00B-DN1-DN2-0-0_Func-SB-PA27</v>
      </c>
      <c r="E30" t="str">
        <f>Texts!F29</f>
        <v>stext 'Required Lenght of Bolt excl Nuts and Washer'</v>
      </c>
    </row>
    <row r="31" spans="1:5">
      <c r="A31" t="str">
        <f t="shared" si="0"/>
        <v xml:space="preserve">  TEXT /EUC-VNX_00B-DN1-DN2-0-0_Func-SB-PA28 stext ''</v>
      </c>
      <c r="B31" t="str">
        <f t="shared" si="1"/>
        <v xml:space="preserve"> </v>
      </c>
      <c r="C31" t="s">
        <v>560</v>
      </c>
      <c r="D31" t="str">
        <f>Texts!D30</f>
        <v>/EUC-VNX_00B-DN1-DN2-0-0_Func-SB-PA28</v>
      </c>
      <c r="E31" t="str">
        <f>Texts!F30</f>
        <v>stext ''</v>
      </c>
    </row>
    <row r="32" spans="1:5">
      <c r="A32" t="str">
        <f t="shared" si="0"/>
        <v xml:space="preserve">  TEXT /EUC-VNX_00B-DN1-DN2-0-0_Func-SB-PA29 stext ''</v>
      </c>
      <c r="B32" t="str">
        <f t="shared" si="1"/>
        <v xml:space="preserve"> </v>
      </c>
      <c r="C32" t="s">
        <v>560</v>
      </c>
      <c r="D32" t="str">
        <f>Texts!D31</f>
        <v>/EUC-VNX_00B-DN1-DN2-0-0_Func-SB-PA29</v>
      </c>
      <c r="E32" t="str">
        <f>Texts!F31</f>
        <v>stext ''</v>
      </c>
    </row>
    <row r="33" spans="1:5">
      <c r="A33" t="str">
        <f t="shared" si="0"/>
        <v xml:space="preserve">  TEXT /EUC-VNX_00B-DN1-DN2-0-0_Func-SB-PA30 stext 'FDIE - Foot biggest height (E)'</v>
      </c>
      <c r="B33" t="str">
        <f t="shared" si="1"/>
        <v xml:space="preserve"> </v>
      </c>
      <c r="C33" t="s">
        <v>560</v>
      </c>
      <c r="D33" t="str">
        <f>Texts!D32</f>
        <v>/EUC-VNX_00B-DN1-DN2-0-0_Func-SB-PA30</v>
      </c>
      <c r="E33" t="str">
        <f>Texts!F32</f>
        <v>stext 'FDIE - Foot biggest height (E)'</v>
      </c>
    </row>
    <row r="34" spans="1:5">
      <c r="A34" t="str">
        <f t="shared" si="0"/>
        <v xml:space="preserve">  TEXT /EUC-VNX_00B-DN1-DN2-0-0_Func-SB-PA31 stext 'FDIB - Foot width (A) or Dist betw. L-Steel'</v>
      </c>
      <c r="B34" t="str">
        <f t="shared" si="1"/>
        <v xml:space="preserve"> </v>
      </c>
      <c r="C34" t="s">
        <v>560</v>
      </c>
      <c r="D34" t="str">
        <f>Texts!D33</f>
        <v>/EUC-VNX_00B-DN1-DN2-0-0_Func-SB-PA31</v>
      </c>
      <c r="E34" t="str">
        <f>Texts!F33</f>
        <v>stext 'FDIB - Foot width (A) or Dist betw. L-Steel'</v>
      </c>
    </row>
    <row r="35" spans="1:5">
      <c r="A35" t="str">
        <f t="shared" si="0"/>
        <v xml:space="preserve">  TEXT /EUC-VNX_00B-DN1-DN2-0-0_Func-SB-PA32 stext 'FDIL - Foot length (L)'</v>
      </c>
      <c r="B35" t="str">
        <f t="shared" si="1"/>
        <v xml:space="preserve"> </v>
      </c>
      <c r="C35" t="s">
        <v>560</v>
      </c>
      <c r="D35" t="str">
        <f>Texts!D34</f>
        <v>/EUC-VNX_00B-DN1-DN2-0-0_Func-SB-PA32</v>
      </c>
      <c r="E35" t="str">
        <f>Texts!F34</f>
        <v>stext 'FDIL - Foot length (L)'</v>
      </c>
    </row>
    <row r="36" spans="1:5">
      <c r="A36" t="str">
        <f t="shared" si="0"/>
        <v xml:space="preserve">  TEXT /EUC-VNX_00B-DN1-DN2-0-0_Func-SB-PA33 stext 'FDIT - Foot sheet thickness (sf) or L Thickness'</v>
      </c>
      <c r="B36" t="str">
        <f t="shared" si="1"/>
        <v xml:space="preserve"> </v>
      </c>
      <c r="C36" t="s">
        <v>560</v>
      </c>
      <c r="D36" t="str">
        <f>Texts!D35</f>
        <v>/EUC-VNX_00B-DN1-DN2-0-0_Func-SB-PA33</v>
      </c>
      <c r="E36" t="str">
        <f>Texts!F35</f>
        <v>stext 'FDIT - Foot sheet thickness (sf) or L Thickness'</v>
      </c>
    </row>
    <row r="37" spans="1:5">
      <c r="A37" t="str">
        <f t="shared" si="0"/>
        <v xml:space="preserve">  TEXT /EUC-VNX_00B-DN1-DN2-0-0_Func-SB-PA34 stext 'FDIO - Clamp inset from end of Shoe'</v>
      </c>
      <c r="B37" t="str">
        <f t="shared" si="1"/>
        <v xml:space="preserve"> </v>
      </c>
      <c r="C37" t="s">
        <v>560</v>
      </c>
      <c r="D37" t="str">
        <f>Texts!D36</f>
        <v>/EUC-VNX_00B-DN1-DN2-0-0_Func-SB-PA34</v>
      </c>
      <c r="E37" t="str">
        <f>Texts!F36</f>
        <v>stext 'FDIO - Clamp inset from end of Shoe'</v>
      </c>
    </row>
    <row r="38" spans="1:5">
      <c r="A38" t="str">
        <f t="shared" si="0"/>
        <v xml:space="preserve">  TEXT /EUC-VNX_00B-DN1-DN2-0-0_Func-SB-PA35 stext ''</v>
      </c>
      <c r="B38" t="str">
        <f t="shared" si="1"/>
        <v xml:space="preserve"> </v>
      </c>
      <c r="C38" t="s">
        <v>560</v>
      </c>
      <c r="D38" t="str">
        <f>Texts!D37</f>
        <v>/EUC-VNX_00B-DN1-DN2-0-0_Func-SB-PA35</v>
      </c>
      <c r="E38" t="str">
        <f>Texts!F37</f>
        <v>stext ''</v>
      </c>
    </row>
    <row r="39" spans="1:5">
      <c r="A39" t="str">
        <f t="shared" si="0"/>
        <v xml:space="preserve">  TEXT /EUC-VNX_00B-DN1-DN2-0-0_Func-SB-PA36 stext ''</v>
      </c>
      <c r="B39" t="str">
        <f t="shared" si="1"/>
        <v xml:space="preserve"> </v>
      </c>
      <c r="C39" t="s">
        <v>560</v>
      </c>
      <c r="D39" t="str">
        <f>Texts!D38</f>
        <v>/EUC-VNX_00B-DN1-DN2-0-0_Func-SB-PA36</v>
      </c>
      <c r="E39" t="str">
        <f>Texts!F38</f>
        <v>stext ''</v>
      </c>
    </row>
    <row r="40" spans="1:5">
      <c r="A40" t="str">
        <f t="shared" si="0"/>
        <v xml:space="preserve">  TEXT /EUC-VNX_00B-DN1-DN2-0-0_Func-SB-PA37 stext ''</v>
      </c>
      <c r="B40" t="str">
        <f t="shared" si="1"/>
        <v xml:space="preserve"> </v>
      </c>
      <c r="C40" t="s">
        <v>560</v>
      </c>
      <c r="D40" t="str">
        <f>Texts!D39</f>
        <v>/EUC-VNX_00B-DN1-DN2-0-0_Func-SB-PA37</v>
      </c>
      <c r="E40" t="str">
        <f>Texts!F39</f>
        <v>stext ''</v>
      </c>
    </row>
    <row r="41" spans="1:5">
      <c r="A41" t="str">
        <f t="shared" si="0"/>
        <v xml:space="preserve">  TEXT /EUC-VNX_00B-DN1-DN2-0-0_Func-SB-PA38 stext 'GBBW - Guide border bottom width'</v>
      </c>
      <c r="B41" t="str">
        <f t="shared" si="1"/>
        <v xml:space="preserve"> </v>
      </c>
      <c r="C41" t="s">
        <v>560</v>
      </c>
      <c r="D41" t="str">
        <f>Texts!D40</f>
        <v>/EUC-VNX_00B-DN1-DN2-0-0_Func-SB-PA38</v>
      </c>
      <c r="E41" t="str">
        <f>Texts!F40</f>
        <v>stext 'GBBW - Guide border bottom width'</v>
      </c>
    </row>
    <row r="42" spans="1:5">
      <c r="A42" t="str">
        <f t="shared" si="0"/>
        <v xml:space="preserve">  TEXT /EUC-VNX_00B-DN1-DN2-0-0_Func-SB-PA39 stext 'GBIH - Guide border inner height'</v>
      </c>
      <c r="B42" t="str">
        <f t="shared" si="1"/>
        <v xml:space="preserve"> </v>
      </c>
      <c r="C42" t="s">
        <v>560</v>
      </c>
      <c r="D42" t="str">
        <f>Texts!D41</f>
        <v>/EUC-VNX_00B-DN1-DN2-0-0_Func-SB-PA39</v>
      </c>
      <c r="E42" t="str">
        <f>Texts!F41</f>
        <v>stext 'GBIH - Guide border inner height'</v>
      </c>
    </row>
    <row r="43" spans="1:5">
      <c r="A43" t="str">
        <f t="shared" si="0"/>
        <v xml:space="preserve">  TEXT /EUC-VNX_00B-DN1-DN2-0-0_Func-SB-PA40 stext ''</v>
      </c>
      <c r="B43" t="str">
        <f t="shared" si="1"/>
        <v xml:space="preserve"> </v>
      </c>
      <c r="C43" t="s">
        <v>560</v>
      </c>
      <c r="D43" t="str">
        <f>Texts!D42</f>
        <v>/EUC-VNX_00B-DN1-DN2-0-0_Func-SB-PA40</v>
      </c>
      <c r="E43" t="str">
        <f>Texts!F42</f>
        <v>stext ''</v>
      </c>
    </row>
    <row r="44" spans="1:5">
      <c r="A44" t="str">
        <f t="shared" si="0"/>
        <v xml:space="preserve">  TEXT /EUC-VNX_00B-DN1-DN2-0-0_Func-SB-PA41 stext 'GBWI - Guide total width'</v>
      </c>
      <c r="B44" t="str">
        <f t="shared" si="1"/>
        <v xml:space="preserve"> </v>
      </c>
      <c r="C44" t="s">
        <v>560</v>
      </c>
      <c r="D44" t="str">
        <f>Texts!D43</f>
        <v>/EUC-VNX_00B-DN1-DN2-0-0_Func-SB-PA41</v>
      </c>
      <c r="E44" t="str">
        <f>Texts!F43</f>
        <v>stext 'GBWI - Guide total width'</v>
      </c>
    </row>
    <row r="45" spans="1:5">
      <c r="A45" t="str">
        <f t="shared" si="0"/>
        <v xml:space="preserve">  TEXT /EUC-VNX_00B-DN1-DN2-0-0_Func-SB-PA42 stext 'GBHE - Guide total height'</v>
      </c>
      <c r="B45" t="str">
        <f t="shared" si="1"/>
        <v xml:space="preserve"> </v>
      </c>
      <c r="C45" t="s">
        <v>560</v>
      </c>
      <c r="D45" t="str">
        <f>Texts!D44</f>
        <v>/EUC-VNX_00B-DN1-DN2-0-0_Func-SB-PA42</v>
      </c>
      <c r="E45" t="str">
        <f>Texts!F44</f>
        <v>stext 'GBHE - Guide total height'</v>
      </c>
    </row>
    <row r="46" spans="1:5">
      <c r="A46" t="str">
        <f t="shared" si="0"/>
        <v xml:space="preserve">  TEXT /EUC-VNX_00B-DN1-DN2-0-0_Func-SB-PA43 stext 'GBTH - Guide Thickness'</v>
      </c>
      <c r="B46" t="str">
        <f t="shared" si="1"/>
        <v xml:space="preserve"> </v>
      </c>
      <c r="C46" t="s">
        <v>560</v>
      </c>
      <c r="D46" t="str">
        <f>Texts!D45</f>
        <v>/EUC-VNX_00B-DN1-DN2-0-0_Func-SB-PA43</v>
      </c>
      <c r="E46" t="str">
        <f>Texts!F45</f>
        <v>stext 'GBTH - Guide Thickness'</v>
      </c>
    </row>
    <row r="47" spans="1:5">
      <c r="A47" t="str">
        <f t="shared" si="0"/>
        <v xml:space="preserve">  TEXT /EUC-VNX_00B-DN1-DN2-0-0_Func-SB-PA44 stext ''</v>
      </c>
      <c r="B47" t="str">
        <f t="shared" si="1"/>
        <v xml:space="preserve"> </v>
      </c>
      <c r="C47" t="s">
        <v>560</v>
      </c>
      <c r="D47" t="str">
        <f>Texts!D46</f>
        <v>/EUC-VNX_00B-DN1-DN2-0-0_Func-SB-PA44</v>
      </c>
      <c r="E47" t="str">
        <f>Texts!F46</f>
        <v>stext ''</v>
      </c>
    </row>
    <row r="48" spans="1:5">
      <c r="A48" t="str">
        <f t="shared" si="0"/>
        <v xml:space="preserve">  TEXT /EUC-VNX_00B-DN1-DN2-0-0_Func-SB-PA45 stext 'GBDS - Guide to support clearance'</v>
      </c>
      <c r="B48" t="str">
        <f t="shared" si="1"/>
        <v xml:space="preserve"> </v>
      </c>
      <c r="C48" t="s">
        <v>560</v>
      </c>
      <c r="D48" t="str">
        <f>Texts!D47</f>
        <v>/EUC-VNX_00B-DN1-DN2-0-0_Func-SB-PA45</v>
      </c>
      <c r="E48" t="str">
        <f>Texts!F47</f>
        <v>stext 'GBDS - Guide to support clearance'</v>
      </c>
    </row>
    <row r="49" spans="1:5">
      <c r="A49" t="str">
        <f t="shared" si="0"/>
        <v xml:space="preserve">  TEXT /EUC-VNX_00B-DN1-DN2-0-0_Func-SB-PA46 stext 'FCLL - Fixed point cleat length x'</v>
      </c>
      <c r="B49" t="str">
        <f t="shared" si="1"/>
        <v xml:space="preserve"> </v>
      </c>
      <c r="C49" t="s">
        <v>560</v>
      </c>
      <c r="D49" t="str">
        <f>Texts!D48</f>
        <v>/EUC-VNX_00B-DN1-DN2-0-0_Func-SB-PA46</v>
      </c>
      <c r="E49" t="str">
        <f>Texts!F48</f>
        <v>stext 'FCLL - Fixed point cleat length x'</v>
      </c>
    </row>
    <row r="50" spans="1:5">
      <c r="A50" t="str">
        <f t="shared" si="0"/>
        <v xml:space="preserve">  TEXT /EUC-VNX_00B-DN1-DN2-0-0_Func-SB-PA47 stext 'FCLW - Fixed point cleat width y'</v>
      </c>
      <c r="B50" t="str">
        <f t="shared" si="1"/>
        <v xml:space="preserve"> </v>
      </c>
      <c r="C50" t="s">
        <v>560</v>
      </c>
      <c r="D50" t="str">
        <f>Texts!D49</f>
        <v>/EUC-VNX_00B-DN1-DN2-0-0_Func-SB-PA47</v>
      </c>
      <c r="E50" t="str">
        <f>Texts!F49</f>
        <v>stext 'FCLW - Fixed point cleat width y'</v>
      </c>
    </row>
    <row r="51" spans="1:5">
      <c r="A51" t="str">
        <f t="shared" si="0"/>
        <v xml:space="preserve">  TEXT /EUC-VNX_00B-DN1-DN2-0-0_Func-SB-PA48 stext 'FCLH - Fixed point cleat thickness z'</v>
      </c>
      <c r="B51" t="str">
        <f t="shared" si="1"/>
        <v xml:space="preserve"> </v>
      </c>
      <c r="C51" t="s">
        <v>560</v>
      </c>
      <c r="D51" t="str">
        <f>Texts!D50</f>
        <v>/EUC-VNX_00B-DN1-DN2-0-0_Func-SB-PA48</v>
      </c>
      <c r="E51" t="str">
        <f>Texts!F50</f>
        <v>stext 'FCLH - Fixed point cleat thickness z'</v>
      </c>
    </row>
    <row r="52" spans="1:5">
      <c r="A52" t="str">
        <f t="shared" si="0"/>
        <v xml:space="preserve">  TEXT /EUC-VNX_00B-DN1-DN2-0-0_Func-SB-PA49 stext ''</v>
      </c>
      <c r="B52" t="str">
        <f t="shared" si="1"/>
        <v xml:space="preserve"> </v>
      </c>
      <c r="C52" t="s">
        <v>560</v>
      </c>
      <c r="D52" t="str">
        <f>Texts!D51</f>
        <v>/EUC-VNX_00B-DN1-DN2-0-0_Func-SB-PA49</v>
      </c>
      <c r="E52" t="str">
        <f>Texts!F51</f>
        <v>stext ''</v>
      </c>
    </row>
    <row r="53" spans="1:5">
      <c r="A53" t="str">
        <f t="shared" si="0"/>
        <v xml:space="preserve">  TEXT /EUC-VNX_00B-DN1-DN2-0-0_Func-SB-PA50 stext 'FCLA - Fixed point cleat angle of arch'</v>
      </c>
      <c r="B53" t="str">
        <f t="shared" si="1"/>
        <v xml:space="preserve"> </v>
      </c>
      <c r="C53" t="s">
        <v>560</v>
      </c>
      <c r="D53" t="str">
        <f>Texts!D52</f>
        <v>/EUC-VNX_00B-DN1-DN2-0-0_Func-SB-PA50</v>
      </c>
      <c r="E53" t="str">
        <f>Texts!F52</f>
        <v>stext 'FCLA - Fixed point cleat angle of arch'</v>
      </c>
    </row>
    <row r="54" spans="1:5">
      <c r="A54" t="str">
        <f t="shared" si="0"/>
        <v xml:space="preserve">  TEXT /EUC-VNX_00B-DN1-DN2-0-0_Func-SB-PA51 stext 'BWID - Secondary Supp.Beam default width'</v>
      </c>
      <c r="B54" t="str">
        <f t="shared" si="1"/>
        <v xml:space="preserve"> </v>
      </c>
      <c r="C54" t="s">
        <v>560</v>
      </c>
      <c r="D54" t="str">
        <f>Texts!D53</f>
        <v>/EUC-VNX_00B-DN1-DN2-0-0_Func-SB-PA51</v>
      </c>
      <c r="E54" t="str">
        <f>Texts!F53</f>
        <v>stext 'BWID - Secondary Supp.Beam default width'</v>
      </c>
    </row>
    <row r="55" spans="1:5">
      <c r="A55" t="str">
        <f t="shared" si="0"/>
        <v xml:space="preserve">  TEXT /EUC-VNX_00B-DN1-DN2-0-0_Func-SB-PA52 stext 'CLEA - Clearance Stop to Beam'</v>
      </c>
      <c r="B55" t="str">
        <f t="shared" si="1"/>
        <v xml:space="preserve"> </v>
      </c>
      <c r="C55" t="s">
        <v>560</v>
      </c>
      <c r="D55" t="str">
        <f>Texts!D54</f>
        <v>/EUC-VNX_00B-DN1-DN2-0-0_Func-SB-PA52</v>
      </c>
      <c r="E55" t="str">
        <f>Texts!F54</f>
        <v>stext 'CLEA - Clearance Stop to Beam'</v>
      </c>
    </row>
    <row r="56" spans="1:5">
      <c r="A56" t="str">
        <f t="shared" si="0"/>
        <v xml:space="preserve">  TEXT /EUC-VNX_00B-DN1-DN2-0-0_Func-SB-PA53 stext 'LWID - W width'</v>
      </c>
      <c r="B56" t="str">
        <f t="shared" si="1"/>
        <v xml:space="preserve"> </v>
      </c>
      <c r="C56" t="s">
        <v>560</v>
      </c>
      <c r="D56" t="str">
        <f>Texts!D55</f>
        <v>/EUC-VNX_00B-DN1-DN2-0-0_Func-SB-PA53</v>
      </c>
      <c r="E56" t="str">
        <f>Texts!F55</f>
        <v>stext 'LWID - W width'</v>
      </c>
    </row>
    <row r="57" spans="1:5">
      <c r="A57" t="str">
        <f t="shared" si="0"/>
        <v xml:space="preserve">  TEXT /EUC-VNX_00B-DN1-DN2-0-0_Func-SB-PA54 stext ''</v>
      </c>
      <c r="B57" t="str">
        <f t="shared" si="1"/>
        <v xml:space="preserve"> </v>
      </c>
      <c r="C57" t="s">
        <v>560</v>
      </c>
      <c r="D57" t="str">
        <f>Texts!D56</f>
        <v>/EUC-VNX_00B-DN1-DN2-0-0_Func-SB-PA54</v>
      </c>
      <c r="E57" t="str">
        <f>Texts!F56</f>
        <v>stext ''</v>
      </c>
    </row>
    <row r="58" spans="1:5">
      <c r="A58" t="str">
        <f t="shared" si="0"/>
        <v xml:space="preserve">  TEXT /EUC-VNX_00B-DN1-DN2-0-0_Func-SB-PA55 stext 'LTHK - H thickness'</v>
      </c>
      <c r="B58" t="str">
        <f t="shared" si="1"/>
        <v xml:space="preserve"> </v>
      </c>
      <c r="C58" t="s">
        <v>560</v>
      </c>
      <c r="D58" t="str">
        <f>Texts!D57</f>
        <v>/EUC-VNX_00B-DN1-DN2-0-0_Func-SB-PA55</v>
      </c>
      <c r="E58" t="str">
        <f>Texts!F57</f>
        <v>stext 'LTHK - H thickness'</v>
      </c>
    </row>
    <row r="59" spans="1:5">
      <c r="A59" t="str">
        <f t="shared" si="0"/>
        <v xml:space="preserve">  TEXT /EUC-VNX_00B-DN1-DN2-0-0_Func-SB-PA56 stext 'LLEN - L length of Axial stop'</v>
      </c>
      <c r="B59" t="str">
        <f t="shared" si="1"/>
        <v xml:space="preserve"> </v>
      </c>
      <c r="C59" t="s">
        <v>560</v>
      </c>
      <c r="D59" t="str">
        <f>Texts!D58</f>
        <v>/EUC-VNX_00B-DN1-DN2-0-0_Func-SB-PA56</v>
      </c>
      <c r="E59" t="str">
        <f>Texts!F58</f>
        <v>stext 'LLEN - L length of Axial stop'</v>
      </c>
    </row>
    <row r="60" spans="1:5">
      <c r="A60" t="str">
        <f t="shared" si="0"/>
        <v xml:space="preserve">  TEXT /EUC-VNX_00B-DN1-DN2-0-0_Func-SB-PA57 stext ''</v>
      </c>
      <c r="B60" t="str">
        <f t="shared" si="1"/>
        <v xml:space="preserve"> </v>
      </c>
      <c r="C60" t="s">
        <v>560</v>
      </c>
      <c r="D60" t="str">
        <f>Texts!D59</f>
        <v>/EUC-VNX_00B-DN1-DN2-0-0_Func-SB-PA57</v>
      </c>
      <c r="E60" t="str">
        <f>Texts!F59</f>
        <v>stext ''</v>
      </c>
    </row>
    <row r="61" spans="1:5">
      <c r="A61" t="str">
        <f t="shared" si="0"/>
        <v xml:space="preserve">  TEXT /EUC-VNX_00B-DN1-DN2-0-0_Func-SB-PA58 stext ''</v>
      </c>
      <c r="B61" t="str">
        <f t="shared" si="1"/>
        <v xml:space="preserve"> </v>
      </c>
      <c r="C61" t="s">
        <v>560</v>
      </c>
      <c r="D61" t="str">
        <f>Texts!D60</f>
        <v>/EUC-VNX_00B-DN1-DN2-0-0_Func-SB-PA58</v>
      </c>
      <c r="E61" t="str">
        <f>Texts!F60</f>
        <v>stext ''</v>
      </c>
    </row>
    <row r="62" spans="1:5">
      <c r="A62" t="str">
        <f t="shared" si="0"/>
        <v xml:space="preserve">  TEXT /EUC-VNX_00B-DN1-DN2-0-0_Func-SB-PA59 stext ''</v>
      </c>
      <c r="B62" t="str">
        <f t="shared" si="1"/>
        <v xml:space="preserve"> </v>
      </c>
      <c r="C62" t="s">
        <v>560</v>
      </c>
      <c r="D62" t="str">
        <f>Texts!D61</f>
        <v>/EUC-VNX_00B-DN1-DN2-0-0_Func-SB-PA59</v>
      </c>
      <c r="E62" t="str">
        <f>Texts!F61</f>
        <v>stext ''</v>
      </c>
    </row>
    <row r="63" spans="1:5">
      <c r="A63" t="str">
        <f t="shared" si="0"/>
        <v xml:space="preserve">  TEXT /EUC-VNX_00B-DN1-DN2-0-0_Func-SB-PA60 stext 'SPTH - Sliding/Fill/Ground Plate height'</v>
      </c>
      <c r="B63" t="str">
        <f t="shared" si="1"/>
        <v xml:space="preserve"> </v>
      </c>
      <c r="C63" t="s">
        <v>560</v>
      </c>
      <c r="D63" t="str">
        <f>Texts!D62</f>
        <v>/EUC-VNX_00B-DN1-DN2-0-0_Func-SB-PA60</v>
      </c>
      <c r="E63" t="str">
        <f>Texts!F62</f>
        <v>stext 'SPTH - Sliding/Fill/Ground Plate height'</v>
      </c>
    </row>
    <row r="64" spans="1:5">
      <c r="A64" t="str">
        <f t="shared" si="0"/>
        <v xml:space="preserve">  TEXT /EUC-VNX_00B-DN1-DN2-0-0_Func-SB-PA61 stext 'SPLE - Sliding/Fill/Ground Plate length'</v>
      </c>
      <c r="B64" t="str">
        <f t="shared" si="1"/>
        <v xml:space="preserve"> </v>
      </c>
      <c r="C64" t="s">
        <v>560</v>
      </c>
      <c r="D64" t="str">
        <f>Texts!D63</f>
        <v>/EUC-VNX_00B-DN1-DN2-0-0_Func-SB-PA61</v>
      </c>
      <c r="E64" t="str">
        <f>Texts!F63</f>
        <v>stext 'SPLE - Sliding/Fill/Ground Plate length'</v>
      </c>
    </row>
    <row r="65" spans="1:5">
      <c r="A65" t="str">
        <f t="shared" si="0"/>
        <v xml:space="preserve">  TEXT /EUC-VNX_00B-DN1-DN2-0-0_Func-SB-PA62 stext 'SPTH - Sliding/Fill/Ground Plate width'</v>
      </c>
      <c r="B65" t="str">
        <f t="shared" si="1"/>
        <v xml:space="preserve"> </v>
      </c>
      <c r="C65" t="s">
        <v>560</v>
      </c>
      <c r="D65" t="str">
        <f>Texts!D64</f>
        <v>/EUC-VNX_00B-DN1-DN2-0-0_Func-SB-PA62</v>
      </c>
      <c r="E65" t="str">
        <f>Texts!F64</f>
        <v>stext 'SPTH - Sliding/Fill/Ground Plate width'</v>
      </c>
    </row>
    <row r="66" spans="1:5">
      <c r="A66" t="str">
        <f t="shared" si="0"/>
        <v xml:space="preserve">  TEXT /EUC-VNX_00B-DN1-DN2-0-0_Func-SB-PA63 stext 'SSTH - Sliding/Fill Shoe Thickness'</v>
      </c>
      <c r="B66" t="str">
        <f t="shared" si="1"/>
        <v xml:space="preserve"> </v>
      </c>
      <c r="C66" t="s">
        <v>560</v>
      </c>
      <c r="D66" t="str">
        <f>Texts!D65</f>
        <v>/EUC-VNX_00B-DN1-DN2-0-0_Func-SB-PA63</v>
      </c>
      <c r="E66" t="str">
        <f>Texts!F65</f>
        <v>stext 'SSTH - Sliding/Fill Shoe Thickness'</v>
      </c>
    </row>
    <row r="67" spans="1:5">
      <c r="A67" t="str">
        <f t="shared" ref="A67:A104" si="2">_xlfn.TEXTJOIN(" ",TRUE,B67:I67)</f>
        <v xml:space="preserve">  TEXT /EUC-VNX_00B-DN1-DN2-0-0_Func-SB-PA64 stext ''</v>
      </c>
      <c r="B67" t="str">
        <f t="shared" si="1"/>
        <v xml:space="preserve"> </v>
      </c>
      <c r="C67" t="s">
        <v>560</v>
      </c>
      <c r="D67" t="str">
        <f>Texts!D66</f>
        <v>/EUC-VNX_00B-DN1-DN2-0-0_Func-SB-PA64</v>
      </c>
      <c r="E67" t="str">
        <f>Texts!F66</f>
        <v>stext ''</v>
      </c>
    </row>
    <row r="68" spans="1:5">
      <c r="A68" t="str">
        <f t="shared" si="2"/>
        <v xml:space="preserve">  TEXT /EUC-VNX_00B-DN1-DN2-0-0_Func-SB-PA65 stext 'FOLL - Foot - outer L width or U-Baseplate extension'</v>
      </c>
      <c r="B68" t="str">
        <f t="shared" ref="B68:B105" si="3">$B$2</f>
        <v xml:space="preserve"> </v>
      </c>
      <c r="C68" t="s">
        <v>560</v>
      </c>
      <c r="D68" t="str">
        <f>Texts!D67</f>
        <v>/EUC-VNX_00B-DN1-DN2-0-0_Func-SB-PA65</v>
      </c>
      <c r="E68" t="str">
        <f>Texts!F67</f>
        <v>stext 'FOLL - Foot - outer L width or U-Baseplate extension'</v>
      </c>
    </row>
    <row r="69" spans="1:5">
      <c r="A69" t="str">
        <f t="shared" si="2"/>
        <v xml:space="preserve">  TEXT /EUC-VNX_00B-DN1-DN2-0-0_Func-SB-PA66 stext 'FOLH - Foot - outer L height'</v>
      </c>
      <c r="B69" t="str">
        <f t="shared" si="3"/>
        <v xml:space="preserve"> </v>
      </c>
      <c r="C69" t="s">
        <v>560</v>
      </c>
      <c r="D69" t="str">
        <f>Texts!D68</f>
        <v>/EUC-VNX_00B-DN1-DN2-0-0_Func-SB-PA66</v>
      </c>
      <c r="E69" t="str">
        <f>Texts!F68</f>
        <v>stext 'FOLH - Foot - outer L height'</v>
      </c>
    </row>
    <row r="70" spans="1:5">
      <c r="A70" t="str">
        <f t="shared" si="2"/>
        <v xml:space="preserve">  TEXT /EUC-VNX_00B-DN1-DN2-0-0_Func-SB-PA67 stext ''</v>
      </c>
      <c r="B70" t="str">
        <f t="shared" si="3"/>
        <v xml:space="preserve"> </v>
      </c>
      <c r="C70" t="s">
        <v>560</v>
      </c>
      <c r="D70" t="str">
        <f>Texts!D69</f>
        <v>/EUC-VNX_00B-DN1-DN2-0-0_Func-SB-PA67</v>
      </c>
      <c r="E70" t="str">
        <f>Texts!F69</f>
        <v>stext ''</v>
      </c>
    </row>
    <row r="71" spans="1:5">
      <c r="A71" t="str">
        <f t="shared" si="2"/>
        <v xml:space="preserve">  TEXT /EUC-VNX_00B-DN1-DN2-0-0_Func-SB-PA68 stext 'FSLL - Foot - stiff. Offset from L-bot'</v>
      </c>
      <c r="B71" t="str">
        <f t="shared" si="3"/>
        <v xml:space="preserve"> </v>
      </c>
      <c r="C71" t="s">
        <v>560</v>
      </c>
      <c r="D71" t="str">
        <f>Texts!D70</f>
        <v>/EUC-VNX_00B-DN1-DN2-0-0_Func-SB-PA68</v>
      </c>
      <c r="E71" t="str">
        <f>Texts!F70</f>
        <v>stext 'FSLL - Foot - stiff. Offset from L-bot'</v>
      </c>
    </row>
    <row r="72" spans="1:5">
      <c r="A72" t="str">
        <f t="shared" si="2"/>
        <v xml:space="preserve">  TEXT /EUC-VNX_00B-DN1-DN2-0-0_Func-SB-PA69 stext 'FSLH - Foot - stiff. height'</v>
      </c>
      <c r="B72" t="str">
        <f t="shared" si="3"/>
        <v xml:space="preserve"> </v>
      </c>
      <c r="C72" t="s">
        <v>560</v>
      </c>
      <c r="D72" t="str">
        <f>Texts!D71</f>
        <v>/EUC-VNX_00B-DN1-DN2-0-0_Func-SB-PA69</v>
      </c>
      <c r="E72" t="str">
        <f>Texts!F71</f>
        <v>stext 'FSLH - Foot - stiff. height'</v>
      </c>
    </row>
    <row r="73" spans="1:5">
      <c r="A73" t="str">
        <f t="shared" si="2"/>
        <v xml:space="preserve">  TEXT /EUC-VNX_00B-DN1-DN2-0-0_Func-SB-PA70 stext 'FSLT - Foot - stiff. L thickness'</v>
      </c>
      <c r="B73" t="str">
        <f t="shared" si="3"/>
        <v xml:space="preserve"> </v>
      </c>
      <c r="C73" t="s">
        <v>560</v>
      </c>
      <c r="D73" t="str">
        <f>Texts!D72</f>
        <v>/EUC-VNX_00B-DN1-DN2-0-0_Func-SB-PA70</v>
      </c>
      <c r="E73" t="str">
        <f>Texts!F72</f>
        <v>stext 'FSLT - Foot - stiff. L thickness'</v>
      </c>
    </row>
    <row r="74" spans="1:5">
      <c r="A74" t="str">
        <f t="shared" si="2"/>
        <v xml:space="preserve">  TEXT /EUC-VNX_00B-DN1-DN2-0-0_Func-SB-PA71 stext ''</v>
      </c>
      <c r="B74" t="str">
        <f t="shared" si="3"/>
        <v xml:space="preserve"> </v>
      </c>
      <c r="C74" t="s">
        <v>560</v>
      </c>
      <c r="D74" t="str">
        <f>Texts!D73</f>
        <v>/EUC-VNX_00B-DN1-DN2-0-0_Func-SB-PA71</v>
      </c>
      <c r="E74" t="str">
        <f>Texts!F73</f>
        <v>stext ''</v>
      </c>
    </row>
    <row r="75" spans="1:5">
      <c r="A75" t="str">
        <f t="shared" si="2"/>
        <v xml:space="preserve">  TEXT /EUC-VNX_00B-DN1-DN2-0-0_Func-SB-PA72 stext 'FSLO - Foot - stiff. End inset'</v>
      </c>
      <c r="B75" t="str">
        <f t="shared" si="3"/>
        <v xml:space="preserve"> </v>
      </c>
      <c r="C75" t="s">
        <v>560</v>
      </c>
      <c r="D75" t="str">
        <f>Texts!D74</f>
        <v>/EUC-VNX_00B-DN1-DN2-0-0_Func-SB-PA72</v>
      </c>
      <c r="E75" t="str">
        <f>Texts!F74</f>
        <v>stext 'FSLO - Foot - stiff. End inset'</v>
      </c>
    </row>
    <row r="76" spans="1:5">
      <c r="A76" t="str">
        <f t="shared" si="2"/>
        <v xml:space="preserve">  TEXT /EUC-VNX_00B-DN1-DN2-0-0_Func-SB-PA73 stext ''</v>
      </c>
      <c r="B76" t="str">
        <f t="shared" si="3"/>
        <v xml:space="preserve"> </v>
      </c>
      <c r="C76" t="s">
        <v>560</v>
      </c>
      <c r="D76" t="str">
        <f>Texts!D75</f>
        <v>/EUC-VNX_00B-DN1-DN2-0-0_Func-SB-PA73</v>
      </c>
      <c r="E76" t="str">
        <f>Texts!F75</f>
        <v>stext ''</v>
      </c>
    </row>
    <row r="77" spans="1:5">
      <c r="A77" t="str">
        <f t="shared" si="2"/>
        <v xml:space="preserve">  TEXT /EUC-VNX_00B-DN1-DN2-0-0_Func-SB-PA74 stext 'DRWG - Drawing Number'</v>
      </c>
      <c r="B77" t="str">
        <f t="shared" si="3"/>
        <v xml:space="preserve"> </v>
      </c>
      <c r="C77" t="s">
        <v>560</v>
      </c>
      <c r="D77" t="str">
        <f>Texts!D76</f>
        <v>/EUC-VNX_00B-DN1-DN2-0-0_Func-SB-PA74</v>
      </c>
      <c r="E77" t="str">
        <f>Texts!F76</f>
        <v>stext 'DRWG - Drawing Number'</v>
      </c>
    </row>
    <row r="78" spans="1:5">
      <c r="A78" t="str">
        <f t="shared" si="2"/>
        <v xml:space="preserve">  TEXT /EUC-VNX_00B-DN1-DN2-0-0_Func-SB-PA75 stext 'XFOR - permitted axial load 100C'</v>
      </c>
      <c r="B78" t="str">
        <f t="shared" si="3"/>
        <v xml:space="preserve"> </v>
      </c>
      <c r="C78" t="s">
        <v>560</v>
      </c>
      <c r="D78" t="str">
        <f>Texts!D77</f>
        <v>/EUC-VNX_00B-DN1-DN2-0-0_Func-SB-PA75</v>
      </c>
      <c r="E78" t="str">
        <f>Texts!F77</f>
        <v>stext 'XFOR - permitted axial load 100C'</v>
      </c>
    </row>
    <row r="79" spans="1:5">
      <c r="A79" t="str">
        <f t="shared" si="2"/>
        <v xml:space="preserve">  TEXT /EUC-VNX_00B-DN1-DN2-0-0_Func-SB-PA76 stext 'YFOR - permitted later load 100C'</v>
      </c>
      <c r="B79" t="str">
        <f t="shared" si="3"/>
        <v xml:space="preserve"> </v>
      </c>
      <c r="C79" t="s">
        <v>560</v>
      </c>
      <c r="D79" t="str">
        <f>Texts!D78</f>
        <v>/EUC-VNX_00B-DN1-DN2-0-0_Func-SB-PA76</v>
      </c>
      <c r="E79" t="str">
        <f>Texts!F78</f>
        <v>stext 'YFOR - permitted later load 100C'</v>
      </c>
    </row>
    <row r="80" spans="1:5">
      <c r="A80" t="str">
        <f t="shared" si="2"/>
        <v xml:space="preserve">  TEXT /EUC-VNX_00B-DN1-DN2-0-0_Func-SB-PA77 stext 'ZFOR - permitted vert load 100C'</v>
      </c>
      <c r="B80" t="str">
        <f t="shared" si="3"/>
        <v xml:space="preserve"> </v>
      </c>
      <c r="C80" t="s">
        <v>560</v>
      </c>
      <c r="D80" t="str">
        <f>Texts!D79</f>
        <v>/EUC-VNX_00B-DN1-DN2-0-0_Func-SB-PA77</v>
      </c>
      <c r="E80" t="str">
        <f>Texts!F79</f>
        <v>stext 'ZFOR - permitted vert load 100C'</v>
      </c>
    </row>
    <row r="81" spans="1:9">
      <c r="A81" t="str">
        <f t="shared" si="2"/>
        <v xml:space="preserve">  TEXT /EUC-VNX_00B-DN1-DN2-0-0_Func-SB-PA78 stext 'WELA - Prefered Weldsize A'</v>
      </c>
      <c r="B81" t="str">
        <f t="shared" si="3"/>
        <v xml:space="preserve"> </v>
      </c>
      <c r="C81" t="s">
        <v>560</v>
      </c>
      <c r="D81" t="str">
        <f>Texts!D80</f>
        <v>/EUC-VNX_00B-DN1-DN2-0-0_Func-SB-PA78</v>
      </c>
      <c r="E81" t="str">
        <f>Texts!F80</f>
        <v>stext 'WELA - Prefered Weldsize A'</v>
      </c>
    </row>
    <row r="82" spans="1:9">
      <c r="A82" t="str">
        <f t="shared" si="2"/>
        <v xml:space="preserve">  SCOM /EUC-VNXC00B-15-15-0-0_Csteel Gtype ATTA DTREF /EuC-CATA-SUPP/COMMON/2-DTSE PTREF /EuC-CATA-SUPP/COMMON/S_T_X_X_X_CL00_X-PTSE GMREF /EuC-CATA-SUPP/COMMON/S_T_X_X_X_CL00_X-GMSE PARA 15 15 22 22 ATT ATT 0 0 0.85 82 22 96 30 5 7 0 66 0 0 0 0 -30 0 0 0 0 0 0 0 66 60 120 6 0 0 0 0 0 0 0 0 0 0 0 0 0 0 0 0 0 0 0 0 0 0 0 0 0 0 0 0 0 0 0 0 0 0 0 0 0 0 0 0 84032 0 0 0 3</v>
      </c>
      <c r="B82" t="str">
        <f t="shared" si="3"/>
        <v xml:space="preserve"> </v>
      </c>
      <c r="C82" t="s">
        <v>596</v>
      </c>
      <c r="D82" t="str">
        <f>CATA!CR6</f>
        <v>/EUC-VNXC00B-15-15-0-0_Csteel</v>
      </c>
      <c r="E82" t="s">
        <v>599</v>
      </c>
      <c r="F82" t="s">
        <v>843</v>
      </c>
      <c r="G82" t="str">
        <f>"PTREF "&amp;CATA!CV6</f>
        <v>PTREF /EuC-CATA-SUPP/COMMON/S_T_X_X_X_CL00_X-PTSE</v>
      </c>
      <c r="H82" t="str">
        <f>"GMREF "&amp;CATA!CU6</f>
        <v>GMREF /EuC-CATA-SUPP/COMMON/S_T_X_X_X_CL00_X-GMSE</v>
      </c>
      <c r="I82" t="str">
        <f>CATA!CQ6</f>
        <v>PARA 15 15 22 22 ATT ATT 0 0 0.85 82 22 96 30 5 7 0 66 0 0 0 0 -30 0 0 0 0 0 0 0 66 60 120 6 0 0 0 0 0 0 0 0 0 0 0 0 0 0 0 0 0 0 0 0 0 0 0 0 0 0 0 0 0 0 0 0 0 0 0 0 0 0 0 0 84032 0 0 0 3</v>
      </c>
    </row>
    <row r="83" spans="1:9">
      <c r="A83" t="str">
        <f t="shared" si="2"/>
        <v xml:space="preserve">  SCOM /EUC-VNXC00B-20-20-0-0_Csteel Gtype ATTA DTREF /EuC-CATA-SUPP/COMMON/2-DTSE PTREF /EuC-CATA-SUPP/COMMON/S_T_X_X_X_CL00_X-PTSE GMREF /EuC-CATA-SUPP/COMMON/S_T_X_X_X_CL00_X-GMSE PARA 20 20 27 27 ATT ATT 0 0 0.90 84.5 27 96 30 5 7 0 66 0 0 0 0 -30 0 0 0 0 0 0 0 66 60 120 6 0 0 0 0 0 0 0 0 0 0 0 0 0 0 0 0 0 0 0 0 0 0 0 0 0 0 0 0 0 0 0 0 0 0 0 0 0 0 0 0 84033 0 0 0 3</v>
      </c>
      <c r="B83" t="str">
        <f t="shared" si="3"/>
        <v xml:space="preserve"> </v>
      </c>
      <c r="C83" t="s">
        <v>596</v>
      </c>
      <c r="D83" t="str">
        <f>CATA!CR7</f>
        <v>/EUC-VNXC00B-20-20-0-0_Csteel</v>
      </c>
      <c r="E83" t="s">
        <v>599</v>
      </c>
      <c r="F83" t="s">
        <v>843</v>
      </c>
      <c r="G83" t="str">
        <f>"PTREF "&amp;CATA!CV7</f>
        <v>PTREF /EuC-CATA-SUPP/COMMON/S_T_X_X_X_CL00_X-PTSE</v>
      </c>
      <c r="H83" t="str">
        <f>"GMREF "&amp;CATA!CU7</f>
        <v>GMREF /EuC-CATA-SUPP/COMMON/S_T_X_X_X_CL00_X-GMSE</v>
      </c>
      <c r="I83" t="str">
        <f>CATA!CQ7</f>
        <v>PARA 20 20 27 27 ATT ATT 0 0 0.90 84.5 27 96 30 5 7 0 66 0 0 0 0 -30 0 0 0 0 0 0 0 66 60 120 6 0 0 0 0 0 0 0 0 0 0 0 0 0 0 0 0 0 0 0 0 0 0 0 0 0 0 0 0 0 0 0 0 0 0 0 0 0 0 0 0 84033 0 0 0 3</v>
      </c>
    </row>
    <row r="84" spans="1:9">
      <c r="A84" t="str">
        <f t="shared" si="2"/>
        <v xml:space="preserve">  SCOM /EUC-VNXC00B-25-25-0-0_Csteel Gtype ATTA DTREF /EuC-CATA-SUPP/COMMON/2-DTSE PTREF /EuC-CATA-SUPP/COMMON/S_T_X_X_X_CL00_X-PTSE GMREF /EuC-CATA-SUPP/COMMON/S_T_X_X_X_CL00_X-GMSE PARA 25 25 34 34 ATT ATT 0 0 0.96 88 34 102 30 5 7 0 66 0 0 0 0 -30 0 0 0 0 0 0 0 66 60 120 6 0 0 0 0 0 0 0 0 0 0 0 0 0 0 0 0 0 0 0 0 0 0 0 0 0 0 0 0 0 0 0 0 0 0 0 0 0 0 0 0 84034 0 0 0 3</v>
      </c>
      <c r="B84" t="str">
        <f t="shared" si="3"/>
        <v xml:space="preserve"> </v>
      </c>
      <c r="C84" t="s">
        <v>596</v>
      </c>
      <c r="D84" t="str">
        <f>CATA!CR8</f>
        <v>/EUC-VNXC00B-25-25-0-0_Csteel</v>
      </c>
      <c r="E84" t="s">
        <v>599</v>
      </c>
      <c r="F84" t="s">
        <v>843</v>
      </c>
      <c r="G84" t="str">
        <f>"PTREF "&amp;CATA!CV8</f>
        <v>PTREF /EuC-CATA-SUPP/COMMON/S_T_X_X_X_CL00_X-PTSE</v>
      </c>
      <c r="H84" t="str">
        <f>"GMREF "&amp;CATA!CU8</f>
        <v>GMREF /EuC-CATA-SUPP/COMMON/S_T_X_X_X_CL00_X-GMSE</v>
      </c>
      <c r="I84" t="str">
        <f>CATA!CQ8</f>
        <v>PARA 25 25 34 34 ATT ATT 0 0 0.96 88 34 102 30 5 7 0 66 0 0 0 0 -30 0 0 0 0 0 0 0 66 60 120 6 0 0 0 0 0 0 0 0 0 0 0 0 0 0 0 0 0 0 0 0 0 0 0 0 0 0 0 0 0 0 0 0 0 0 0 0 0 0 0 0 84034 0 0 0 3</v>
      </c>
    </row>
    <row r="85" spans="1:9">
      <c r="A85" t="str">
        <f t="shared" si="2"/>
        <v xml:space="preserve">  SCOM /EUC-VNXC00B-32-32-0-0_Csteel Gtype ATTA DTREF /EuC-CATA-SUPP/COMMON/2-DTSE PTREF /EuC-CATA-SUPP/COMMON/S_T_X_X_X_CL00_X-PTSE GMREF /EuC-CATA-SUPP/COMMON/S_T_X_X_X_CL00_X-GMSE PARA 32 32 43 43 ATT ATT 0 0 0.98 92.5 43 112 30 5 7 0 66 0 0 0 0 -30 0 0 0 0 0 0 0 66 60 120 6 0 0 0 0 0 0 0 0 0 0 0 0 0 0 0 0 0 0 0 0 0 0 0 0 0 0 0 0 0 0 0 0 0 0 0 0 0 0 0 0 84035 0 0 0 3</v>
      </c>
      <c r="B85" t="str">
        <f t="shared" si="3"/>
        <v xml:space="preserve"> </v>
      </c>
      <c r="C85" t="s">
        <v>596</v>
      </c>
      <c r="D85" t="str">
        <f>CATA!CR9</f>
        <v>/EUC-VNXC00B-32-32-0-0_Csteel</v>
      </c>
      <c r="E85" t="s">
        <v>599</v>
      </c>
      <c r="F85" t="s">
        <v>843</v>
      </c>
      <c r="G85" t="str">
        <f>"PTREF "&amp;CATA!CV9</f>
        <v>PTREF /EuC-CATA-SUPP/COMMON/S_T_X_X_X_CL00_X-PTSE</v>
      </c>
      <c r="H85" t="str">
        <f>"GMREF "&amp;CATA!CU9</f>
        <v>GMREF /EuC-CATA-SUPP/COMMON/S_T_X_X_X_CL00_X-GMSE</v>
      </c>
      <c r="I85" t="str">
        <f>CATA!CQ9</f>
        <v>PARA 32 32 43 43 ATT ATT 0 0 0.98 92.5 43 112 30 5 7 0 66 0 0 0 0 -30 0 0 0 0 0 0 0 66 60 120 6 0 0 0 0 0 0 0 0 0 0 0 0 0 0 0 0 0 0 0 0 0 0 0 0 0 0 0 0 0 0 0 0 0 0 0 0 0 0 0 0 84035 0 0 0 3</v>
      </c>
    </row>
    <row r="86" spans="1:9">
      <c r="A86" t="str">
        <f t="shared" si="2"/>
        <v xml:space="preserve">  SCOM /EUC-VNXC00B-40-40-0-0_Csteel Gtype ATTA DTREF /EuC-CATA-SUPP/COMMON/2-DTSE PTREF /EuC-CATA-SUPP/COMMON/S_T_X_X_X_CL00_X-PTSE GMREF /EuC-CATA-SUPP/COMMON/S_T_X_X_X_CL00_X-GMSE PARA 40 40 49 49 ATT ATT 0 0 1.00 95.5 49 118 30 5 7 0 66 0 0 0 0 -30 0 0 0 0 0 0 0 66 60 120 6 0 0 0 0 0 0 0 0 0 0 0 0 0 0 0 0 0 0 0 0 0 0 0 0 0 0 0 0 0 0 0 0 0 0 0 0 0 0 0 0 84036 0 0 0 3</v>
      </c>
      <c r="B86" t="str">
        <f t="shared" si="3"/>
        <v xml:space="preserve"> </v>
      </c>
      <c r="C86" t="s">
        <v>596</v>
      </c>
      <c r="D86" t="str">
        <f>CATA!CR10</f>
        <v>/EUC-VNXC00B-40-40-0-0_Csteel</v>
      </c>
      <c r="E86" t="s">
        <v>599</v>
      </c>
      <c r="F86" t="s">
        <v>843</v>
      </c>
      <c r="G86" t="str">
        <f>"PTREF "&amp;CATA!CV10</f>
        <v>PTREF /EuC-CATA-SUPP/COMMON/S_T_X_X_X_CL00_X-PTSE</v>
      </c>
      <c r="H86" t="str">
        <f>"GMREF "&amp;CATA!CU10</f>
        <v>GMREF /EuC-CATA-SUPP/COMMON/S_T_X_X_X_CL00_X-GMSE</v>
      </c>
      <c r="I86" t="str">
        <f>CATA!CQ10</f>
        <v>PARA 40 40 49 49 ATT ATT 0 0 1.00 95.5 49 118 30 5 7 0 66 0 0 0 0 -30 0 0 0 0 0 0 0 66 60 120 6 0 0 0 0 0 0 0 0 0 0 0 0 0 0 0 0 0 0 0 0 0 0 0 0 0 0 0 0 0 0 0 0 0 0 0 0 0 0 0 0 84036 0 0 0 3</v>
      </c>
    </row>
    <row r="87" spans="1:9">
      <c r="A87" t="str">
        <f t="shared" si="2"/>
        <v xml:space="preserve">  SCOM /EUC-VNXC00B-50-50-0-0_Csteel Gtype ATTA DTREF /EuC-CATA-SUPP/COMMON/2-DTSE PTREF /EuC-CATA-SUPP/COMMON/S_T_X_X_X_CL00_X-PTSE GMREF /EuC-CATA-SUPP/COMMON/S_T_X_X_X_CL00_X-GMSE PARA 50 50 61 61 ATT ATT 0 0 1.32 102.5 61 144 40 6 9 0 66 0 0 0 0 -30 0 0 0 0 0 0 0 66 60 120 6 0 0 0 0 0 0 0 0 0 0 0 0 0 0 0 0 0 0 0 0 0 0 0 0 0 0 0 0 0 0 0 0 0 0 0 0 0 0 0 0 84037 0 0 0 4</v>
      </c>
      <c r="B87" t="str">
        <f t="shared" si="3"/>
        <v xml:space="preserve"> </v>
      </c>
      <c r="C87" t="s">
        <v>596</v>
      </c>
      <c r="D87" t="str">
        <f>CATA!CR11</f>
        <v>/EUC-VNXC00B-50-50-0-0_Csteel</v>
      </c>
      <c r="E87" t="s">
        <v>599</v>
      </c>
      <c r="F87" t="s">
        <v>843</v>
      </c>
      <c r="G87" t="str">
        <f>"PTREF "&amp;CATA!CV11</f>
        <v>PTREF /EuC-CATA-SUPP/COMMON/S_T_X_X_X_CL00_X-PTSE</v>
      </c>
      <c r="H87" t="str">
        <f>"GMREF "&amp;CATA!CU11</f>
        <v>GMREF /EuC-CATA-SUPP/COMMON/S_T_X_X_X_CL00_X-GMSE</v>
      </c>
      <c r="I87" t="str">
        <f>CATA!CQ11</f>
        <v>PARA 50 50 61 61 ATT ATT 0 0 1.32 102.5 61 144 40 6 9 0 66 0 0 0 0 -30 0 0 0 0 0 0 0 66 60 120 6 0 0 0 0 0 0 0 0 0 0 0 0 0 0 0 0 0 0 0 0 0 0 0 0 0 0 0 0 0 0 0 0 0 0 0 0 0 0 0 0 84037 0 0 0 4</v>
      </c>
    </row>
    <row r="88" spans="1:9">
      <c r="A88" t="str">
        <f t="shared" si="2"/>
        <v xml:space="preserve">  SCOM /EUC-VNXC00B-65-65-0-0_Csteel Gtype ATTA DTREF /EuC-CATA-SUPP/COMMON/2-DTSE PTREF /EuC-CATA-SUPP/COMMON/S_T_X_X_X_CL00_X-PTSE GMREF /EuC-CATA-SUPP/COMMON/S_T_X_X_X_CL00_X-GMSE PARA 65 65 77 77 ATT ATT 0 0 1.39 110.5 77 158 40 6 9 0 66 0 0 0 0 -30 0 0 0 0 0 0 0 66 60 120 6 0 0 0 0 0 0 0 0 0 0 0 0 0 0 0 0 0 0 0 0 0 0 0 0 0 0 0 0 0 0 0 0 0 0 0 0 0 0 0 0 84038 0 0 0 4</v>
      </c>
      <c r="B88" t="str">
        <f t="shared" si="3"/>
        <v xml:space="preserve"> </v>
      </c>
      <c r="C88" t="s">
        <v>596</v>
      </c>
      <c r="D88" t="str">
        <f>CATA!CR12</f>
        <v>/EUC-VNXC00B-65-65-0-0_Csteel</v>
      </c>
      <c r="E88" t="s">
        <v>599</v>
      </c>
      <c r="F88" t="s">
        <v>843</v>
      </c>
      <c r="G88" t="str">
        <f>"PTREF "&amp;CATA!CV12</f>
        <v>PTREF /EuC-CATA-SUPP/COMMON/S_T_X_X_X_CL00_X-PTSE</v>
      </c>
      <c r="H88" t="str">
        <f>"GMREF "&amp;CATA!CU12</f>
        <v>GMREF /EuC-CATA-SUPP/COMMON/S_T_X_X_X_CL00_X-GMSE</v>
      </c>
      <c r="I88" t="str">
        <f>CATA!CQ12</f>
        <v>PARA 65 65 77 77 ATT ATT 0 0 1.39 110.5 77 158 40 6 9 0 66 0 0 0 0 -30 0 0 0 0 0 0 0 66 60 120 6 0 0 0 0 0 0 0 0 0 0 0 0 0 0 0 0 0 0 0 0 0 0 0 0 0 0 0 0 0 0 0 0 0 0 0 0 0 0 0 0 84038 0 0 0 4</v>
      </c>
    </row>
    <row r="89" spans="1:9">
      <c r="A89" t="str">
        <f t="shared" si="2"/>
        <v xml:space="preserve">  SCOM /EUC-VNXC00B-80-80-0-0_Csteel Gtype ATTA DTREF /EuC-CATA-SUPP/COMMON/2-DTSE PTREF /EuC-CATA-SUPP/COMMON/S_T_X_X_X_CL00_X-PTSE GMREF /EuC-CATA-SUPP/COMMON/S_T_X_X_X_CL00_X-GMSE PARA 80 80 89 89 ATT ATT 0 0 1.30 116.5 89 172 40 6 9 0 66 0 0 0 0 -30 0 0 0 0 0 0 0 66 60 120 6 0 0 0 0 0 0 0 0 0 0 0 0 0 0 0 0 0 0 0 0 0 0 0 0 0 0 0 0 0 0 0 0 0 0 0 0 0 0 0 0 84039 0 0 0 4</v>
      </c>
      <c r="B89" t="str">
        <f t="shared" si="3"/>
        <v xml:space="preserve"> </v>
      </c>
      <c r="C89" t="s">
        <v>596</v>
      </c>
      <c r="D89" t="str">
        <f>CATA!CR13</f>
        <v>/EUC-VNXC00B-80-80-0-0_Csteel</v>
      </c>
      <c r="E89" t="s">
        <v>599</v>
      </c>
      <c r="F89" t="s">
        <v>843</v>
      </c>
      <c r="G89" t="str">
        <f>"PTREF "&amp;CATA!CV13</f>
        <v>PTREF /EuC-CATA-SUPP/COMMON/S_T_X_X_X_CL00_X-PTSE</v>
      </c>
      <c r="H89" t="str">
        <f>"GMREF "&amp;CATA!CU13</f>
        <v>GMREF /EuC-CATA-SUPP/COMMON/S_T_X_X_X_CL00_X-GMSE</v>
      </c>
      <c r="I89" t="str">
        <f>CATA!CQ13</f>
        <v>PARA 80 80 89 89 ATT ATT 0 0 1.30 116.5 89 172 40 6 9 0 66 0 0 0 0 -30 0 0 0 0 0 0 0 66 60 120 6 0 0 0 0 0 0 0 0 0 0 0 0 0 0 0 0 0 0 0 0 0 0 0 0 0 0 0 0 0 0 0 0 0 0 0 0 0 0 0 0 84039 0 0 0 4</v>
      </c>
    </row>
    <row r="90" spans="1:9">
      <c r="A90" t="str">
        <f t="shared" si="2"/>
        <v xml:space="preserve">  SCOM /EUC-VNXJ00B-100-100-0-0_Csteel Gtype ATTA DTREF /EuC-CATA-SUPP/COMMON/2-DTSE PTREF /EuC-CATA-SUPP/COMMON/D_U_X_X_X_CL00_X-PTSE GMREF /EuC-CATA-SUPP/COMMON/D_U_X_X_X_CL00_X-GMSE PARA 100 100 115 115 ATT ATT 0 0 6.16 127.5 115 226 50 8 11 0 62 0 0 0 0 -30 0 0 0 0 0 0 0 75 90 300 6 10 0 0 0 0 0 0 0 0 0 0 0 0 0 0 0 0 0 0 0 0 0 0 0 0 0 0 0 0 0 0 30 0 0 0 0 0 0 0 0 84040 0 0 0 5</v>
      </c>
      <c r="B90" t="str">
        <f t="shared" si="3"/>
        <v xml:space="preserve"> </v>
      </c>
      <c r="C90" t="s">
        <v>596</v>
      </c>
      <c r="D90" t="str">
        <f>CATA!CR14</f>
        <v>/EUC-VNXJ00B-100-100-0-0_Csteel</v>
      </c>
      <c r="E90" t="s">
        <v>599</v>
      </c>
      <c r="F90" t="s">
        <v>843</v>
      </c>
      <c r="G90" t="str">
        <f>"PTREF "&amp;CATA!CV14</f>
        <v>PTREF /EuC-CATA-SUPP/COMMON/D_U_X_X_X_CL00_X-PTSE</v>
      </c>
      <c r="H90" t="str">
        <f>"GMREF "&amp;CATA!CU14</f>
        <v>GMREF /EuC-CATA-SUPP/COMMON/D_U_X_X_X_CL00_X-GMSE</v>
      </c>
      <c r="I90" t="str">
        <f>CATA!CQ14</f>
        <v>PARA 100 100 115 115 ATT ATT 0 0 6.16 127.5 115 226 50 8 11 0 62 0 0 0 0 -30 0 0 0 0 0 0 0 75 90 300 6 10 0 0 0 0 0 0 0 0 0 0 0 0 0 0 0 0 0 0 0 0 0 0 0 0 0 0 0 0 0 0 30 0 0 0 0 0 0 0 0 84040 0 0 0 5</v>
      </c>
    </row>
    <row r="91" spans="1:9">
      <c r="A91" t="str">
        <f t="shared" si="2"/>
        <v xml:space="preserve">  SCOM /EUC-VNXJ00B-125-125-0-0_Csteel Gtype ATTA DTREF /EuC-CATA-SUPP/COMMON/2-DTSE PTREF /EuC-CATA-SUPP/COMMON/D_U_X_X_X_CL00_X-PTSE GMREF /EuC-CATA-SUPP/COMMON/D_U_X_X_X_CL00_X-GMSE PARA 125 125 140 140 ATT ATT 0 0 6.39 140 140 252 50 8 11 0 62 0 0 0 0 -30 0 0 0 0 0 0 0 73 90 300 6 10 0 0 0 0 0 0 0 0 0 0 0 0 0 0 0 0 0 0 0 0 0 0 0 0 0 0 0 0 0 0 30 0 0 0 0 0 0 0 0 84041 0 0 0 5</v>
      </c>
      <c r="B91" t="str">
        <f t="shared" si="3"/>
        <v xml:space="preserve"> </v>
      </c>
      <c r="C91" t="s">
        <v>596</v>
      </c>
      <c r="D91" t="str">
        <f>CATA!CR15</f>
        <v>/EUC-VNXJ00B-125-125-0-0_Csteel</v>
      </c>
      <c r="E91" t="s">
        <v>599</v>
      </c>
      <c r="F91" t="s">
        <v>843</v>
      </c>
      <c r="G91" t="str">
        <f>"PTREF "&amp;CATA!CV15</f>
        <v>PTREF /EuC-CATA-SUPP/COMMON/D_U_X_X_X_CL00_X-PTSE</v>
      </c>
      <c r="H91" t="str">
        <f>"GMREF "&amp;CATA!CU15</f>
        <v>GMREF /EuC-CATA-SUPP/COMMON/D_U_X_X_X_CL00_X-GMSE</v>
      </c>
      <c r="I91" t="str">
        <f>CATA!CQ15</f>
        <v>PARA 125 125 140 140 ATT ATT 0 0 6.39 140 140 252 50 8 11 0 62 0 0 0 0 -30 0 0 0 0 0 0 0 73 90 300 6 10 0 0 0 0 0 0 0 0 0 0 0 0 0 0 0 0 0 0 0 0 0 0 0 0 0 0 0 0 0 0 30 0 0 0 0 0 0 0 0 84041 0 0 0 5</v>
      </c>
    </row>
    <row r="92" spans="1:9">
      <c r="A92" t="str">
        <f t="shared" si="2"/>
        <v xml:space="preserve">  SCOM /EUC-VNXJ00B-150-150-0-0_Csteel Gtype ATTA DTREF /EuC-CATA-SUPP/COMMON/2-DTSE PTREF /EuC-CATA-SUPP/COMMON/D_U_X_X_X_CL00_X-PTSE GMREF /EuC-CATA-SUPP/COMMON/D_U_X_X_X_CL00_X-GMSE PARA 150 150 169 169 ATT ATT 0 0 7.21 154.5 169 280 50 8 11 0 62 0 0 0 0 -30 0 0 0 0 0 0 0 71 90 300 6 10 0 0 0 0 0 0 0 0 0 0 0 0 0 0 0 0 0 0 0 0 0 0 0 0 0 0 0 0 0 0 30 0 0 0 0 0 0 0 0 84042 0 0 0 6</v>
      </c>
      <c r="B92" t="str">
        <f t="shared" si="3"/>
        <v xml:space="preserve"> </v>
      </c>
      <c r="C92" t="s">
        <v>596</v>
      </c>
      <c r="D92" t="str">
        <f>CATA!CR16</f>
        <v>/EUC-VNXJ00B-150-150-0-0_Csteel</v>
      </c>
      <c r="E92" t="s">
        <v>599</v>
      </c>
      <c r="F92" t="s">
        <v>843</v>
      </c>
      <c r="G92" t="str">
        <f>"PTREF "&amp;CATA!CV16</f>
        <v>PTREF /EuC-CATA-SUPP/COMMON/D_U_X_X_X_CL00_X-PTSE</v>
      </c>
      <c r="H92" t="str">
        <f>"GMREF "&amp;CATA!CU16</f>
        <v>GMREF /EuC-CATA-SUPP/COMMON/D_U_X_X_X_CL00_X-GMSE</v>
      </c>
      <c r="I92" t="str">
        <f>CATA!CQ16</f>
        <v>PARA 150 150 169 169 ATT ATT 0 0 7.21 154.5 169 280 50 8 11 0 62 0 0 0 0 -30 0 0 0 0 0 0 0 71 90 300 6 10 0 0 0 0 0 0 0 0 0 0 0 0 0 0 0 0 0 0 0 0 0 0 0 0 0 0 0 0 0 0 30 0 0 0 0 0 0 0 0 84042 0 0 0 6</v>
      </c>
    </row>
    <row r="93" spans="1:9">
      <c r="A93" t="str">
        <f t="shared" si="2"/>
        <v xml:space="preserve">  SCOM /EUC-VNXJ00B-200-200-0-0_Csteel Gtype ATTA DTREF /EuC-CATA-SUPP/COMMON/2-DTSE PTREF /EuC-CATA-SUPP/COMMON/D_U_X_X_X_CL00_X-PTSE GMREF /EuC-CATA-SUPP/COMMON/D_U_X_X_X_CL00_X-GMSE PARA 200 200 220 220 ATT ATT 0 0 7.92 180 220 332 50 8 11 0 62 0 0 0 0 -30 0 0 0 0 0 0 0 69 90 300 6 10 0 0 0 0 0 0 0 0 0 0 0 0 0 0 0 0 0 0 0 0 0 0 0 0 0 0 0 0 0 0 30 0 0 0 0 0 0 0 0 84043 0 0 0 6</v>
      </c>
      <c r="B93" t="str">
        <f t="shared" si="3"/>
        <v xml:space="preserve"> </v>
      </c>
      <c r="C93" t="s">
        <v>596</v>
      </c>
      <c r="D93" t="str">
        <f>CATA!CR17</f>
        <v>/EUC-VNXJ00B-200-200-0-0_Csteel</v>
      </c>
      <c r="E93" t="s">
        <v>599</v>
      </c>
      <c r="F93" t="s">
        <v>843</v>
      </c>
      <c r="G93" t="str">
        <f>"PTREF "&amp;CATA!CV17</f>
        <v>PTREF /EuC-CATA-SUPP/COMMON/D_U_X_X_X_CL00_X-PTSE</v>
      </c>
      <c r="H93" t="str">
        <f>"GMREF "&amp;CATA!CU17</f>
        <v>GMREF /EuC-CATA-SUPP/COMMON/D_U_X_X_X_CL00_X-GMSE</v>
      </c>
      <c r="I93" t="str">
        <f>CATA!CQ17</f>
        <v>PARA 200 200 220 220 ATT ATT 0 0 7.92 180 220 332 50 8 11 0 62 0 0 0 0 -30 0 0 0 0 0 0 0 69 90 300 6 10 0 0 0 0 0 0 0 0 0 0 0 0 0 0 0 0 0 0 0 0 0 0 0 0 0 0 0 0 0 0 30 0 0 0 0 0 0 0 0 84043 0 0 0 6</v>
      </c>
    </row>
    <row r="94" spans="1:9">
      <c r="A94" t="str">
        <f t="shared" si="2"/>
        <v xml:space="preserve">  SCOM /EUC-VNXJ00B-250-250-0-0_Csteel Gtype ATTA DTREF /EuC-CATA-SUPP/COMMON/2-DTSE PTREF /EuC-CATA-SUPP/COMMON/D_U_X_X_X_CL00_X-PTSE GMREF /EuC-CATA-SUPP/COMMON/D_U_X_X_X_CL00_X-GMSE PARA 250 250 273 273 ATT ATT 0 0 10.39 206.5 273 408 60 8 14 0 62 0 0 0 0 -30 0 0 0 0 0 0 0 73 120 300 6 10 0 0 0 0 0 0 0 0 0 0 0 0 0 0 0 0 0 0 0 0 0 0 0 0 0 0 0 0 0 0 30 0 0 0 0 0 0 0 0 84044 0 0 0 6</v>
      </c>
      <c r="B94" t="str">
        <f t="shared" si="3"/>
        <v xml:space="preserve"> </v>
      </c>
      <c r="C94" t="s">
        <v>596</v>
      </c>
      <c r="D94" t="str">
        <f>CATA!CR18</f>
        <v>/EUC-VNXJ00B-250-250-0-0_Csteel</v>
      </c>
      <c r="E94" t="s">
        <v>599</v>
      </c>
      <c r="F94" t="s">
        <v>843</v>
      </c>
      <c r="G94" t="str">
        <f>"PTREF "&amp;CATA!CV18</f>
        <v>PTREF /EuC-CATA-SUPP/COMMON/D_U_X_X_X_CL00_X-PTSE</v>
      </c>
      <c r="H94" t="str">
        <f>"GMREF "&amp;CATA!CU18</f>
        <v>GMREF /EuC-CATA-SUPP/COMMON/D_U_X_X_X_CL00_X-GMSE</v>
      </c>
      <c r="I94" t="str">
        <f>CATA!CQ18</f>
        <v>PARA 250 250 273 273 ATT ATT 0 0 10.39 206.5 273 408 60 8 14 0 62 0 0 0 0 -30 0 0 0 0 0 0 0 73 120 300 6 10 0 0 0 0 0 0 0 0 0 0 0 0 0 0 0 0 0 0 0 0 0 0 0 0 0 0 0 0 0 0 30 0 0 0 0 0 0 0 0 84044 0 0 0 6</v>
      </c>
    </row>
    <row r="95" spans="1:9">
      <c r="A95" t="str">
        <f t="shared" si="2"/>
        <v xml:space="preserve">  SCOM /EUC-VNXJ00B-300-300-0-0_Csteel Gtype ATTA DTREF /EuC-CATA-SUPP/COMMON/2-DTSE PTREF /EuC-CATA-SUPP/COMMON/D_U_X_X_X_CL00_X-PTSE GMREF /EuC-CATA-SUPP/COMMON/D_U_X_X_X_CL00_X-GMSE PARA 300 300 324 324 ATT ATT 0 0 11.76 232 324 458 60 8 14 0 62 0 0 0 0 -30 0 0 0 0 0 0 0 77 150 300 6 10 0 0 0 0 0 0 0 0 0 0 0 0 0 0 0 0 0 0 0 0 0 0 0 0 0 0 0 0 0 0 30 0 0 0 0 0 0 0 0 84045 0 0 0 6</v>
      </c>
      <c r="B95" t="str">
        <f t="shared" si="3"/>
        <v xml:space="preserve"> </v>
      </c>
      <c r="C95" t="s">
        <v>596</v>
      </c>
      <c r="D95" t="str">
        <f>CATA!CR19</f>
        <v>/EUC-VNXJ00B-300-300-0-0_Csteel</v>
      </c>
      <c r="E95" t="s">
        <v>599</v>
      </c>
      <c r="F95" t="s">
        <v>843</v>
      </c>
      <c r="G95" t="str">
        <f>"PTREF "&amp;CATA!CV19</f>
        <v>PTREF /EuC-CATA-SUPP/COMMON/D_U_X_X_X_CL00_X-PTSE</v>
      </c>
      <c r="H95" t="str">
        <f>"GMREF "&amp;CATA!CU19</f>
        <v>GMREF /EuC-CATA-SUPP/COMMON/D_U_X_X_X_CL00_X-GMSE</v>
      </c>
      <c r="I95" t="str">
        <f>CATA!CQ19</f>
        <v>PARA 300 300 324 324 ATT ATT 0 0 11.76 232 324 458 60 8 14 0 62 0 0 0 0 -30 0 0 0 0 0 0 0 77 150 300 6 10 0 0 0 0 0 0 0 0 0 0 0 0 0 0 0 0 0 0 0 0 0 0 0 0 0 0 0 0 0 0 30 0 0 0 0 0 0 0 0 84045 0 0 0 6</v>
      </c>
    </row>
    <row r="96" spans="1:9">
      <c r="A96" t="str">
        <f t="shared" si="2"/>
        <v xml:space="preserve">  SCOM /EUC-VNXJ00B-350-350-0-0_Csteel Gtype ATTA DTREF /EuC-CATA-SUPP/COMMON/2-DTSE PTREF /EuC-CATA-SUPP/COMMON/D_U_X_X_X_CL00_X-PTSE GMREF /EuC-CATA-SUPP/COMMON/D_U_X_X_X_CL00_X-GMSE PARA 350 350 356 356 ATT ATT 0 0 12.53 248 356 492 60 8 14 0 62 0 0 0 0 -30 0 0 0 0 0 0 0 76 150 300 6 10 0 0 0 0 0 0 0 0 0 0 0 0 0 0 0 0 0 0 0 0 0 0 0 0 0 0 0 0 0 0 30 0 0 0 0 0 0 0 0 84046 0 0 0 6</v>
      </c>
      <c r="B96" t="str">
        <f t="shared" si="3"/>
        <v xml:space="preserve"> </v>
      </c>
      <c r="C96" t="s">
        <v>596</v>
      </c>
      <c r="D96" t="str">
        <f>CATA!CR20</f>
        <v>/EUC-VNXJ00B-350-350-0-0_Csteel</v>
      </c>
      <c r="E96" t="s">
        <v>599</v>
      </c>
      <c r="F96" t="s">
        <v>843</v>
      </c>
      <c r="G96" t="str">
        <f>"PTREF "&amp;CATA!CV20</f>
        <v>PTREF /EuC-CATA-SUPP/COMMON/D_U_X_X_X_CL00_X-PTSE</v>
      </c>
      <c r="H96" t="str">
        <f>"GMREF "&amp;CATA!CU20</f>
        <v>GMREF /EuC-CATA-SUPP/COMMON/D_U_X_X_X_CL00_X-GMSE</v>
      </c>
      <c r="I96" t="str">
        <f>CATA!CQ20</f>
        <v>PARA 350 350 356 356 ATT ATT 0 0 12.53 248 356 492 60 8 14 0 62 0 0 0 0 -30 0 0 0 0 0 0 0 76 150 300 6 10 0 0 0 0 0 0 0 0 0 0 0 0 0 0 0 0 0 0 0 0 0 0 0 0 0 0 0 0 0 0 30 0 0 0 0 0 0 0 0 84046 0 0 0 6</v>
      </c>
    </row>
    <row r="97" spans="1:9">
      <c r="A97" t="str">
        <f t="shared" si="2"/>
        <v xml:space="preserve">  SCOM /EUC-VNXJ00B-400-400-0-0_Csteel Gtype ATTA DTREF /EuC-CATA-SUPP/COMMON/2-DTSE PTREF /EuC-CATA-SUPP/COMMON/D_U_X_X_X_CL00_ST-PTSE GMREF /EuC-CATA-SUPP/COMMON/D_U_X_X_X_CL00_ST-GMSE PARA 400 400 407 407 ATT ATT 0 0 28.00 273.5 407 570 70 10 18 0 60 0 0 0 0 -30 0 0 0 0 0 0 0 114 300 400 8 10 0 0 0 0 0 0 0 0 0 0 0 0 0 0 0 0 0 0 0 0 0 0 0 0 0 0 0 0 0 0 30 0 0 0 0 8 0 0 0 84047 0 0 0 6</v>
      </c>
      <c r="B97" t="str">
        <f t="shared" si="3"/>
        <v xml:space="preserve"> </v>
      </c>
      <c r="C97" t="s">
        <v>596</v>
      </c>
      <c r="D97" t="str">
        <f>CATA!CR21</f>
        <v>/EUC-VNXJ00B-400-400-0-0_Csteel</v>
      </c>
      <c r="E97" t="s">
        <v>599</v>
      </c>
      <c r="F97" t="s">
        <v>843</v>
      </c>
      <c r="G97" t="str">
        <f>"PTREF "&amp;CATA!CV21</f>
        <v>PTREF /EuC-CATA-SUPP/COMMON/D_U_X_X_X_CL00_ST-PTSE</v>
      </c>
      <c r="H97" t="str">
        <f>"GMREF "&amp;CATA!CU21</f>
        <v>GMREF /EuC-CATA-SUPP/COMMON/D_U_X_X_X_CL00_ST-GMSE</v>
      </c>
      <c r="I97" t="str">
        <f>CATA!CQ21</f>
        <v>PARA 400 400 407 407 ATT ATT 0 0 28.00 273.5 407 570 70 10 18 0 60 0 0 0 0 -30 0 0 0 0 0 0 0 114 300 400 8 10 0 0 0 0 0 0 0 0 0 0 0 0 0 0 0 0 0 0 0 0 0 0 0 0 0 0 0 0 0 0 30 0 0 0 0 8 0 0 0 84047 0 0 0 6</v>
      </c>
    </row>
    <row r="98" spans="1:9">
      <c r="A98" t="str">
        <f t="shared" si="2"/>
        <v xml:space="preserve">  SCOM /EUC-VNXJ00B-450-450-0-0_Csteel Gtype ATTA DTREF /EuC-CATA-SUPP/COMMON/2-DTSE PTREF /EuC-CATA-SUPP/COMMON/D_U_X_X_X_CL00_ST-PTSE GMREF /EuC-CATA-SUPP/COMMON/D_U_X_X_X_CL00_ST-GMSE PARA 450 450 458 458 ATT ATT 0 0 33.58 299 458 622 70 10 18 0 60 0 0 0 0 -30 0 0 0 0 0 0 0 128 350 400 8 10 0 0 0 0 0 0 0 0 0 0 0 0 0 0 0 0 0 0 0 0 0 0 0 0 0 0 0 0 0 0 30 0 0 0 0 8 0 0 0 84048 0 0 0 6</v>
      </c>
      <c r="B98" t="str">
        <f t="shared" si="3"/>
        <v xml:space="preserve"> </v>
      </c>
      <c r="C98" t="s">
        <v>596</v>
      </c>
      <c r="D98" t="str">
        <f>CATA!CR22</f>
        <v>/EUC-VNXJ00B-450-450-0-0_Csteel</v>
      </c>
      <c r="E98" t="s">
        <v>599</v>
      </c>
      <c r="F98" t="s">
        <v>843</v>
      </c>
      <c r="G98" t="str">
        <f>"PTREF "&amp;CATA!CV22</f>
        <v>PTREF /EuC-CATA-SUPP/COMMON/D_U_X_X_X_CL00_ST-PTSE</v>
      </c>
      <c r="H98" t="str">
        <f>"GMREF "&amp;CATA!CU22</f>
        <v>GMREF /EuC-CATA-SUPP/COMMON/D_U_X_X_X_CL00_ST-GMSE</v>
      </c>
      <c r="I98" t="str">
        <f>CATA!CQ22</f>
        <v>PARA 450 450 458 458 ATT ATT 0 0 33.58 299 458 622 70 10 18 0 60 0 0 0 0 -30 0 0 0 0 0 0 0 128 350 400 8 10 0 0 0 0 0 0 0 0 0 0 0 0 0 0 0 0 0 0 0 0 0 0 0 0 0 0 0 0 0 0 30 0 0 0 0 8 0 0 0 84048 0 0 0 6</v>
      </c>
    </row>
    <row r="99" spans="1:9">
      <c r="A99" t="str">
        <f t="shared" si="2"/>
        <v xml:space="preserve">  SCOM /EUC-VNXJ00B-500-500-0-0_Csteel Gtype ATTA DTREF /EuC-CATA-SUPP/COMMON/2-DTSE PTREF /EuC-CATA-SUPP/COMMON/D_U_X_X_X_CL00_ST-PTSE GMREF /EuC-CATA-SUPP/COMMON/D_U_X_X_X_CL00_ST-GMSE PARA 500 500 508 508 ATT ATT 0 0 33.40 324 508 672 70 10 18 0 60 0 0 0 0 -30 0 0 0 0 0 0 0 131 375 400 8 10 0 0 0 0 0 0 0 0 0 0 0 0 0 0 0 0 0 0 0 0 0 0 0 0 0 0 0 0 0 0 30 0 0 0 0 8 0 0 0 84049 0 0 0 6</v>
      </c>
      <c r="B99" t="str">
        <f t="shared" si="3"/>
        <v xml:space="preserve"> </v>
      </c>
      <c r="C99" t="s">
        <v>596</v>
      </c>
      <c r="D99" t="str">
        <f>CATA!CR23</f>
        <v>/EUC-VNXJ00B-500-500-0-0_Csteel</v>
      </c>
      <c r="E99" t="s">
        <v>599</v>
      </c>
      <c r="F99" t="s">
        <v>843</v>
      </c>
      <c r="G99" t="str">
        <f>"PTREF "&amp;CATA!CV23</f>
        <v>PTREF /EuC-CATA-SUPP/COMMON/D_U_X_X_X_CL00_ST-PTSE</v>
      </c>
      <c r="H99" t="str">
        <f>"GMREF "&amp;CATA!CU23</f>
        <v>GMREF /EuC-CATA-SUPP/COMMON/D_U_X_X_X_CL00_ST-GMSE</v>
      </c>
      <c r="I99" t="str">
        <f>CATA!CQ23</f>
        <v>PARA 500 500 508 508 ATT ATT 0 0 33.40 324 508 672 70 10 18 0 60 0 0 0 0 -30 0 0 0 0 0 0 0 131 375 400 8 10 0 0 0 0 0 0 0 0 0 0 0 0 0 0 0 0 0 0 0 0 0 0 0 0 0 0 0 0 0 0 30 0 0 0 0 8 0 0 0 84049 0 0 0 6</v>
      </c>
    </row>
    <row r="100" spans="1:9">
      <c r="A100" t="str">
        <f t="shared" si="2"/>
        <v xml:space="preserve">  SCOM /EUC-VNXJ00B-600-600-0-0_Csteel Gtype ATTA DTREF /EuC-CATA-SUPP/COMMON/2-DTSE PTREF /EuC-CATA-SUPP/COMMON/D_U_X_X_X_CL00_ST-PTSE GMREF /EuC-CATA-SUPP/COMMON/D_U_X_X_X_CL00_ST-GMSE PARA 600 600 610 610 ATT ATT 0 0 48.34 375 610 777 70 10 18 0 60 0 0 0 0 -30 0 0 0 0 0 0 0 145 450 400 10 10 0 0 0 0 0 0 0 0 0 0 0 0 0 0 0 0 0 0 0 0 0 0 0 0 0 0 0 0 0 0 30 0 0 0 0 10 0 0 0 84050 0 0 0 6</v>
      </c>
      <c r="B100" t="str">
        <f t="shared" si="3"/>
        <v xml:space="preserve"> </v>
      </c>
      <c r="C100" t="s">
        <v>596</v>
      </c>
      <c r="D100" t="str">
        <f>CATA!CR24</f>
        <v>/EUC-VNXJ00B-600-600-0-0_Csteel</v>
      </c>
      <c r="E100" t="s">
        <v>599</v>
      </c>
      <c r="F100" t="s">
        <v>843</v>
      </c>
      <c r="G100" t="str">
        <f>"PTREF "&amp;CATA!CV24</f>
        <v>PTREF /EuC-CATA-SUPP/COMMON/D_U_X_X_X_CL00_ST-PTSE</v>
      </c>
      <c r="H100" t="str">
        <f>"GMREF "&amp;CATA!CU24</f>
        <v>GMREF /EuC-CATA-SUPP/COMMON/D_U_X_X_X_CL00_ST-GMSE</v>
      </c>
      <c r="I100" t="str">
        <f>CATA!CQ24</f>
        <v>PARA 600 600 610 610 ATT ATT 0 0 48.34 375 610 777 70 10 18 0 60 0 0 0 0 -30 0 0 0 0 0 0 0 145 450 400 10 10 0 0 0 0 0 0 0 0 0 0 0 0 0 0 0 0 0 0 0 0 0 0 0 0 0 0 0 0 0 0 30 0 0 0 0 10 0 0 0 84050 0 0 0 6</v>
      </c>
    </row>
    <row r="101" spans="1:9">
      <c r="A101" t="str">
        <f t="shared" si="2"/>
        <v xml:space="preserve">  SCOM /EUC-VNXJ00B-700-700-0-0_Csteel Gtype ATTA DTREF /EuC-CATA-SUPP/COMMON/2-DTSE PTREF /EuC-CATA-SUPP/COMMON/D_U_X_X_X_CL00_ST-PTSE GMREF /EuC-CATA-SUPP/COMMON/D_U_X_X_X_CL00_ST-GMSE PARA 700 700 712 712 ATT ATT 0 0 57.67 426 712 906 70 10 18 0 60 0 0 0 0 -30 0 0 0 0 0 0 0 161 525 400 10 10 0 0 0 0 0 0 0 0 0 0 0 0 0 0 0 0 0 0 0 0 0 0 0 0 0 0 0 0 0 0 30 0 0 0 0 10 0 0 0 84051 0 0 0 6</v>
      </c>
      <c r="B101" t="str">
        <f t="shared" si="3"/>
        <v xml:space="preserve"> </v>
      </c>
      <c r="C101" t="s">
        <v>596</v>
      </c>
      <c r="D101" t="str">
        <f>CATA!CR25</f>
        <v>/EUC-VNXJ00B-700-700-0-0_Csteel</v>
      </c>
      <c r="E101" t="s">
        <v>599</v>
      </c>
      <c r="F101" t="s">
        <v>843</v>
      </c>
      <c r="G101" t="str">
        <f>"PTREF "&amp;CATA!CV25</f>
        <v>PTREF /EuC-CATA-SUPP/COMMON/D_U_X_X_X_CL00_ST-PTSE</v>
      </c>
      <c r="H101" t="str">
        <f>"GMREF "&amp;CATA!CU25</f>
        <v>GMREF /EuC-CATA-SUPP/COMMON/D_U_X_X_X_CL00_ST-GMSE</v>
      </c>
      <c r="I101" t="str">
        <f>CATA!CQ25</f>
        <v>PARA 700 700 712 712 ATT ATT 0 0 57.67 426 712 906 70 10 18 0 60 0 0 0 0 -30 0 0 0 0 0 0 0 161 525 400 10 10 0 0 0 0 0 0 0 0 0 0 0 0 0 0 0 0 0 0 0 0 0 0 0 0 0 0 0 0 0 0 30 0 0 0 0 10 0 0 0 84051 0 0 0 6</v>
      </c>
    </row>
    <row r="102" spans="1:9">
      <c r="A102" t="str">
        <f t="shared" si="2"/>
        <v xml:space="preserve">  SCOM /EUC-VNXJ00B-800-800-0-0_Csteel Gtype ATTA DTREF /EuC-CATA-SUPP/COMMON/2-DTSE PTREF /EuC-CATA-SUPP/COMMON/D_U_X_X_X_CL00_ST-PTSE GMREF /EuC-CATA-SUPP/COMMON/D_U_X_X_X_CL00_ST-GMSE PARA 800 800 814 814 ATT ATT 0 0 85.68 476.5 814 1008 80 10 18 0 59.5 0 0 0 0 -30 0 0 0 0 0 0 0 173 600 400 15 10 0 0 0 0 0 0 0 0 0 0 0 0 0 0 0 0 0 0 0 0 0 0 0 0 0 0 0 0 0 0 30 0 0 0 0 15 0 0 0 84052 0 0 0 8</v>
      </c>
      <c r="B102" t="str">
        <f t="shared" si="3"/>
        <v xml:space="preserve"> </v>
      </c>
      <c r="C102" t="s">
        <v>596</v>
      </c>
      <c r="D102" t="str">
        <f>CATA!CR26</f>
        <v>/EUC-VNXJ00B-800-800-0-0_Csteel</v>
      </c>
      <c r="E102" t="s">
        <v>599</v>
      </c>
      <c r="F102" t="s">
        <v>843</v>
      </c>
      <c r="G102" t="str">
        <f>"PTREF "&amp;CATA!CV26</f>
        <v>PTREF /EuC-CATA-SUPP/COMMON/D_U_X_X_X_CL00_ST-PTSE</v>
      </c>
      <c r="H102" t="str">
        <f>"GMREF "&amp;CATA!CU26</f>
        <v>GMREF /EuC-CATA-SUPP/COMMON/D_U_X_X_X_CL00_ST-GMSE</v>
      </c>
      <c r="I102" t="str">
        <f>CATA!CQ26</f>
        <v>PARA 800 800 814 814 ATT ATT 0 0 85.68 476.5 814 1008 80 10 18 0 59.5 0 0 0 0 -30 0 0 0 0 0 0 0 173 600 400 15 10 0 0 0 0 0 0 0 0 0 0 0 0 0 0 0 0 0 0 0 0 0 0 0 0 0 0 0 0 0 0 30 0 0 0 0 15 0 0 0 84052 0 0 0 8</v>
      </c>
    </row>
    <row r="103" spans="1:9">
      <c r="A103" t="str">
        <f t="shared" si="2"/>
        <v xml:space="preserve">  SCOM /EUC-VNXJ00B-900-900-0-0_Csteel Gtype ATTA DTREF /EuC-CATA-SUPP/COMMON/2-DTSE PTREF /EuC-CATA-SUPP/COMMON/D_U_X_X_X_CL00_ST-PTSE GMREF /EuC-CATA-SUPP/COMMON/D_U_X_X_X_CL00_ST-GMSE PARA 900 900 916 916 ATT ATT 0 0 100.68 527.5 916 1120 90 10 18 0 59.5 0 0 0 0 -30 0 0 0 0 0 0 0 189 675 400 15 10 0 0 0 0 0 0 0 0 0 0 0 0 0 0 0 0 0 0 0 0 0 0 0 0 0 0 0 0 0 0 30 0 0 0 0 15 0 0 0 84053 0 0 0 8</v>
      </c>
      <c r="B103" t="str">
        <f t="shared" si="3"/>
        <v xml:space="preserve"> </v>
      </c>
      <c r="C103" t="s">
        <v>596</v>
      </c>
      <c r="D103" t="str">
        <f>CATA!CR27</f>
        <v>/EUC-VNXJ00B-900-900-0-0_Csteel</v>
      </c>
      <c r="E103" t="s">
        <v>599</v>
      </c>
      <c r="F103" t="s">
        <v>843</v>
      </c>
      <c r="G103" t="str">
        <f>"PTREF "&amp;CATA!CV27</f>
        <v>PTREF /EuC-CATA-SUPP/COMMON/D_U_X_X_X_CL00_ST-PTSE</v>
      </c>
      <c r="H103" t="str">
        <f>"GMREF "&amp;CATA!CU27</f>
        <v>GMREF /EuC-CATA-SUPP/COMMON/D_U_X_X_X_CL00_ST-GMSE</v>
      </c>
      <c r="I103" t="str">
        <f>CATA!CQ27</f>
        <v>PARA 900 900 916 916 ATT ATT 0 0 100.68 527.5 916 1120 90 10 18 0 59.5 0 0 0 0 -30 0 0 0 0 0 0 0 189 675 400 15 10 0 0 0 0 0 0 0 0 0 0 0 0 0 0 0 0 0 0 0 0 0 0 0 0 0 0 0 0 0 0 30 0 0 0 0 15 0 0 0 84053 0 0 0 8</v>
      </c>
    </row>
    <row r="104" spans="1:9">
      <c r="A104" t="str">
        <f t="shared" si="2"/>
        <v xml:space="preserve">  SCOM /EUC-VNXJ00B-1000-1000-0-0_Csteel Gtype ATTA DTREF /EuC-CATA-SUPP/COMMON/2-DTSE PTREF /EuC-CATA-SUPP/COMMON/D_U_X_X_X_CL00_ST-PTSE GMREF /EuC-CATA-SUPP/COMMON/D_U_X_X_X_CL00_ST-GMSE PARA 1000 1000 1018 1018 ATT ATT 0 0 114.79 578 1018 1222 90 10 18 0 59 0 0 0 0 -30 0 0 0 0 0 0 0 206 750 400 15 10 0 0 0 0 0 0 0 0 0 0 0 0 0 0 0 0 0 0 0 0 0 0 0 0 0 0 0 0 0 0 30 0 0 0 0 15 0 0 0 84054 0 0 0 8</v>
      </c>
      <c r="B104" t="str">
        <f t="shared" si="3"/>
        <v xml:space="preserve"> </v>
      </c>
      <c r="C104" t="s">
        <v>596</v>
      </c>
      <c r="D104" t="str">
        <f>CATA!CR28</f>
        <v>/EUC-VNXJ00B-1000-1000-0-0_Csteel</v>
      </c>
      <c r="E104" t="s">
        <v>599</v>
      </c>
      <c r="F104" t="s">
        <v>843</v>
      </c>
      <c r="G104" t="str">
        <f>"PTREF "&amp;CATA!CV28</f>
        <v>PTREF /EuC-CATA-SUPP/COMMON/D_U_X_X_X_CL00_ST-PTSE</v>
      </c>
      <c r="H104" t="str">
        <f>"GMREF "&amp;CATA!CU28</f>
        <v>GMREF /EuC-CATA-SUPP/COMMON/D_U_X_X_X_CL00_ST-GMSE</v>
      </c>
      <c r="I104" t="str">
        <f>CATA!CQ28</f>
        <v>PARA 1000 1000 1018 1018 ATT ATT 0 0 114.79 578 1018 1222 90 10 18 0 59 0 0 0 0 -30 0 0 0 0 0 0 0 206 750 400 15 10 0 0 0 0 0 0 0 0 0 0 0 0 0 0 0 0 0 0 0 0 0 0 0 0 0 0 0 0 0 0 30 0 0 0 0 15 0 0 0 84054 0 0 0 8</v>
      </c>
    </row>
    <row r="105" spans="1:9">
      <c r="A105" t="str">
        <f>_xlfn.TEXTJOIN(" ",TRUE,B105:I105)</f>
        <v xml:space="preserve">  SCOM /EUC-VNXJ00B-1200-1200-0-0_Csteel Gtype ATTA DTREF /EuC-CATA-SUPP/COMMON/2-DTSE PTREF /EuC-CATA-SUPP/COMMON/D_U_X_X_X_CL00_ST-PTSE GMREF /EuC-CATA-SUPP/COMMON/D_U_X_X_X_CL00_ST-GMSE PARA 1200 1200 1220 1220 ATT ATT 0 0 169.90 682.5 1220 1424 100 12 22 0 60.5 0 0 0 0 -30 0 0 0 0 0 0 0 235 900 500 15 10 0 0 0 0 0 0 0 0 0 0 0 0 0 0 0 0 0 0 0 0 0 0 0 0 0 0 0 0 0 0 30 0 0 0 0 15 0 0 0 84055 0 0 0 10</v>
      </c>
      <c r="B105" t="str">
        <f t="shared" si="3"/>
        <v xml:space="preserve"> </v>
      </c>
      <c r="C105" t="s">
        <v>596</v>
      </c>
      <c r="D105" t="str">
        <f>CATA!CR29</f>
        <v>/EUC-VNXJ00B-1200-1200-0-0_Csteel</v>
      </c>
      <c r="E105" t="s">
        <v>599</v>
      </c>
      <c r="F105" t="s">
        <v>843</v>
      </c>
      <c r="G105" t="str">
        <f>"PTREF "&amp;CATA!CV29</f>
        <v>PTREF /EuC-CATA-SUPP/COMMON/D_U_X_X_X_CL00_ST-PTSE</v>
      </c>
      <c r="H105" t="str">
        <f>"GMREF "&amp;CATA!CU29</f>
        <v>GMREF /EuC-CATA-SUPP/COMMON/D_U_X_X_X_CL00_ST-GMSE</v>
      </c>
      <c r="I105" t="str">
        <f>CATA!CQ29</f>
        <v>PARA 1200 1200 1220 1220 ATT ATT 0 0 169.90 682.5 1220 1424 100 12 22 0 60.5 0 0 0 0 -30 0 0 0 0 0 0 0 235 900 500 15 10 0 0 0 0 0 0 0 0 0 0 0 0 0 0 0 0 0 0 0 0 0 0 0 0 0 0 0 0 0 0 30 0 0 0 0 15 0 0 0 84055 0 0 0 10</v>
      </c>
    </row>
    <row r="106" spans="1:9">
      <c r="B106" s="81" t="s">
        <v>604</v>
      </c>
    </row>
    <row r="108" spans="1:9">
      <c r="B108" s="83" t="s">
        <v>564</v>
      </c>
    </row>
    <row r="109" spans="1:9">
      <c r="B109" s="83" t="s">
        <v>604</v>
      </c>
    </row>
  </sheetData>
  <dataValidations count="1">
    <dataValidation type="list" allowBlank="1" showInputMessage="1" showErrorMessage="1" sqref="B106" xr:uid="{C0E3D34A-90CE-4E80-86D9-3A5275FB1A70}">
      <formula1>$B$108:$B$109</formula1>
    </dataValidation>
  </dataValidation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A65DA-3FEE-476A-93A3-936BCC655B12}">
  <dimension ref="A1:I109"/>
  <sheetViews>
    <sheetView workbookViewId="0"/>
    <sheetView workbookViewId="1"/>
    <sheetView workbookViewId="2"/>
  </sheetViews>
  <sheetFormatPr baseColWidth="10" defaultRowHeight="12.75"/>
  <cols>
    <col min="1" max="1" width="227.5703125" bestFit="1" customWidth="1"/>
    <col min="2" max="2" width="13.140625" bestFit="1" customWidth="1"/>
    <col min="4" max="4" width="43.28515625" bestFit="1" customWidth="1"/>
    <col min="5" max="5" width="51" bestFit="1" customWidth="1"/>
    <col min="6" max="6" width="40.28515625" bestFit="1" customWidth="1"/>
    <col min="7" max="7" width="64" bestFit="1" customWidth="1"/>
    <col min="8" max="8" width="65.42578125" bestFit="1" customWidth="1"/>
    <col min="9" max="9" width="222.42578125" bestFit="1" customWidth="1"/>
    <col min="10" max="10" width="29.28515625" bestFit="1" customWidth="1"/>
  </cols>
  <sheetData>
    <row r="1" spans="1:8">
      <c r="B1" t="s">
        <v>602</v>
      </c>
    </row>
    <row r="2" spans="1:8">
      <c r="B2" t="str">
        <f>B106</f>
        <v xml:space="preserve"> </v>
      </c>
      <c r="C2" s="71" t="s">
        <v>563</v>
      </c>
      <c r="D2" s="71" t="s">
        <v>562</v>
      </c>
    </row>
    <row r="3" spans="1:8">
      <c r="A3" t="str">
        <f t="shared" ref="A3:A66" si="0">_xlfn.TEXTJOIN(" ",TRUE,B3:I3)</f>
        <v xml:space="preserve">  CATE /EUC-VMX_00F-DN1-DN2-0-0_Func-SB PURP PIPE GTYPE ATTA DESC 'Support, SB for S&amp;C pipes'</v>
      </c>
      <c r="B3" t="str">
        <f>$B$2</f>
        <v xml:space="preserve"> </v>
      </c>
      <c r="C3" t="s">
        <v>561</v>
      </c>
      <c r="D3" t="str">
        <f>CATA!CR34</f>
        <v>/EUC-VMX_00F-DN1-DN2-0-0_Func-SB</v>
      </c>
      <c r="E3" t="s">
        <v>600</v>
      </c>
      <c r="F3" t="s">
        <v>601</v>
      </c>
      <c r="G3" t="s">
        <v>598</v>
      </c>
      <c r="H3" t="str">
        <f>Detailtext!L21</f>
        <v>'Support, SB for S&amp;C pipes'</v>
      </c>
    </row>
    <row r="4" spans="1:8">
      <c r="A4" t="str">
        <f t="shared" si="0"/>
        <v xml:space="preserve">  TEXT /EUC-VMX_00F-DN1-DN2-0-0_Func-SB-PA01 stext 'DNIN - Nominal diameter inlet' PURP PARA</v>
      </c>
      <c r="B4" t="str">
        <f t="shared" ref="B4:B67" si="1">$B$2</f>
        <v xml:space="preserve"> </v>
      </c>
      <c r="C4" t="s">
        <v>560</v>
      </c>
      <c r="D4" t="str">
        <f>Texts!E3</f>
        <v>/EUC-VMX_00F-DN1-DN2-0-0_Func-SB-PA01</v>
      </c>
      <c r="E4" t="str">
        <f>Texts!F3</f>
        <v>stext 'DNIN - Nominal diameter inlet'</v>
      </c>
      <c r="F4" t="s">
        <v>603</v>
      </c>
    </row>
    <row r="5" spans="1:8">
      <c r="A5" t="str">
        <f t="shared" si="0"/>
        <v xml:space="preserve">  TEXT /EUC-VMX_00F-DN1-DN2-0-0_Func-SB-PA02 stext 'DNOU - Nominal diameter outlet' PURP PARA</v>
      </c>
      <c r="B5" t="str">
        <f t="shared" si="1"/>
        <v xml:space="preserve"> </v>
      </c>
      <c r="C5" t="s">
        <v>560</v>
      </c>
      <c r="D5" t="str">
        <f>Texts!E4</f>
        <v>/EUC-VMX_00F-DN1-DN2-0-0_Func-SB-PA02</v>
      </c>
      <c r="E5" t="str">
        <f>Texts!F4</f>
        <v>stext 'DNOU - Nominal diameter outlet'</v>
      </c>
      <c r="F5" t="s">
        <v>603</v>
      </c>
    </row>
    <row r="6" spans="1:8">
      <c r="A6" t="str">
        <f t="shared" si="0"/>
        <v xml:space="preserve">  TEXT /EUC-VMX_00F-DN1-DN2-0-0_Func-SB-PA03 stext 'ODIN - Actual diameter inlet' PURP PARA</v>
      </c>
      <c r="B6" t="str">
        <f t="shared" si="1"/>
        <v xml:space="preserve"> </v>
      </c>
      <c r="C6" t="s">
        <v>560</v>
      </c>
      <c r="D6" t="str">
        <f>Texts!E5</f>
        <v>/EUC-VMX_00F-DN1-DN2-0-0_Func-SB-PA03</v>
      </c>
      <c r="E6" t="str">
        <f>Texts!F5</f>
        <v>stext 'ODIN - Actual diameter inlet'</v>
      </c>
      <c r="F6" t="s">
        <v>603</v>
      </c>
    </row>
    <row r="7" spans="1:8">
      <c r="A7" t="str">
        <f t="shared" si="0"/>
        <v xml:space="preserve">  TEXT /EUC-VMX_00F-DN1-DN2-0-0_Func-SB-PA04 stext 'ODOU - Actual diameter outlet' PURP PARA</v>
      </c>
      <c r="B7" t="str">
        <f t="shared" si="1"/>
        <v xml:space="preserve"> </v>
      </c>
      <c r="C7" t="s">
        <v>560</v>
      </c>
      <c r="D7" t="str">
        <f>Texts!E6</f>
        <v>/EUC-VMX_00F-DN1-DN2-0-0_Func-SB-PA04</v>
      </c>
      <c r="E7" t="str">
        <f>Texts!F6</f>
        <v>stext 'ODOU - Actual diameter outlet'</v>
      </c>
      <c r="F7" t="s">
        <v>603</v>
      </c>
    </row>
    <row r="8" spans="1:8">
      <c r="A8" t="str">
        <f t="shared" si="0"/>
        <v xml:space="preserve">  TEXT /EUC-VMX_00F-DN1-DN2-0-0_Func-SB-PA05 stext 'COIN - Component Connection Inlet' PURP PARA</v>
      </c>
      <c r="B8" t="str">
        <f t="shared" si="1"/>
        <v xml:space="preserve"> </v>
      </c>
      <c r="C8" t="s">
        <v>560</v>
      </c>
      <c r="D8" t="str">
        <f>Texts!E7</f>
        <v>/EUC-VMX_00F-DN1-DN2-0-0_Func-SB-PA05</v>
      </c>
      <c r="E8" t="str">
        <f>Texts!F7</f>
        <v>stext 'COIN - Component Connection Inlet'</v>
      </c>
      <c r="F8" t="s">
        <v>603</v>
      </c>
    </row>
    <row r="9" spans="1:8">
      <c r="A9" t="str">
        <f t="shared" si="0"/>
        <v xml:space="preserve">  TEXT /EUC-VMX_00F-DN1-DN2-0-0_Func-SB-PA06 stext 'COOU - Component Connection Outlet' PURP PARA</v>
      </c>
      <c r="B9" t="str">
        <f t="shared" si="1"/>
        <v xml:space="preserve"> </v>
      </c>
      <c r="C9" t="s">
        <v>560</v>
      </c>
      <c r="D9" t="str">
        <f>Texts!E8</f>
        <v>/EUC-VMX_00F-DN1-DN2-0-0_Func-SB-PA06</v>
      </c>
      <c r="E9" t="str">
        <f>Texts!F8</f>
        <v>stext 'COOU - Component Connection Outlet'</v>
      </c>
      <c r="F9" t="s">
        <v>603</v>
      </c>
    </row>
    <row r="10" spans="1:8">
      <c r="A10" t="str">
        <f t="shared" si="0"/>
        <v xml:space="preserve">  TEXT /EUC-VMX_00F-DN1-DN2-0-0_Func-SB-PA07 stext 'WTIN - wall thickness inlet' PURP PARA</v>
      </c>
      <c r="B10" t="str">
        <f t="shared" si="1"/>
        <v xml:space="preserve"> </v>
      </c>
      <c r="C10" t="s">
        <v>560</v>
      </c>
      <c r="D10" t="str">
        <f>Texts!E9</f>
        <v>/EUC-VMX_00F-DN1-DN2-0-0_Func-SB-PA07</v>
      </c>
      <c r="E10" t="str">
        <f>Texts!F9</f>
        <v>stext 'WTIN - wall thickness inlet'</v>
      </c>
      <c r="F10" t="s">
        <v>603</v>
      </c>
    </row>
    <row r="11" spans="1:8">
      <c r="A11" t="str">
        <f t="shared" si="0"/>
        <v xml:space="preserve">  TEXT /EUC-VMX_00F-DN1-DN2-0-0_Func-SB-PA08 stext 'WTOU - wall thickness outlet' PURP PARA</v>
      </c>
      <c r="B11" t="str">
        <f t="shared" si="1"/>
        <v xml:space="preserve"> </v>
      </c>
      <c r="C11" t="s">
        <v>560</v>
      </c>
      <c r="D11" t="str">
        <f>Texts!E10</f>
        <v>/EUC-VMX_00F-DN1-DN2-0-0_Func-SB-PA08</v>
      </c>
      <c r="E11" t="str">
        <f>Texts!F10</f>
        <v>stext 'WTOU - wall thickness outlet'</v>
      </c>
      <c r="F11" t="s">
        <v>603</v>
      </c>
    </row>
    <row r="12" spans="1:8">
      <c r="A12" t="str">
        <f t="shared" si="0"/>
        <v xml:space="preserve">  TEXT /EUC-VMX_00F-DN1-DN2-0-0_Func-SB-PA09 stext 'MASS - Total Weight in [kg]' PURP PARA</v>
      </c>
      <c r="B12" t="str">
        <f t="shared" si="1"/>
        <v xml:space="preserve"> </v>
      </c>
      <c r="C12" t="s">
        <v>560</v>
      </c>
      <c r="D12" t="str">
        <f>Texts!E11</f>
        <v>/EUC-VMX_00F-DN1-DN2-0-0_Func-SB-PA09</v>
      </c>
      <c r="E12" t="str">
        <f>Texts!F11</f>
        <v>stext 'MASS - Total Weight in [kg]'</v>
      </c>
      <c r="F12" t="s">
        <v>603</v>
      </c>
    </row>
    <row r="13" spans="1:8">
      <c r="A13" t="str">
        <f t="shared" si="0"/>
        <v xml:space="preserve">  TEXT /EUC-VMX_00F-DN1-DN2-0-0_Func-SB-PA10 stext 'HEIG - Centerline (CL)' PURP PARA</v>
      </c>
      <c r="B13" t="str">
        <f t="shared" si="1"/>
        <v xml:space="preserve"> </v>
      </c>
      <c r="C13" t="s">
        <v>560</v>
      </c>
      <c r="D13" t="str">
        <f>Texts!E12</f>
        <v>/EUC-VMX_00F-DN1-DN2-0-0_Func-SB-PA10</v>
      </c>
      <c r="E13" t="str">
        <f>Texts!F12</f>
        <v>stext 'HEIG - Centerline (CL)'</v>
      </c>
      <c r="F13" t="s">
        <v>603</v>
      </c>
    </row>
    <row r="14" spans="1:8">
      <c r="A14" t="str">
        <f t="shared" si="0"/>
        <v xml:space="preserve">  TEXT /EUC-VMX_00F-DN1-DN2-0-0_Func-SB-PA11 stext 'CLDI - Clamp inner diameter' PURP PARA</v>
      </c>
      <c r="B14" t="str">
        <f t="shared" si="1"/>
        <v xml:space="preserve"> </v>
      </c>
      <c r="C14" t="s">
        <v>560</v>
      </c>
      <c r="D14" t="str">
        <f>Texts!E13</f>
        <v>/EUC-VMX_00F-DN1-DN2-0-0_Func-SB-PA11</v>
      </c>
      <c r="E14" t="str">
        <f>Texts!F13</f>
        <v>stext 'CLDI - Clamp inner diameter'</v>
      </c>
      <c r="F14" t="s">
        <v>603</v>
      </c>
    </row>
    <row r="15" spans="1:8">
      <c r="A15" t="str">
        <f t="shared" si="0"/>
        <v xml:space="preserve">  TEXT /EUC-VMX_00F-DN1-DN2-0-0_Func-SB-PA12 stext 'CLAA - Clamp outer witdh (A+2xC)' PURP PARA</v>
      </c>
      <c r="B15" t="str">
        <f t="shared" si="1"/>
        <v xml:space="preserve"> </v>
      </c>
      <c r="C15" t="s">
        <v>560</v>
      </c>
      <c r="D15" t="str">
        <f>Texts!E14</f>
        <v>/EUC-VMX_00F-DN1-DN2-0-0_Func-SB-PA12</v>
      </c>
      <c r="E15" t="str">
        <f>Texts!F14</f>
        <v>stext 'CLAA - Clamp outer witdh (A+2xC)'</v>
      </c>
      <c r="F15" t="s">
        <v>603</v>
      </c>
    </row>
    <row r="16" spans="1:8">
      <c r="A16" t="str">
        <f t="shared" si="0"/>
        <v xml:space="preserve">  TEXT /EUC-VMX_00F-DN1-DN2-0-0_Func-SB-PA13 stext 'CLWI - Clamp sheet swidth (B)' PURP PARA</v>
      </c>
      <c r="B16" t="str">
        <f t="shared" si="1"/>
        <v xml:space="preserve"> </v>
      </c>
      <c r="C16" t="s">
        <v>560</v>
      </c>
      <c r="D16" t="str">
        <f>Texts!E15</f>
        <v>/EUC-VMX_00F-DN1-DN2-0-0_Func-SB-PA13</v>
      </c>
      <c r="E16" t="str">
        <f>Texts!F15</f>
        <v>stext 'CLWI - Clamp sheet swidth (B)'</v>
      </c>
      <c r="F16" t="s">
        <v>603</v>
      </c>
    </row>
    <row r="17" spans="1:6">
      <c r="A17" t="str">
        <f t="shared" si="0"/>
        <v xml:space="preserve">  TEXT /EUC-VMX_00F-DN1-DN2-0-0_Func-SB-PA14 stext 'CLTH - Clamp wall thickness (sC)' PURP PARA</v>
      </c>
      <c r="B17" t="str">
        <f t="shared" si="1"/>
        <v xml:space="preserve"> </v>
      </c>
      <c r="C17" t="s">
        <v>560</v>
      </c>
      <c r="D17" t="str">
        <f>Texts!E16</f>
        <v>/EUC-VMX_00F-DN1-DN2-0-0_Func-SB-PA14</v>
      </c>
      <c r="E17" t="str">
        <f>Texts!F16</f>
        <v>stext 'CLTH - Clamp wall thickness (sC)'</v>
      </c>
      <c r="F17" t="s">
        <v>603</v>
      </c>
    </row>
    <row r="18" spans="1:6">
      <c r="A18" t="str">
        <f t="shared" si="0"/>
        <v xml:space="preserve">  TEXT /EUC-VMX_00F-DN1-DN2-0-0_Func-SB-PA15 stext 'CLDZ - Clamps clearance (f)' PURP PARA</v>
      </c>
      <c r="B18" t="str">
        <f t="shared" si="1"/>
        <v xml:space="preserve"> </v>
      </c>
      <c r="C18" t="s">
        <v>560</v>
      </c>
      <c r="D18" t="str">
        <f>Texts!E17</f>
        <v>/EUC-VMX_00F-DN1-DN2-0-0_Func-SB-PA15</v>
      </c>
      <c r="E18" t="str">
        <f>Texts!F17</f>
        <v>stext 'CLDZ - Clamps clearance (f)'</v>
      </c>
      <c r="F18" t="s">
        <v>603</v>
      </c>
    </row>
    <row r="19" spans="1:6">
      <c r="A19" t="str">
        <f t="shared" si="0"/>
        <v xml:space="preserve">  TEXT /EUC-VMX_00F-DN1-DN2-0-0_Func-SB-PA16 stext 'CLDX - Clamps - stiffplate dist.(Z)' PURP PARA</v>
      </c>
      <c r="B19" t="str">
        <f t="shared" si="1"/>
        <v xml:space="preserve"> </v>
      </c>
      <c r="C19" t="s">
        <v>560</v>
      </c>
      <c r="D19" t="str">
        <f>Texts!E18</f>
        <v>/EUC-VMX_00F-DN1-DN2-0-0_Func-SB-PA16</v>
      </c>
      <c r="E19" t="str">
        <f>Texts!F18</f>
        <v>stext 'CLDX - Clamps - stiffplate dist.(Z)'</v>
      </c>
      <c r="F19" t="s">
        <v>603</v>
      </c>
    </row>
    <row r="20" spans="1:6">
      <c r="A20" t="str">
        <f t="shared" si="0"/>
        <v xml:space="preserve">  TEXT /EUC-VMX_00F-DN1-DN2-0-0_Func-SB-PA17 stext 'CLHE - Clamp - clearance to bottom (BoP-sC)' PURP PARA</v>
      </c>
      <c r="B20" t="str">
        <f t="shared" si="1"/>
        <v xml:space="preserve"> </v>
      </c>
      <c r="C20" t="s">
        <v>560</v>
      </c>
      <c r="D20" t="str">
        <f>Texts!E19</f>
        <v>/EUC-VMX_00F-DN1-DN2-0-0_Func-SB-PA17</v>
      </c>
      <c r="E20" t="str">
        <f>Texts!F19</f>
        <v>stext 'CLHE - Clamp - clearance to bottom (BoP-sC)'</v>
      </c>
      <c r="F20" t="s">
        <v>603</v>
      </c>
    </row>
    <row r="21" spans="1:6">
      <c r="A21" t="str">
        <f t="shared" si="0"/>
        <v xml:space="preserve">  TEXT /EUC-VMX_00F-DN1-DN2-0-0_Func-SB-PA18 stext 'LGUH - Guiding L Height' PURP PARA</v>
      </c>
      <c r="B21" t="str">
        <f t="shared" si="1"/>
        <v xml:space="preserve"> </v>
      </c>
      <c r="C21" t="s">
        <v>560</v>
      </c>
      <c r="D21" t="str">
        <f>Texts!E20</f>
        <v>/EUC-VMX_00F-DN1-DN2-0-0_Func-SB-PA18</v>
      </c>
      <c r="E21" t="str">
        <f>Texts!F20</f>
        <v>stext 'LGUH - Guiding L Height'</v>
      </c>
      <c r="F21" t="s">
        <v>603</v>
      </c>
    </row>
    <row r="22" spans="1:6">
      <c r="A22" t="str">
        <f t="shared" si="0"/>
        <v xml:space="preserve">  TEXT /EUC-VMX_00F-DN1-DN2-0-0_Func-SB-PA19 stext 'LGUW - Guiding L Width' PURP PARA</v>
      </c>
      <c r="B22" t="str">
        <f t="shared" si="1"/>
        <v xml:space="preserve"> </v>
      </c>
      <c r="C22" t="s">
        <v>560</v>
      </c>
      <c r="D22" t="str">
        <f>Texts!E21</f>
        <v>/EUC-VMX_00F-DN1-DN2-0-0_Func-SB-PA19</v>
      </c>
      <c r="E22" t="str">
        <f>Texts!F21</f>
        <v>stext 'LGUW - Guiding L Width'</v>
      </c>
      <c r="F22" t="s">
        <v>603</v>
      </c>
    </row>
    <row r="23" spans="1:6">
      <c r="A23" t="str">
        <f t="shared" si="0"/>
        <v xml:space="preserve">  TEXT /EUC-VMX_00F-DN1-DN2-0-0_Func-SB-PA20 stext 'LGUT - Guiding L THK' PURP PARA</v>
      </c>
      <c r="B23" t="str">
        <f t="shared" si="1"/>
        <v xml:space="preserve"> </v>
      </c>
      <c r="C23" t="s">
        <v>560</v>
      </c>
      <c r="D23" t="str">
        <f>Texts!E22</f>
        <v>/EUC-VMX_00F-DN1-DN2-0-0_Func-SB-PA20</v>
      </c>
      <c r="E23" t="str">
        <f>Texts!F22</f>
        <v>stext 'LGUT - Guiding L THK'</v>
      </c>
      <c r="F23" t="s">
        <v>603</v>
      </c>
    </row>
    <row r="24" spans="1:6">
      <c r="A24" t="str">
        <f t="shared" si="0"/>
        <v xml:space="preserve">  TEXT /EUC-VMX_00F-DN1-DN2-0-0_Func-SB-PA21 stext 'LGUL - Guiding L Length' PURP PARA</v>
      </c>
      <c r="B24" t="str">
        <f t="shared" si="1"/>
        <v xml:space="preserve"> </v>
      </c>
      <c r="C24" t="s">
        <v>560</v>
      </c>
      <c r="D24" t="str">
        <f>Texts!E23</f>
        <v>/EUC-VMX_00F-DN1-DN2-0-0_Func-SB-PA21</v>
      </c>
      <c r="E24" t="str">
        <f>Texts!F23</f>
        <v>stext 'LGUL - Guiding L Length'</v>
      </c>
      <c r="F24" t="s">
        <v>603</v>
      </c>
    </row>
    <row r="25" spans="1:6">
      <c r="A25" t="str">
        <f t="shared" si="0"/>
        <v xml:space="preserve">  TEXT /EUC-VMX_00F-DN1-DN2-0-0_Func-SB-PA22 stext 'CANG - Angle of clamp ori' PURP PARA</v>
      </c>
      <c r="B25" t="str">
        <f t="shared" si="1"/>
        <v xml:space="preserve"> </v>
      </c>
      <c r="C25" t="s">
        <v>560</v>
      </c>
      <c r="D25" t="str">
        <f>Texts!E24</f>
        <v>/EUC-VMX_00F-DN1-DN2-0-0_Func-SB-PA22</v>
      </c>
      <c r="E25" t="str">
        <f>Texts!F24</f>
        <v>stext 'CANG - Angle of clamp ori'</v>
      </c>
      <c r="F25" t="s">
        <v>603</v>
      </c>
    </row>
    <row r="26" spans="1:6">
      <c r="A26" t="str">
        <f t="shared" si="0"/>
        <v xml:space="preserve">  TEXT /EUC-VMX_00F-DN1-DN2-0-0_Func-SB-PA23 stext '' PURP PARA</v>
      </c>
      <c r="B26" t="str">
        <f t="shared" si="1"/>
        <v xml:space="preserve"> </v>
      </c>
      <c r="C26" t="s">
        <v>560</v>
      </c>
      <c r="D26" t="str">
        <f>Texts!E25</f>
        <v>/EUC-VMX_00F-DN1-DN2-0-0_Func-SB-PA23</v>
      </c>
      <c r="E26" t="str">
        <f>Texts!F25</f>
        <v>stext ''</v>
      </c>
      <c r="F26" t="s">
        <v>603</v>
      </c>
    </row>
    <row r="27" spans="1:6">
      <c r="A27" t="str">
        <f t="shared" si="0"/>
        <v xml:space="preserve">  TEXT /EUC-VMX_00F-DN1-DN2-0-0_Func-SB-PA24 stext 'Width of Clamp Bolt Plate' PURP PARA</v>
      </c>
      <c r="B27" t="str">
        <f t="shared" si="1"/>
        <v xml:space="preserve"> </v>
      </c>
      <c r="C27" t="s">
        <v>560</v>
      </c>
      <c r="D27" t="str">
        <f>Texts!E26</f>
        <v>/EUC-VMX_00F-DN1-DN2-0-0_Func-SB-PA24</v>
      </c>
      <c r="E27" t="str">
        <f>Texts!F26</f>
        <v>stext 'Width of Clamp Bolt Plate'</v>
      </c>
      <c r="F27" t="s">
        <v>603</v>
      </c>
    </row>
    <row r="28" spans="1:6">
      <c r="A28" t="str">
        <f t="shared" si="0"/>
        <v xml:space="preserve">  TEXT /EUC-VMX_00F-DN1-DN2-0-0_Func-SB-PA25 stext 'Clearance between Bolt Plate' PURP PARA</v>
      </c>
      <c r="B28" t="str">
        <f t="shared" si="1"/>
        <v xml:space="preserve"> </v>
      </c>
      <c r="C28" t="s">
        <v>560</v>
      </c>
      <c r="D28" t="str">
        <f>Texts!E27</f>
        <v>/EUC-VMX_00F-DN1-DN2-0-0_Func-SB-PA25</v>
      </c>
      <c r="E28" t="str">
        <f>Texts!F27</f>
        <v>stext 'Clearance between Bolt Plate'</v>
      </c>
      <c r="F28" t="s">
        <v>603</v>
      </c>
    </row>
    <row r="29" spans="1:6">
      <c r="A29" t="str">
        <f t="shared" si="0"/>
        <v xml:space="preserve">  TEXT /EUC-VMX_00F-DN1-DN2-0-0_Func-SB-PA26 stext 'Thickness of Bolt Plate' PURP PARA</v>
      </c>
      <c r="B29" t="str">
        <f t="shared" si="1"/>
        <v xml:space="preserve"> </v>
      </c>
      <c r="C29" t="s">
        <v>560</v>
      </c>
      <c r="D29" t="str">
        <f>Texts!E28</f>
        <v>/EUC-VMX_00F-DN1-DN2-0-0_Func-SB-PA26</v>
      </c>
      <c r="E29" t="str">
        <f>Texts!F28</f>
        <v>stext 'Thickness of Bolt Plate'</v>
      </c>
      <c r="F29" t="s">
        <v>603</v>
      </c>
    </row>
    <row r="30" spans="1:6">
      <c r="A30" t="str">
        <f t="shared" si="0"/>
        <v xml:space="preserve">  TEXT /EUC-VMX_00F-DN1-DN2-0-0_Func-SB-PA27 stext 'Required Lenght of Bolt excl Nuts and Washer' PURP PARA</v>
      </c>
      <c r="B30" t="str">
        <f t="shared" si="1"/>
        <v xml:space="preserve"> </v>
      </c>
      <c r="C30" t="s">
        <v>560</v>
      </c>
      <c r="D30" t="str">
        <f>Texts!E29</f>
        <v>/EUC-VMX_00F-DN1-DN2-0-0_Func-SB-PA27</v>
      </c>
      <c r="E30" t="str">
        <f>Texts!F29</f>
        <v>stext 'Required Lenght of Bolt excl Nuts and Washer'</v>
      </c>
      <c r="F30" t="s">
        <v>603</v>
      </c>
    </row>
    <row r="31" spans="1:6">
      <c r="A31" t="str">
        <f t="shared" si="0"/>
        <v xml:space="preserve">  TEXT /EUC-VMX_00F-DN1-DN2-0-0_Func-SB-PA28 stext '' PURP PARA</v>
      </c>
      <c r="B31" t="str">
        <f t="shared" si="1"/>
        <v xml:space="preserve"> </v>
      </c>
      <c r="C31" t="s">
        <v>560</v>
      </c>
      <c r="D31" t="str">
        <f>Texts!E30</f>
        <v>/EUC-VMX_00F-DN1-DN2-0-0_Func-SB-PA28</v>
      </c>
      <c r="E31" t="str">
        <f>Texts!F30</f>
        <v>stext ''</v>
      </c>
      <c r="F31" t="s">
        <v>603</v>
      </c>
    </row>
    <row r="32" spans="1:6">
      <c r="A32" t="str">
        <f t="shared" si="0"/>
        <v xml:space="preserve">  TEXT /EUC-VMX_00F-DN1-DN2-0-0_Func-SB-PA29 stext '' PURP PARA</v>
      </c>
      <c r="B32" t="str">
        <f t="shared" si="1"/>
        <v xml:space="preserve"> </v>
      </c>
      <c r="C32" t="s">
        <v>560</v>
      </c>
      <c r="D32" t="str">
        <f>Texts!E31</f>
        <v>/EUC-VMX_00F-DN1-DN2-0-0_Func-SB-PA29</v>
      </c>
      <c r="E32" t="str">
        <f>Texts!F31</f>
        <v>stext ''</v>
      </c>
      <c r="F32" t="s">
        <v>603</v>
      </c>
    </row>
    <row r="33" spans="1:6">
      <c r="A33" t="str">
        <f t="shared" si="0"/>
        <v xml:space="preserve">  TEXT /EUC-VMX_00F-DN1-DN2-0-0_Func-SB-PA30 stext 'FDIE - Foot biggest height (E)' PURP PARA</v>
      </c>
      <c r="B33" t="str">
        <f t="shared" si="1"/>
        <v xml:space="preserve"> </v>
      </c>
      <c r="C33" t="s">
        <v>560</v>
      </c>
      <c r="D33" t="str">
        <f>Texts!E32</f>
        <v>/EUC-VMX_00F-DN1-DN2-0-0_Func-SB-PA30</v>
      </c>
      <c r="E33" t="str">
        <f>Texts!F32</f>
        <v>stext 'FDIE - Foot biggest height (E)'</v>
      </c>
      <c r="F33" t="s">
        <v>603</v>
      </c>
    </row>
    <row r="34" spans="1:6">
      <c r="A34" t="str">
        <f t="shared" si="0"/>
        <v xml:space="preserve">  TEXT /EUC-VMX_00F-DN1-DN2-0-0_Func-SB-PA31 stext 'FDIB - Foot width (A) or Dist betw. L-Steel' PURP PARA</v>
      </c>
      <c r="B34" t="str">
        <f t="shared" si="1"/>
        <v xml:space="preserve"> </v>
      </c>
      <c r="C34" t="s">
        <v>560</v>
      </c>
      <c r="D34" t="str">
        <f>Texts!E33</f>
        <v>/EUC-VMX_00F-DN1-DN2-0-0_Func-SB-PA31</v>
      </c>
      <c r="E34" t="str">
        <f>Texts!F33</f>
        <v>stext 'FDIB - Foot width (A) or Dist betw. L-Steel'</v>
      </c>
      <c r="F34" t="s">
        <v>603</v>
      </c>
    </row>
    <row r="35" spans="1:6">
      <c r="A35" t="str">
        <f t="shared" si="0"/>
        <v xml:space="preserve">  TEXT /EUC-VMX_00F-DN1-DN2-0-0_Func-SB-PA32 stext 'FDIL - Foot length (L)' PURP PARA</v>
      </c>
      <c r="B35" t="str">
        <f t="shared" si="1"/>
        <v xml:space="preserve"> </v>
      </c>
      <c r="C35" t="s">
        <v>560</v>
      </c>
      <c r="D35" t="str">
        <f>Texts!E34</f>
        <v>/EUC-VMX_00F-DN1-DN2-0-0_Func-SB-PA32</v>
      </c>
      <c r="E35" t="str">
        <f>Texts!F34</f>
        <v>stext 'FDIL - Foot length (L)'</v>
      </c>
      <c r="F35" t="s">
        <v>603</v>
      </c>
    </row>
    <row r="36" spans="1:6">
      <c r="A36" t="str">
        <f t="shared" si="0"/>
        <v xml:space="preserve">  TEXT /EUC-VMX_00F-DN1-DN2-0-0_Func-SB-PA33 stext 'FDIT - Foot sheet thickness (sf) or L Thickness' PURP PARA</v>
      </c>
      <c r="B36" t="str">
        <f t="shared" si="1"/>
        <v xml:space="preserve"> </v>
      </c>
      <c r="C36" t="s">
        <v>560</v>
      </c>
      <c r="D36" t="str">
        <f>Texts!E35</f>
        <v>/EUC-VMX_00F-DN1-DN2-0-0_Func-SB-PA33</v>
      </c>
      <c r="E36" t="str">
        <f>Texts!F35</f>
        <v>stext 'FDIT - Foot sheet thickness (sf) or L Thickness'</v>
      </c>
      <c r="F36" t="s">
        <v>603</v>
      </c>
    </row>
    <row r="37" spans="1:6">
      <c r="A37" t="str">
        <f t="shared" si="0"/>
        <v xml:space="preserve">  TEXT /EUC-VMX_00F-DN1-DN2-0-0_Func-SB-PA34 stext 'FDIO - Clamp inset from end of Shoe' PURP PARA</v>
      </c>
      <c r="B37" t="str">
        <f t="shared" si="1"/>
        <v xml:space="preserve"> </v>
      </c>
      <c r="C37" t="s">
        <v>560</v>
      </c>
      <c r="D37" t="str">
        <f>Texts!E36</f>
        <v>/EUC-VMX_00F-DN1-DN2-0-0_Func-SB-PA34</v>
      </c>
      <c r="E37" t="str">
        <f>Texts!F36</f>
        <v>stext 'FDIO - Clamp inset from end of Shoe'</v>
      </c>
      <c r="F37" t="s">
        <v>603</v>
      </c>
    </row>
    <row r="38" spans="1:6">
      <c r="A38" t="str">
        <f t="shared" si="0"/>
        <v xml:space="preserve">  TEXT /EUC-VMX_00F-DN1-DN2-0-0_Func-SB-PA35 stext '' PURP PARA</v>
      </c>
      <c r="B38" t="str">
        <f t="shared" si="1"/>
        <v xml:space="preserve"> </v>
      </c>
      <c r="C38" t="s">
        <v>560</v>
      </c>
      <c r="D38" t="str">
        <f>Texts!E37</f>
        <v>/EUC-VMX_00F-DN1-DN2-0-0_Func-SB-PA35</v>
      </c>
      <c r="E38" t="str">
        <f>Texts!F37</f>
        <v>stext ''</v>
      </c>
      <c r="F38" t="s">
        <v>603</v>
      </c>
    </row>
    <row r="39" spans="1:6">
      <c r="A39" t="str">
        <f t="shared" si="0"/>
        <v xml:space="preserve">  TEXT /EUC-VMX_00F-DN1-DN2-0-0_Func-SB-PA36 stext '' PURP PARA</v>
      </c>
      <c r="B39" t="str">
        <f t="shared" si="1"/>
        <v xml:space="preserve"> </v>
      </c>
      <c r="C39" t="s">
        <v>560</v>
      </c>
      <c r="D39" t="str">
        <f>Texts!E38</f>
        <v>/EUC-VMX_00F-DN1-DN2-0-0_Func-SB-PA36</v>
      </c>
      <c r="E39" t="str">
        <f>Texts!F38</f>
        <v>stext ''</v>
      </c>
      <c r="F39" t="s">
        <v>603</v>
      </c>
    </row>
    <row r="40" spans="1:6">
      <c r="A40" t="str">
        <f t="shared" si="0"/>
        <v xml:space="preserve">  TEXT /EUC-VMX_00F-DN1-DN2-0-0_Func-SB-PA37 stext '' PURP PARA</v>
      </c>
      <c r="B40" t="str">
        <f t="shared" si="1"/>
        <v xml:space="preserve"> </v>
      </c>
      <c r="C40" t="s">
        <v>560</v>
      </c>
      <c r="D40" t="str">
        <f>Texts!E39</f>
        <v>/EUC-VMX_00F-DN1-DN2-0-0_Func-SB-PA37</v>
      </c>
      <c r="E40" t="str">
        <f>Texts!F39</f>
        <v>stext ''</v>
      </c>
      <c r="F40" t="s">
        <v>603</v>
      </c>
    </row>
    <row r="41" spans="1:6">
      <c r="A41" t="str">
        <f t="shared" si="0"/>
        <v xml:space="preserve">  TEXT /EUC-VMX_00F-DN1-DN2-0-0_Func-SB-PA38 stext 'GBBW - Guide border bottom width' PURP PARA</v>
      </c>
      <c r="B41" t="str">
        <f t="shared" si="1"/>
        <v xml:space="preserve"> </v>
      </c>
      <c r="C41" t="s">
        <v>560</v>
      </c>
      <c r="D41" t="str">
        <f>Texts!E40</f>
        <v>/EUC-VMX_00F-DN1-DN2-0-0_Func-SB-PA38</v>
      </c>
      <c r="E41" t="str">
        <f>Texts!F40</f>
        <v>stext 'GBBW - Guide border bottom width'</v>
      </c>
      <c r="F41" t="s">
        <v>603</v>
      </c>
    </row>
    <row r="42" spans="1:6">
      <c r="A42" t="str">
        <f t="shared" si="0"/>
        <v xml:space="preserve">  TEXT /EUC-VMX_00F-DN1-DN2-0-0_Func-SB-PA39 stext 'GBIH - Guide border inner height' PURP PARA</v>
      </c>
      <c r="B42" t="str">
        <f t="shared" si="1"/>
        <v xml:space="preserve"> </v>
      </c>
      <c r="C42" t="s">
        <v>560</v>
      </c>
      <c r="D42" t="str">
        <f>Texts!E41</f>
        <v>/EUC-VMX_00F-DN1-DN2-0-0_Func-SB-PA39</v>
      </c>
      <c r="E42" t="str">
        <f>Texts!F41</f>
        <v>stext 'GBIH - Guide border inner height'</v>
      </c>
      <c r="F42" t="s">
        <v>603</v>
      </c>
    </row>
    <row r="43" spans="1:6">
      <c r="A43" t="str">
        <f t="shared" si="0"/>
        <v xml:space="preserve">  TEXT /EUC-VMX_00F-DN1-DN2-0-0_Func-SB-PA40 stext '' PURP PARA</v>
      </c>
      <c r="B43" t="str">
        <f t="shared" si="1"/>
        <v xml:space="preserve"> </v>
      </c>
      <c r="C43" t="s">
        <v>560</v>
      </c>
      <c r="D43" t="str">
        <f>Texts!E42</f>
        <v>/EUC-VMX_00F-DN1-DN2-0-0_Func-SB-PA40</v>
      </c>
      <c r="E43" t="str">
        <f>Texts!F42</f>
        <v>stext ''</v>
      </c>
      <c r="F43" t="s">
        <v>603</v>
      </c>
    </row>
    <row r="44" spans="1:6">
      <c r="A44" t="str">
        <f t="shared" si="0"/>
        <v xml:space="preserve">  TEXT /EUC-VMX_00F-DN1-DN2-0-0_Func-SB-PA41 stext 'GBWI - Guide total width' PURP PARA</v>
      </c>
      <c r="B44" t="str">
        <f t="shared" si="1"/>
        <v xml:space="preserve"> </v>
      </c>
      <c r="C44" t="s">
        <v>560</v>
      </c>
      <c r="D44" t="str">
        <f>Texts!E43</f>
        <v>/EUC-VMX_00F-DN1-DN2-0-0_Func-SB-PA41</v>
      </c>
      <c r="E44" t="str">
        <f>Texts!F43</f>
        <v>stext 'GBWI - Guide total width'</v>
      </c>
      <c r="F44" t="s">
        <v>603</v>
      </c>
    </row>
    <row r="45" spans="1:6">
      <c r="A45" t="str">
        <f t="shared" si="0"/>
        <v xml:space="preserve">  TEXT /EUC-VMX_00F-DN1-DN2-0-0_Func-SB-PA42 stext 'GBHE - Guide total height' PURP PARA</v>
      </c>
      <c r="B45" t="str">
        <f t="shared" si="1"/>
        <v xml:space="preserve"> </v>
      </c>
      <c r="C45" t="s">
        <v>560</v>
      </c>
      <c r="D45" t="str">
        <f>Texts!E44</f>
        <v>/EUC-VMX_00F-DN1-DN2-0-0_Func-SB-PA42</v>
      </c>
      <c r="E45" t="str">
        <f>Texts!F44</f>
        <v>stext 'GBHE - Guide total height'</v>
      </c>
      <c r="F45" t="s">
        <v>603</v>
      </c>
    </row>
    <row r="46" spans="1:6">
      <c r="A46" t="str">
        <f t="shared" si="0"/>
        <v xml:space="preserve">  TEXT /EUC-VMX_00F-DN1-DN2-0-0_Func-SB-PA43 stext 'GBTH - Guide Thickness' PURP PARA</v>
      </c>
      <c r="B46" t="str">
        <f t="shared" si="1"/>
        <v xml:space="preserve"> </v>
      </c>
      <c r="C46" t="s">
        <v>560</v>
      </c>
      <c r="D46" t="str">
        <f>Texts!E45</f>
        <v>/EUC-VMX_00F-DN1-DN2-0-0_Func-SB-PA43</v>
      </c>
      <c r="E46" t="str">
        <f>Texts!F45</f>
        <v>stext 'GBTH - Guide Thickness'</v>
      </c>
      <c r="F46" t="s">
        <v>603</v>
      </c>
    </row>
    <row r="47" spans="1:6">
      <c r="A47" t="str">
        <f t="shared" si="0"/>
        <v xml:space="preserve">  TEXT /EUC-VMX_00F-DN1-DN2-0-0_Func-SB-PA44 stext '' PURP PARA</v>
      </c>
      <c r="B47" t="str">
        <f t="shared" si="1"/>
        <v xml:space="preserve"> </v>
      </c>
      <c r="C47" t="s">
        <v>560</v>
      </c>
      <c r="D47" t="str">
        <f>Texts!E46</f>
        <v>/EUC-VMX_00F-DN1-DN2-0-0_Func-SB-PA44</v>
      </c>
      <c r="E47" t="str">
        <f>Texts!F46</f>
        <v>stext ''</v>
      </c>
      <c r="F47" t="s">
        <v>603</v>
      </c>
    </row>
    <row r="48" spans="1:6">
      <c r="A48" t="str">
        <f t="shared" si="0"/>
        <v xml:space="preserve">  TEXT /EUC-VMX_00F-DN1-DN2-0-0_Func-SB-PA45 stext 'GBDS - Guide to support clearance' PURP PARA</v>
      </c>
      <c r="B48" t="str">
        <f t="shared" si="1"/>
        <v xml:space="preserve"> </v>
      </c>
      <c r="C48" t="s">
        <v>560</v>
      </c>
      <c r="D48" t="str">
        <f>Texts!E47</f>
        <v>/EUC-VMX_00F-DN1-DN2-0-0_Func-SB-PA45</v>
      </c>
      <c r="E48" t="str">
        <f>Texts!F47</f>
        <v>stext 'GBDS - Guide to support clearance'</v>
      </c>
      <c r="F48" t="s">
        <v>603</v>
      </c>
    </row>
    <row r="49" spans="1:6">
      <c r="A49" t="str">
        <f t="shared" si="0"/>
        <v xml:space="preserve">  TEXT /EUC-VMX_00F-DN1-DN2-0-0_Func-SB-PA46 stext 'FCLL - Fixed point cleat length x' PURP PARA</v>
      </c>
      <c r="B49" t="str">
        <f t="shared" si="1"/>
        <v xml:space="preserve"> </v>
      </c>
      <c r="C49" t="s">
        <v>560</v>
      </c>
      <c r="D49" t="str">
        <f>Texts!E48</f>
        <v>/EUC-VMX_00F-DN1-DN2-0-0_Func-SB-PA46</v>
      </c>
      <c r="E49" t="str">
        <f>Texts!F48</f>
        <v>stext 'FCLL - Fixed point cleat length x'</v>
      </c>
      <c r="F49" t="s">
        <v>603</v>
      </c>
    </row>
    <row r="50" spans="1:6">
      <c r="A50" t="str">
        <f t="shared" si="0"/>
        <v xml:space="preserve">  TEXT /EUC-VMX_00F-DN1-DN2-0-0_Func-SB-PA47 stext 'FCLW - Fixed point cleat width y' PURP PARA</v>
      </c>
      <c r="B50" t="str">
        <f t="shared" si="1"/>
        <v xml:space="preserve"> </v>
      </c>
      <c r="C50" t="s">
        <v>560</v>
      </c>
      <c r="D50" t="str">
        <f>Texts!E49</f>
        <v>/EUC-VMX_00F-DN1-DN2-0-0_Func-SB-PA47</v>
      </c>
      <c r="E50" t="str">
        <f>Texts!F49</f>
        <v>stext 'FCLW - Fixed point cleat width y'</v>
      </c>
      <c r="F50" t="s">
        <v>603</v>
      </c>
    </row>
    <row r="51" spans="1:6">
      <c r="A51" t="str">
        <f t="shared" si="0"/>
        <v xml:space="preserve">  TEXT /EUC-VMX_00F-DN1-DN2-0-0_Func-SB-PA48 stext 'FCLH - Fixed point cleat thickness z' PURP PARA</v>
      </c>
      <c r="B51" t="str">
        <f t="shared" si="1"/>
        <v xml:space="preserve"> </v>
      </c>
      <c r="C51" t="s">
        <v>560</v>
      </c>
      <c r="D51" t="str">
        <f>Texts!E50</f>
        <v>/EUC-VMX_00F-DN1-DN2-0-0_Func-SB-PA48</v>
      </c>
      <c r="E51" t="str">
        <f>Texts!F50</f>
        <v>stext 'FCLH - Fixed point cleat thickness z'</v>
      </c>
      <c r="F51" t="s">
        <v>603</v>
      </c>
    </row>
    <row r="52" spans="1:6">
      <c r="A52" t="str">
        <f t="shared" si="0"/>
        <v xml:space="preserve">  TEXT /EUC-VMX_00F-DN1-DN2-0-0_Func-SB-PA49 stext '' PURP PARA</v>
      </c>
      <c r="B52" t="str">
        <f t="shared" si="1"/>
        <v xml:space="preserve"> </v>
      </c>
      <c r="C52" t="s">
        <v>560</v>
      </c>
      <c r="D52" t="str">
        <f>Texts!E51</f>
        <v>/EUC-VMX_00F-DN1-DN2-0-0_Func-SB-PA49</v>
      </c>
      <c r="E52" t="str">
        <f>Texts!F51</f>
        <v>stext ''</v>
      </c>
      <c r="F52" t="s">
        <v>603</v>
      </c>
    </row>
    <row r="53" spans="1:6">
      <c r="A53" t="str">
        <f t="shared" si="0"/>
        <v xml:space="preserve">  TEXT /EUC-VMX_00F-DN1-DN2-0-0_Func-SB-PA50 stext 'FCLA - Fixed point cleat angle of arch' PURP PARA</v>
      </c>
      <c r="B53" t="str">
        <f t="shared" si="1"/>
        <v xml:space="preserve"> </v>
      </c>
      <c r="C53" t="s">
        <v>560</v>
      </c>
      <c r="D53" t="str">
        <f>Texts!E52</f>
        <v>/EUC-VMX_00F-DN1-DN2-0-0_Func-SB-PA50</v>
      </c>
      <c r="E53" t="str">
        <f>Texts!F52</f>
        <v>stext 'FCLA - Fixed point cleat angle of arch'</v>
      </c>
      <c r="F53" t="s">
        <v>603</v>
      </c>
    </row>
    <row r="54" spans="1:6">
      <c r="A54" t="str">
        <f t="shared" si="0"/>
        <v xml:space="preserve">  TEXT /EUC-VMX_00F-DN1-DN2-0-0_Func-SB-PA51 stext 'BWID - Secondary Supp.Beam default width' PURP PARA</v>
      </c>
      <c r="B54" t="str">
        <f t="shared" si="1"/>
        <v xml:space="preserve"> </v>
      </c>
      <c r="C54" t="s">
        <v>560</v>
      </c>
      <c r="D54" t="str">
        <f>Texts!E53</f>
        <v>/EUC-VMX_00F-DN1-DN2-0-0_Func-SB-PA51</v>
      </c>
      <c r="E54" t="str">
        <f>Texts!F53</f>
        <v>stext 'BWID - Secondary Supp.Beam default width'</v>
      </c>
      <c r="F54" t="s">
        <v>603</v>
      </c>
    </row>
    <row r="55" spans="1:6">
      <c r="A55" t="str">
        <f t="shared" si="0"/>
        <v xml:space="preserve">  TEXT /EUC-VMX_00F-DN1-DN2-0-0_Func-SB-PA52 stext 'CLEA - Clearance Stop to Beam' PURP PARA</v>
      </c>
      <c r="B55" t="str">
        <f t="shared" si="1"/>
        <v xml:space="preserve"> </v>
      </c>
      <c r="C55" t="s">
        <v>560</v>
      </c>
      <c r="D55" t="str">
        <f>Texts!E54</f>
        <v>/EUC-VMX_00F-DN1-DN2-0-0_Func-SB-PA52</v>
      </c>
      <c r="E55" t="str">
        <f>Texts!F54</f>
        <v>stext 'CLEA - Clearance Stop to Beam'</v>
      </c>
      <c r="F55" t="s">
        <v>603</v>
      </c>
    </row>
    <row r="56" spans="1:6">
      <c r="A56" t="str">
        <f t="shared" si="0"/>
        <v xml:space="preserve">  TEXT /EUC-VMX_00F-DN1-DN2-0-0_Func-SB-PA53 stext 'LWID - W width' PURP PARA</v>
      </c>
      <c r="B56" t="str">
        <f t="shared" si="1"/>
        <v xml:space="preserve"> </v>
      </c>
      <c r="C56" t="s">
        <v>560</v>
      </c>
      <c r="D56" t="str">
        <f>Texts!E55</f>
        <v>/EUC-VMX_00F-DN1-DN2-0-0_Func-SB-PA53</v>
      </c>
      <c r="E56" t="str">
        <f>Texts!F55</f>
        <v>stext 'LWID - W width'</v>
      </c>
      <c r="F56" t="s">
        <v>603</v>
      </c>
    </row>
    <row r="57" spans="1:6">
      <c r="A57" t="str">
        <f t="shared" si="0"/>
        <v xml:space="preserve">  TEXT /EUC-VMX_00F-DN1-DN2-0-0_Func-SB-PA54 stext '' PURP PARA</v>
      </c>
      <c r="B57" t="str">
        <f t="shared" si="1"/>
        <v xml:space="preserve"> </v>
      </c>
      <c r="C57" t="s">
        <v>560</v>
      </c>
      <c r="D57" t="str">
        <f>Texts!E56</f>
        <v>/EUC-VMX_00F-DN1-DN2-0-0_Func-SB-PA54</v>
      </c>
      <c r="E57" t="str">
        <f>Texts!F56</f>
        <v>stext ''</v>
      </c>
      <c r="F57" t="s">
        <v>603</v>
      </c>
    </row>
    <row r="58" spans="1:6">
      <c r="A58" t="str">
        <f t="shared" si="0"/>
        <v xml:space="preserve">  TEXT /EUC-VMX_00F-DN1-DN2-0-0_Func-SB-PA55 stext 'LTHK - H thickness' PURP PARA</v>
      </c>
      <c r="B58" t="str">
        <f t="shared" si="1"/>
        <v xml:space="preserve"> </v>
      </c>
      <c r="C58" t="s">
        <v>560</v>
      </c>
      <c r="D58" t="str">
        <f>Texts!E57</f>
        <v>/EUC-VMX_00F-DN1-DN2-0-0_Func-SB-PA55</v>
      </c>
      <c r="E58" t="str">
        <f>Texts!F57</f>
        <v>stext 'LTHK - H thickness'</v>
      </c>
      <c r="F58" t="s">
        <v>603</v>
      </c>
    </row>
    <row r="59" spans="1:6">
      <c r="A59" t="str">
        <f t="shared" si="0"/>
        <v xml:space="preserve">  TEXT /EUC-VMX_00F-DN1-DN2-0-0_Func-SB-PA56 stext 'LLEN - L length of Axial stop' PURP PARA</v>
      </c>
      <c r="B59" t="str">
        <f t="shared" si="1"/>
        <v xml:space="preserve"> </v>
      </c>
      <c r="C59" t="s">
        <v>560</v>
      </c>
      <c r="D59" t="str">
        <f>Texts!E58</f>
        <v>/EUC-VMX_00F-DN1-DN2-0-0_Func-SB-PA56</v>
      </c>
      <c r="E59" t="str">
        <f>Texts!F58</f>
        <v>stext 'LLEN - L length of Axial stop'</v>
      </c>
      <c r="F59" t="s">
        <v>603</v>
      </c>
    </row>
    <row r="60" spans="1:6">
      <c r="A60" t="str">
        <f t="shared" si="0"/>
        <v xml:space="preserve">  TEXT /EUC-VMX_00F-DN1-DN2-0-0_Func-SB-PA57 stext '' PURP PARA</v>
      </c>
      <c r="B60" t="str">
        <f t="shared" si="1"/>
        <v xml:space="preserve"> </v>
      </c>
      <c r="C60" t="s">
        <v>560</v>
      </c>
      <c r="D60" t="str">
        <f>Texts!E59</f>
        <v>/EUC-VMX_00F-DN1-DN2-0-0_Func-SB-PA57</v>
      </c>
      <c r="E60" t="str">
        <f>Texts!F59</f>
        <v>stext ''</v>
      </c>
      <c r="F60" t="s">
        <v>603</v>
      </c>
    </row>
    <row r="61" spans="1:6">
      <c r="A61" t="str">
        <f t="shared" si="0"/>
        <v xml:space="preserve">  TEXT /EUC-VMX_00F-DN1-DN2-0-0_Func-SB-PA58 stext '' PURP PARA</v>
      </c>
      <c r="B61" t="str">
        <f t="shared" si="1"/>
        <v xml:space="preserve"> </v>
      </c>
      <c r="C61" t="s">
        <v>560</v>
      </c>
      <c r="D61" t="str">
        <f>Texts!E60</f>
        <v>/EUC-VMX_00F-DN1-DN2-0-0_Func-SB-PA58</v>
      </c>
      <c r="E61" t="str">
        <f>Texts!F60</f>
        <v>stext ''</v>
      </c>
      <c r="F61" t="s">
        <v>603</v>
      </c>
    </row>
    <row r="62" spans="1:6">
      <c r="A62" t="str">
        <f t="shared" si="0"/>
        <v xml:space="preserve">  TEXT /EUC-VMX_00F-DN1-DN2-0-0_Func-SB-PA59 stext '' PURP PARA</v>
      </c>
      <c r="B62" t="str">
        <f t="shared" si="1"/>
        <v xml:space="preserve"> </v>
      </c>
      <c r="C62" t="s">
        <v>560</v>
      </c>
      <c r="D62" t="str">
        <f>Texts!E61</f>
        <v>/EUC-VMX_00F-DN1-DN2-0-0_Func-SB-PA59</v>
      </c>
      <c r="E62" t="str">
        <f>Texts!F61</f>
        <v>stext ''</v>
      </c>
      <c r="F62" t="s">
        <v>603</v>
      </c>
    </row>
    <row r="63" spans="1:6">
      <c r="A63" t="str">
        <f t="shared" si="0"/>
        <v xml:space="preserve">  TEXT /EUC-VMX_00F-DN1-DN2-0-0_Func-SB-PA60 stext 'SPTH - Sliding/Fill/Ground Plate height' PURP PARA</v>
      </c>
      <c r="B63" t="str">
        <f t="shared" si="1"/>
        <v xml:space="preserve"> </v>
      </c>
      <c r="C63" t="s">
        <v>560</v>
      </c>
      <c r="D63" t="str">
        <f>Texts!E62</f>
        <v>/EUC-VMX_00F-DN1-DN2-0-0_Func-SB-PA60</v>
      </c>
      <c r="E63" t="str">
        <f>Texts!F62</f>
        <v>stext 'SPTH - Sliding/Fill/Ground Plate height'</v>
      </c>
      <c r="F63" t="s">
        <v>603</v>
      </c>
    </row>
    <row r="64" spans="1:6">
      <c r="A64" t="str">
        <f t="shared" si="0"/>
        <v xml:space="preserve">  TEXT /EUC-VMX_00F-DN1-DN2-0-0_Func-SB-PA61 stext 'SPLE - Sliding/Fill/Ground Plate length' PURP PARA</v>
      </c>
      <c r="B64" t="str">
        <f t="shared" si="1"/>
        <v xml:space="preserve"> </v>
      </c>
      <c r="C64" t="s">
        <v>560</v>
      </c>
      <c r="D64" t="str">
        <f>Texts!E63</f>
        <v>/EUC-VMX_00F-DN1-DN2-0-0_Func-SB-PA61</v>
      </c>
      <c r="E64" t="str">
        <f>Texts!F63</f>
        <v>stext 'SPLE - Sliding/Fill/Ground Plate length'</v>
      </c>
      <c r="F64" t="s">
        <v>603</v>
      </c>
    </row>
    <row r="65" spans="1:6">
      <c r="A65" t="str">
        <f t="shared" si="0"/>
        <v xml:space="preserve">  TEXT /EUC-VMX_00F-DN1-DN2-0-0_Func-SB-PA62 stext 'SPTH - Sliding/Fill/Ground Plate width' PURP PARA</v>
      </c>
      <c r="B65" t="str">
        <f t="shared" si="1"/>
        <v xml:space="preserve"> </v>
      </c>
      <c r="C65" t="s">
        <v>560</v>
      </c>
      <c r="D65" t="str">
        <f>Texts!E64</f>
        <v>/EUC-VMX_00F-DN1-DN2-0-0_Func-SB-PA62</v>
      </c>
      <c r="E65" t="str">
        <f>Texts!F64</f>
        <v>stext 'SPTH - Sliding/Fill/Ground Plate width'</v>
      </c>
      <c r="F65" t="s">
        <v>603</v>
      </c>
    </row>
    <row r="66" spans="1:6">
      <c r="A66" t="str">
        <f t="shared" si="0"/>
        <v xml:space="preserve">  TEXT /EUC-VMX_00F-DN1-DN2-0-0_Func-SB-PA63 stext 'SSTH - Sliding/Fill Shoe Thickness' PURP PARA</v>
      </c>
      <c r="B66" t="str">
        <f t="shared" si="1"/>
        <v xml:space="preserve"> </v>
      </c>
      <c r="C66" t="s">
        <v>560</v>
      </c>
      <c r="D66" t="str">
        <f>Texts!E65</f>
        <v>/EUC-VMX_00F-DN1-DN2-0-0_Func-SB-PA63</v>
      </c>
      <c r="E66" t="str">
        <f>Texts!F65</f>
        <v>stext 'SSTH - Sliding/Fill Shoe Thickness'</v>
      </c>
      <c r="F66" t="s">
        <v>603</v>
      </c>
    </row>
    <row r="67" spans="1:6">
      <c r="A67" t="str">
        <f t="shared" ref="A67:A81" si="2">_xlfn.TEXTJOIN(" ",TRUE,B67:I67)</f>
        <v xml:space="preserve">  TEXT /EUC-VMX_00F-DN1-DN2-0-0_Func-SB-PA64 stext '' PURP PARA</v>
      </c>
      <c r="B67" t="str">
        <f t="shared" si="1"/>
        <v xml:space="preserve"> </v>
      </c>
      <c r="C67" t="s">
        <v>560</v>
      </c>
      <c r="D67" t="str">
        <f>Texts!E66</f>
        <v>/EUC-VMX_00F-DN1-DN2-0-0_Func-SB-PA64</v>
      </c>
      <c r="E67" t="str">
        <f>Texts!F66</f>
        <v>stext ''</v>
      </c>
      <c r="F67" t="s">
        <v>603</v>
      </c>
    </row>
    <row r="68" spans="1:6">
      <c r="A68" t="str">
        <f t="shared" si="2"/>
        <v xml:space="preserve">  TEXT /EUC-VMX_00F-DN1-DN2-0-0_Func-SB-PA65 stext 'FOLL - Foot - outer L width or U-Baseplate extension' PURP PARA</v>
      </c>
      <c r="B68" t="str">
        <f t="shared" ref="B68:B105" si="3">$B$2</f>
        <v xml:space="preserve"> </v>
      </c>
      <c r="C68" t="s">
        <v>560</v>
      </c>
      <c r="D68" t="str">
        <f>Texts!E67</f>
        <v>/EUC-VMX_00F-DN1-DN2-0-0_Func-SB-PA65</v>
      </c>
      <c r="E68" t="str">
        <f>Texts!F67</f>
        <v>stext 'FOLL - Foot - outer L width or U-Baseplate extension'</v>
      </c>
      <c r="F68" t="s">
        <v>603</v>
      </c>
    </row>
    <row r="69" spans="1:6">
      <c r="A69" t="str">
        <f t="shared" si="2"/>
        <v xml:space="preserve">  TEXT /EUC-VMX_00F-DN1-DN2-0-0_Func-SB-PA66 stext 'FOLH - Foot - outer L height' PURP PARA</v>
      </c>
      <c r="B69" t="str">
        <f t="shared" si="3"/>
        <v xml:space="preserve"> </v>
      </c>
      <c r="C69" t="s">
        <v>560</v>
      </c>
      <c r="D69" t="str">
        <f>Texts!E68</f>
        <v>/EUC-VMX_00F-DN1-DN2-0-0_Func-SB-PA66</v>
      </c>
      <c r="E69" t="str">
        <f>Texts!F68</f>
        <v>stext 'FOLH - Foot - outer L height'</v>
      </c>
      <c r="F69" t="s">
        <v>603</v>
      </c>
    </row>
    <row r="70" spans="1:6">
      <c r="A70" t="str">
        <f t="shared" si="2"/>
        <v xml:space="preserve">  TEXT /EUC-VMX_00F-DN1-DN2-0-0_Func-SB-PA67 stext '' PURP PARA</v>
      </c>
      <c r="B70" t="str">
        <f t="shared" si="3"/>
        <v xml:space="preserve"> </v>
      </c>
      <c r="C70" t="s">
        <v>560</v>
      </c>
      <c r="D70" t="str">
        <f>Texts!E69</f>
        <v>/EUC-VMX_00F-DN1-DN2-0-0_Func-SB-PA67</v>
      </c>
      <c r="E70" t="str">
        <f>Texts!F69</f>
        <v>stext ''</v>
      </c>
      <c r="F70" t="s">
        <v>603</v>
      </c>
    </row>
    <row r="71" spans="1:6">
      <c r="A71" t="str">
        <f t="shared" si="2"/>
        <v xml:space="preserve">  TEXT /EUC-VMX_00F-DN1-DN2-0-0_Func-SB-PA68 stext 'FSLL - Foot - stiff. Offset from L-bot' PURP PARA</v>
      </c>
      <c r="B71" t="str">
        <f t="shared" si="3"/>
        <v xml:space="preserve"> </v>
      </c>
      <c r="C71" t="s">
        <v>560</v>
      </c>
      <c r="D71" t="str">
        <f>Texts!E70</f>
        <v>/EUC-VMX_00F-DN1-DN2-0-0_Func-SB-PA68</v>
      </c>
      <c r="E71" t="str">
        <f>Texts!F70</f>
        <v>stext 'FSLL - Foot - stiff. Offset from L-bot'</v>
      </c>
      <c r="F71" t="s">
        <v>603</v>
      </c>
    </row>
    <row r="72" spans="1:6">
      <c r="A72" t="str">
        <f t="shared" si="2"/>
        <v xml:space="preserve">  TEXT /EUC-VMX_00F-DN1-DN2-0-0_Func-SB-PA69 stext 'FSLH - Foot - stiff. height' PURP PARA</v>
      </c>
      <c r="B72" t="str">
        <f t="shared" si="3"/>
        <v xml:space="preserve"> </v>
      </c>
      <c r="C72" t="s">
        <v>560</v>
      </c>
      <c r="D72" t="str">
        <f>Texts!E71</f>
        <v>/EUC-VMX_00F-DN1-DN2-0-0_Func-SB-PA69</v>
      </c>
      <c r="E72" t="str">
        <f>Texts!F71</f>
        <v>stext 'FSLH - Foot - stiff. height'</v>
      </c>
      <c r="F72" t="s">
        <v>603</v>
      </c>
    </row>
    <row r="73" spans="1:6">
      <c r="A73" t="str">
        <f t="shared" si="2"/>
        <v xml:space="preserve">  TEXT /EUC-VMX_00F-DN1-DN2-0-0_Func-SB-PA70 stext 'FSLT - Foot - stiff. L thickness' PURP PARA</v>
      </c>
      <c r="B73" t="str">
        <f t="shared" si="3"/>
        <v xml:space="preserve"> </v>
      </c>
      <c r="C73" t="s">
        <v>560</v>
      </c>
      <c r="D73" t="str">
        <f>Texts!E72</f>
        <v>/EUC-VMX_00F-DN1-DN2-0-0_Func-SB-PA70</v>
      </c>
      <c r="E73" t="str">
        <f>Texts!F72</f>
        <v>stext 'FSLT - Foot - stiff. L thickness'</v>
      </c>
      <c r="F73" t="s">
        <v>603</v>
      </c>
    </row>
    <row r="74" spans="1:6">
      <c r="A74" t="str">
        <f t="shared" si="2"/>
        <v xml:space="preserve">  TEXT /EUC-VMX_00F-DN1-DN2-0-0_Func-SB-PA71 stext '' PURP PARA</v>
      </c>
      <c r="B74" t="str">
        <f t="shared" si="3"/>
        <v xml:space="preserve"> </v>
      </c>
      <c r="C74" t="s">
        <v>560</v>
      </c>
      <c r="D74" t="str">
        <f>Texts!E73</f>
        <v>/EUC-VMX_00F-DN1-DN2-0-0_Func-SB-PA71</v>
      </c>
      <c r="E74" t="str">
        <f>Texts!F73</f>
        <v>stext ''</v>
      </c>
      <c r="F74" t="s">
        <v>603</v>
      </c>
    </row>
    <row r="75" spans="1:6">
      <c r="A75" t="str">
        <f t="shared" si="2"/>
        <v xml:space="preserve">  TEXT /EUC-VMX_00F-DN1-DN2-0-0_Func-SB-PA72 stext 'FSLO - Foot - stiff. End inset' PURP PARA</v>
      </c>
      <c r="B75" t="str">
        <f t="shared" si="3"/>
        <v xml:space="preserve"> </v>
      </c>
      <c r="C75" t="s">
        <v>560</v>
      </c>
      <c r="D75" t="str">
        <f>Texts!E74</f>
        <v>/EUC-VMX_00F-DN1-DN2-0-0_Func-SB-PA72</v>
      </c>
      <c r="E75" t="str">
        <f>Texts!F74</f>
        <v>stext 'FSLO - Foot - stiff. End inset'</v>
      </c>
      <c r="F75" t="s">
        <v>603</v>
      </c>
    </row>
    <row r="76" spans="1:6">
      <c r="A76" t="str">
        <f t="shared" si="2"/>
        <v xml:space="preserve">  TEXT /EUC-VMX_00F-DN1-DN2-0-0_Func-SB-PA73 stext '' PURP PARA</v>
      </c>
      <c r="B76" t="str">
        <f t="shared" si="3"/>
        <v xml:space="preserve"> </v>
      </c>
      <c r="C76" t="s">
        <v>560</v>
      </c>
      <c r="D76" t="str">
        <f>Texts!E75</f>
        <v>/EUC-VMX_00F-DN1-DN2-0-0_Func-SB-PA73</v>
      </c>
      <c r="E76" t="str">
        <f>Texts!F75</f>
        <v>stext ''</v>
      </c>
      <c r="F76" t="s">
        <v>603</v>
      </c>
    </row>
    <row r="77" spans="1:6">
      <c r="A77" t="str">
        <f t="shared" si="2"/>
        <v xml:space="preserve">  TEXT /EUC-VMX_00F-DN1-DN2-0-0_Func-SB-PA74 stext 'DRWG - Drawing Number' PURP PARA</v>
      </c>
      <c r="B77" t="str">
        <f t="shared" si="3"/>
        <v xml:space="preserve"> </v>
      </c>
      <c r="C77" t="s">
        <v>560</v>
      </c>
      <c r="D77" t="str">
        <f>Texts!E76</f>
        <v>/EUC-VMX_00F-DN1-DN2-0-0_Func-SB-PA74</v>
      </c>
      <c r="E77" t="str">
        <f>Texts!F76</f>
        <v>stext 'DRWG - Drawing Number'</v>
      </c>
      <c r="F77" t="s">
        <v>603</v>
      </c>
    </row>
    <row r="78" spans="1:6">
      <c r="A78" t="str">
        <f t="shared" si="2"/>
        <v xml:space="preserve">  TEXT /EUC-VMX_00F-DN1-DN2-0-0_Func-SB-PA75 stext 'XFOR - permitted axial load 100C' PURP PARA</v>
      </c>
      <c r="B78" t="str">
        <f t="shared" si="3"/>
        <v xml:space="preserve"> </v>
      </c>
      <c r="C78" t="s">
        <v>560</v>
      </c>
      <c r="D78" t="str">
        <f>Texts!E77</f>
        <v>/EUC-VMX_00F-DN1-DN2-0-0_Func-SB-PA75</v>
      </c>
      <c r="E78" t="str">
        <f>Texts!F77</f>
        <v>stext 'XFOR - permitted axial load 100C'</v>
      </c>
      <c r="F78" t="s">
        <v>603</v>
      </c>
    </row>
    <row r="79" spans="1:6">
      <c r="A79" t="str">
        <f t="shared" si="2"/>
        <v xml:space="preserve">  TEXT /EUC-VMX_00F-DN1-DN2-0-0_Func-SB-PA76 stext 'YFOR - permitted later load 100C' PURP PARA</v>
      </c>
      <c r="B79" t="str">
        <f t="shared" si="3"/>
        <v xml:space="preserve"> </v>
      </c>
      <c r="C79" t="s">
        <v>560</v>
      </c>
      <c r="D79" t="str">
        <f>Texts!E78</f>
        <v>/EUC-VMX_00F-DN1-DN2-0-0_Func-SB-PA76</v>
      </c>
      <c r="E79" t="str">
        <f>Texts!F78</f>
        <v>stext 'YFOR - permitted later load 100C'</v>
      </c>
      <c r="F79" t="s">
        <v>603</v>
      </c>
    </row>
    <row r="80" spans="1:6">
      <c r="A80" t="str">
        <f t="shared" si="2"/>
        <v xml:space="preserve">  TEXT /EUC-VMX_00F-DN1-DN2-0-0_Func-SB-PA77 stext 'ZFOR - permitted vert load 100C' PURP PARA</v>
      </c>
      <c r="B80" t="str">
        <f t="shared" si="3"/>
        <v xml:space="preserve"> </v>
      </c>
      <c r="C80" t="s">
        <v>560</v>
      </c>
      <c r="D80" t="str">
        <f>Texts!E79</f>
        <v>/EUC-VMX_00F-DN1-DN2-0-0_Func-SB-PA77</v>
      </c>
      <c r="E80" t="str">
        <f>Texts!F79</f>
        <v>stext 'ZFOR - permitted vert load 100C'</v>
      </c>
      <c r="F80" t="s">
        <v>603</v>
      </c>
    </row>
    <row r="81" spans="1:9">
      <c r="A81" t="str">
        <f t="shared" si="2"/>
        <v xml:space="preserve">  TEXT /EUC-VMX_00F-DN1-DN2-0-0_Func-SB-PA78 stext 'WELA - Prefered Weldsize A' PURP PARA</v>
      </c>
      <c r="B81" t="str">
        <f t="shared" si="3"/>
        <v xml:space="preserve"> </v>
      </c>
      <c r="C81" t="s">
        <v>560</v>
      </c>
      <c r="D81" t="str">
        <f>Texts!E80</f>
        <v>/EUC-VMX_00F-DN1-DN2-0-0_Func-SB-PA78</v>
      </c>
      <c r="E81" t="str">
        <f>Texts!F80</f>
        <v>stext 'WELA - Prefered Weldsize A'</v>
      </c>
      <c r="F81" t="s">
        <v>603</v>
      </c>
    </row>
    <row r="82" spans="1:9">
      <c r="A82" t="str">
        <f>_xlfn.TEXTJOIN(" ",TRUE,B82:I82)</f>
        <v xml:space="preserve">  SCOM /EUC-VMXC00F-15-15-0-0 Gtype ATTA DTREF /EuC-CATA-SUPP/COMMON/2-DTSE PTREF /EuC-CATA-SUPP/COMMON/S_T_X_X_X_CL00_X-PTSE GMREF /EuC-CATA-SUPP/COMMON/S_T_X_X_X_CL00_X-GMSE PARA 15 15 22 22 ATT ATT 0 0 4.80 135 22 89 30 5 7 0 119 0 0 0 0 0 0 0 0 0 0 0 0 120 120 200 13 0 0 0 0 0 0 0 0 0 0 0 0 0 0 0 0 0 0 0 0 0 0 0 0 0 0 0 0 0 0 0 0 0 0 0 0 0 0 0 0 125021 0.7 1.4 2.4 4</v>
      </c>
      <c r="B82" t="str">
        <f t="shared" si="3"/>
        <v xml:space="preserve"> </v>
      </c>
      <c r="C82" t="s">
        <v>596</v>
      </c>
      <c r="D82" t="str">
        <f>CATA!CR35</f>
        <v>/EUC-VMXC00F-15-15-0-0</v>
      </c>
      <c r="E82" t="s">
        <v>599</v>
      </c>
      <c r="F82" t="str">
        <f>"DTREF "&amp;Detailtext!$G$7</f>
        <v>DTREF /EuC-CATA-SUPP/COMMON/2-DTSE</v>
      </c>
      <c r="G82" t="str">
        <f>"PTREF "&amp;CATA!CV35</f>
        <v>PTREF /EuC-CATA-SUPP/COMMON/S_T_X_X_X_CL00_X-PTSE</v>
      </c>
      <c r="H82" t="str">
        <f>"GMREF "&amp;CATA!CU35</f>
        <v>GMREF /EuC-CATA-SUPP/COMMON/S_T_X_X_X_CL00_X-GMSE</v>
      </c>
      <c r="I82" t="str">
        <f>CATA!CQ35</f>
        <v>PARA 15 15 22 22 ATT ATT 0 0 4.80 135 22 89 30 5 7 0 119 0 0 0 0 0 0 0 0 0 0 0 0 120 120 200 13 0 0 0 0 0 0 0 0 0 0 0 0 0 0 0 0 0 0 0 0 0 0 0 0 0 0 0 0 0 0 0 0 0 0 0 0 0 0 0 0 125021 0.7 1.4 2.4 4</v>
      </c>
    </row>
    <row r="83" spans="1:9">
      <c r="A83" t="str">
        <f t="shared" ref="A83:A105" si="4">_xlfn.TEXTJOIN(" ",TRUE,B83:I83)</f>
        <v xml:space="preserve">  SCOM /EUC-VMXC00F-20-20-0-0 Gtype ATTA DTREF /EuC-CATA-SUPP/COMMON/2-DTSE PTREF /EuC-CATA-SUPP/COMMON/S_T_X_X_X_CL00_X-PTSE GMREF /EuC-CATA-SUPP/COMMON/S_T_X_X_X_CL00_X-GMSE PARA 20 20 27 27 ATT ATT 0 0 7.30 138.5 27 96 30 5 7 0 120 0 0 0 0 0 0 0 0 0 0 0 0 120 120 300 13 0 0 0 0 0 0 0 0 0 0 0 0 0 0 0 0 0 0 0 0 0 0 0 0 0 0 0 0 0 0 0 0 0 0 0 0 0 0 0 0 125026 0.9 1.9 3.1 4</v>
      </c>
      <c r="B83" t="str">
        <f t="shared" si="3"/>
        <v xml:space="preserve"> </v>
      </c>
      <c r="C83" t="s">
        <v>596</v>
      </c>
      <c r="D83" t="str">
        <f>CATA!CR36</f>
        <v>/EUC-VMXC00F-20-20-0-0</v>
      </c>
      <c r="E83" t="s">
        <v>599</v>
      </c>
      <c r="F83" t="str">
        <f>"DTREF "&amp;Detailtext!$G$7</f>
        <v>DTREF /EuC-CATA-SUPP/COMMON/2-DTSE</v>
      </c>
      <c r="G83" t="str">
        <f>"PTREF "&amp;CATA!CV36</f>
        <v>PTREF /EuC-CATA-SUPP/COMMON/S_T_X_X_X_CL00_X-PTSE</v>
      </c>
      <c r="H83" t="str">
        <f>"GMREF "&amp;CATA!CU36</f>
        <v>GMREF /EuC-CATA-SUPP/COMMON/S_T_X_X_X_CL00_X-GMSE</v>
      </c>
      <c r="I83" t="str">
        <f>CATA!CQ36</f>
        <v>PARA 20 20 27 27 ATT ATT 0 0 7.30 138.5 27 96 30 5 7 0 120 0 0 0 0 0 0 0 0 0 0 0 0 120 120 300 13 0 0 0 0 0 0 0 0 0 0 0 0 0 0 0 0 0 0 0 0 0 0 0 0 0 0 0 0 0 0 0 0 0 0 0 0 0 0 0 0 125026 0.9 1.9 3.1 4</v>
      </c>
    </row>
    <row r="84" spans="1:9">
      <c r="A84" t="str">
        <f t="shared" si="4"/>
        <v xml:space="preserve">  SCOM /EUC-VMXC00F-25-25-0-0 Gtype ATTA DTREF /EuC-CATA-SUPP/COMMON/2-DTSE PTREF /EuC-CATA-SUPP/COMMON/S_T_X_X_X_CL00_X-PTSE GMREF /EuC-CATA-SUPP/COMMON/S_T_X_X_X_CL00_X-GMSE PARA 25 25 34 34 ATT ATT 0 0 7.40 142 34 102 30 5 7 0 120 0 0 0 0 0 0 0 0 0 0 0 0 120 120 300 13 0 0 0 0 0 0 0 0 0 0 0 0 0 0 0 0 0 0 0 0 0 0 0 0 0 0 0 0 0 0 0 0 0 0 0 0 0 0 0 0 125027 1.1 2.3 3.5 4</v>
      </c>
      <c r="B84" t="str">
        <f t="shared" si="3"/>
        <v xml:space="preserve"> </v>
      </c>
      <c r="C84" t="s">
        <v>596</v>
      </c>
      <c r="D84" t="str">
        <f>CATA!CR37</f>
        <v>/EUC-VMXC00F-25-25-0-0</v>
      </c>
      <c r="E84" t="s">
        <v>599</v>
      </c>
      <c r="F84" t="str">
        <f>"DTREF "&amp;Detailtext!$G$7</f>
        <v>DTREF /EuC-CATA-SUPP/COMMON/2-DTSE</v>
      </c>
      <c r="G84" t="str">
        <f>"PTREF "&amp;CATA!CV37</f>
        <v>PTREF /EuC-CATA-SUPP/COMMON/S_T_X_X_X_CL00_X-PTSE</v>
      </c>
      <c r="H84" t="str">
        <f>"GMREF "&amp;CATA!CU37</f>
        <v>GMREF /EuC-CATA-SUPP/COMMON/S_T_X_X_X_CL00_X-GMSE</v>
      </c>
      <c r="I84" t="str">
        <f>CATA!CQ37</f>
        <v>PARA 25 25 34 34 ATT ATT 0 0 7.40 142 34 102 30 5 7 0 120 0 0 0 0 0 0 0 0 0 0 0 0 120 120 300 13 0 0 0 0 0 0 0 0 0 0 0 0 0 0 0 0 0 0 0 0 0 0 0 0 0 0 0 0 0 0 0 0 0 0 0 0 0 0 0 0 125027 1.1 2.3 3.5 4</v>
      </c>
    </row>
    <row r="85" spans="1:9">
      <c r="A85" t="str">
        <f t="shared" si="4"/>
        <v xml:space="preserve">  SCOM /EUC-VMXC00F-32-32-0-0 Gtype ATTA DTREF /EuC-CATA-SUPP/COMMON/2-DTSE PTREF /EuC-CATA-SUPP/COMMON/S_T_X_X_X_CL00_X-PTSE GMREF /EuC-CATA-SUPP/COMMON/S_T_X_X_X_CL00_X-GMSE PARA 32 32 43 43 ATT ATT 0 0 7.40 146.5 43 112 30 5 7 0 120 0 0 0 0 0 0 0 0 0 0 0 0 120 120 300 13 0 0 0 0 0 0 0 0 0 0 0 0 0 0 0 0 0 0 0 0 0 0 0 0 0 0 0 0 0 0 0 0 0 0 0 0 0 0 0 0 125028 1.3 3 4.2 4</v>
      </c>
      <c r="B85" t="str">
        <f t="shared" si="3"/>
        <v xml:space="preserve"> </v>
      </c>
      <c r="C85" t="s">
        <v>596</v>
      </c>
      <c r="D85" t="str">
        <f>CATA!CR38</f>
        <v>/EUC-VMXC00F-32-32-0-0</v>
      </c>
      <c r="E85" t="s">
        <v>599</v>
      </c>
      <c r="F85" t="str">
        <f>"DTREF "&amp;Detailtext!$G$7</f>
        <v>DTREF /EuC-CATA-SUPP/COMMON/2-DTSE</v>
      </c>
      <c r="G85" t="str">
        <f>"PTREF "&amp;CATA!CV38</f>
        <v>PTREF /EuC-CATA-SUPP/COMMON/S_T_X_X_X_CL00_X-PTSE</v>
      </c>
      <c r="H85" t="str">
        <f>"GMREF "&amp;CATA!CU38</f>
        <v>GMREF /EuC-CATA-SUPP/COMMON/S_T_X_X_X_CL00_X-GMSE</v>
      </c>
      <c r="I85" t="str">
        <f>CATA!CQ38</f>
        <v>PARA 32 32 43 43 ATT ATT 0 0 7.40 146.5 43 112 30 5 7 0 120 0 0 0 0 0 0 0 0 0 0 0 0 120 120 300 13 0 0 0 0 0 0 0 0 0 0 0 0 0 0 0 0 0 0 0 0 0 0 0 0 0 0 0 0 0 0 0 0 0 0 0 0 0 0 0 0 125028 1.3 3 4.2 4</v>
      </c>
    </row>
    <row r="86" spans="1:9">
      <c r="A86" t="str">
        <f t="shared" si="4"/>
        <v xml:space="preserve">  SCOM /EUC-VMXC00F-40-40-0-0 Gtype ATTA DTREF /EuC-CATA-SUPP/COMMON/2-DTSE PTREF /EuC-CATA-SUPP/COMMON/S_T_X_X_X_CL00_X-PTSE GMREF /EuC-CATA-SUPP/COMMON/S_T_X_X_X_CL00_X-GMSE PARA 40 40 49 49 ATT ATT 0 0 7.40 149.5 49 118 30 5 7 0 120 0 0 0 0 0 0 0 0 0 0 0 0 120 120 300 13 0 0 0 0 0 0 0 0 0 0 0 0 0 0 0 0 0 0 0 0 0 0 0 0 0 0 0 0 0 0 0 0 0 0 0 0 0 0 0 0 125029 1.5 3.7 4.9 4</v>
      </c>
      <c r="B86" t="str">
        <f t="shared" si="3"/>
        <v xml:space="preserve"> </v>
      </c>
      <c r="C86" t="s">
        <v>596</v>
      </c>
      <c r="D86" t="str">
        <f>CATA!CR39</f>
        <v>/EUC-VMXC00F-40-40-0-0</v>
      </c>
      <c r="E86" t="s">
        <v>599</v>
      </c>
      <c r="F86" t="str">
        <f>"DTREF "&amp;Detailtext!$G$7</f>
        <v>DTREF /EuC-CATA-SUPP/COMMON/2-DTSE</v>
      </c>
      <c r="G86" t="str">
        <f>"PTREF "&amp;CATA!CV39</f>
        <v>PTREF /EuC-CATA-SUPP/COMMON/S_T_X_X_X_CL00_X-PTSE</v>
      </c>
      <c r="H86" t="str">
        <f>"GMREF "&amp;CATA!CU39</f>
        <v>GMREF /EuC-CATA-SUPP/COMMON/S_T_X_X_X_CL00_X-GMSE</v>
      </c>
      <c r="I86" t="str">
        <f>CATA!CQ39</f>
        <v>PARA 40 40 49 49 ATT ATT 0 0 7.40 149.5 49 118 30 5 7 0 120 0 0 0 0 0 0 0 0 0 0 0 0 120 120 300 13 0 0 0 0 0 0 0 0 0 0 0 0 0 0 0 0 0 0 0 0 0 0 0 0 0 0 0 0 0 0 0 0 0 0 0 0 0 0 0 0 125029 1.5 3.7 4.9 4</v>
      </c>
    </row>
    <row r="87" spans="1:9">
      <c r="A87" t="str">
        <f t="shared" si="4"/>
        <v xml:space="preserve">  SCOM /EUC-VMXC00F-50-50-0-0 Gtype ATTA DTREF /EuC-CATA-SUPP/COMMON/2-DTSE PTREF /EuC-CATA-SUPP/COMMON/S_T_X_X_X_CL00_X-PTSE GMREF /EuC-CATA-SUPP/COMMON/S_T_X_X_X_CL00_X-GMSE PARA 50 50 61 61 ATT ATT 0 0 7.70 156.5 61 144 40 6 9 0 120 0 0 0 0 0 0 0 0 0 0 0 0 120 120 300 13 0 0 0 0 0 0 0 0 0 0 0 0 0 0 0 0 0 0 0 0 0 0 0 0 0 0 0 0 0 0 0 0 0 0 0 0 0 0 0 0 125038 1.8 4.7 5.9 4</v>
      </c>
      <c r="B87" t="str">
        <f t="shared" si="3"/>
        <v xml:space="preserve"> </v>
      </c>
      <c r="C87" t="s">
        <v>596</v>
      </c>
      <c r="D87" t="str">
        <f>CATA!CR40</f>
        <v>/EUC-VMXC00F-50-50-0-0</v>
      </c>
      <c r="E87" t="s">
        <v>599</v>
      </c>
      <c r="F87" t="str">
        <f>"DTREF "&amp;Detailtext!$G$7</f>
        <v>DTREF /EuC-CATA-SUPP/COMMON/2-DTSE</v>
      </c>
      <c r="G87" t="str">
        <f>"PTREF "&amp;CATA!CV40</f>
        <v>PTREF /EuC-CATA-SUPP/COMMON/S_T_X_X_X_CL00_X-PTSE</v>
      </c>
      <c r="H87" t="str">
        <f>"GMREF "&amp;CATA!CU40</f>
        <v>GMREF /EuC-CATA-SUPP/COMMON/S_T_X_X_X_CL00_X-GMSE</v>
      </c>
      <c r="I87" t="str">
        <f>CATA!CQ40</f>
        <v>PARA 50 50 61 61 ATT ATT 0 0 7.70 156.5 61 144 40 6 9 0 120 0 0 0 0 0 0 0 0 0 0 0 0 120 120 300 13 0 0 0 0 0 0 0 0 0 0 0 0 0 0 0 0 0 0 0 0 0 0 0 0 0 0 0 0 0 0 0 0 0 0 0 0 0 0 0 0 125038 1.8 4.7 5.9 4</v>
      </c>
    </row>
    <row r="88" spans="1:9">
      <c r="A88" t="str">
        <f t="shared" si="4"/>
        <v xml:space="preserve">  SCOM /EUC-VMXC00F-65-65-0-0 Gtype ATTA DTREF /EuC-CATA-SUPP/COMMON/2-DTSE PTREF /EuC-CATA-SUPP/COMMON/S_T_X_X_X_CL00_X-PTSE GMREF /EuC-CATA-SUPP/COMMON/S_T_X_X_X_CL00_X-GMSE PARA 65 65 77 77 ATT ATT 0 0 7.80 164.5 77 158 40 6 9 0 120 0 0 0 0 0 0 0 0 0 0 0 0 120 120 300 13 0 0 0 0 0 0 0 0 0 0 0 0 0 0 0 0 0 0 0 0 0 0 0 0 0 0 0 0 0 0 0 0 0 0 0 0 0 0 0 0 125039 2.2 6.1 7.4 4</v>
      </c>
      <c r="B88" t="str">
        <f t="shared" si="3"/>
        <v xml:space="preserve"> </v>
      </c>
      <c r="C88" t="s">
        <v>596</v>
      </c>
      <c r="D88" t="str">
        <f>CATA!CR41</f>
        <v>/EUC-VMXC00F-65-65-0-0</v>
      </c>
      <c r="E88" t="s">
        <v>599</v>
      </c>
      <c r="F88" t="str">
        <f>"DTREF "&amp;Detailtext!$G$7</f>
        <v>DTREF /EuC-CATA-SUPP/COMMON/2-DTSE</v>
      </c>
      <c r="G88" t="str">
        <f>"PTREF "&amp;CATA!CV41</f>
        <v>PTREF /EuC-CATA-SUPP/COMMON/S_T_X_X_X_CL00_X-PTSE</v>
      </c>
      <c r="H88" t="str">
        <f>"GMREF "&amp;CATA!CU41</f>
        <v>GMREF /EuC-CATA-SUPP/COMMON/S_T_X_X_X_CL00_X-GMSE</v>
      </c>
      <c r="I88" t="str">
        <f>CATA!CQ41</f>
        <v>PARA 65 65 77 77 ATT ATT 0 0 7.80 164.5 77 158 40 6 9 0 120 0 0 0 0 0 0 0 0 0 0 0 0 120 120 300 13 0 0 0 0 0 0 0 0 0 0 0 0 0 0 0 0 0 0 0 0 0 0 0 0 0 0 0 0 0 0 0 0 0 0 0 0 0 0 0 0 125039 2.2 6.1 7.4 4</v>
      </c>
    </row>
    <row r="89" spans="1:9">
      <c r="A89" t="str">
        <f t="shared" si="4"/>
        <v xml:space="preserve">  SCOM /EUC-VMXC00F-80-80-0-0 Gtype ATTA DTREF /EuC-CATA-SUPP/COMMON/2-DTSE PTREF /EuC-CATA-SUPP/COMMON/S_T_X_X_X_CL00_X-PTSE GMREF /EuC-CATA-SUPP/COMMON/S_T_X_X_X_CL00_X-GMSE PARA 80 80 89 89 ATT ATT 0 0 7.80 170.5 89 172 40 6 9 0 120 0 0 0 0 0 0 0 0 0 0 0 0 120 120 300 13 0 0 0 0 0 0 0 0 0 0 0 0 0 0 0 0 0 0 0 0 0 0 0 0 0 0 0 0 0 0 0 0 0 0 0 0 0 0 0 0 125040 2.7 7.5 9 4</v>
      </c>
      <c r="B89" t="str">
        <f t="shared" si="3"/>
        <v xml:space="preserve"> </v>
      </c>
      <c r="C89" t="s">
        <v>596</v>
      </c>
      <c r="D89" t="str">
        <f>CATA!CR42</f>
        <v>/EUC-VMXC00F-80-80-0-0</v>
      </c>
      <c r="E89" t="s">
        <v>599</v>
      </c>
      <c r="F89" t="str">
        <f>"DTREF "&amp;Detailtext!$G$7</f>
        <v>DTREF /EuC-CATA-SUPP/COMMON/2-DTSE</v>
      </c>
      <c r="G89" t="str">
        <f>"PTREF "&amp;CATA!CV42</f>
        <v>PTREF /EuC-CATA-SUPP/COMMON/S_T_X_X_X_CL00_X-PTSE</v>
      </c>
      <c r="H89" t="str">
        <f>"GMREF "&amp;CATA!CU42</f>
        <v>GMREF /EuC-CATA-SUPP/COMMON/S_T_X_X_X_CL00_X-GMSE</v>
      </c>
      <c r="I89" t="str">
        <f>CATA!CQ42</f>
        <v>PARA 80 80 89 89 ATT ATT 0 0 7.80 170.5 89 172 40 6 9 0 120 0 0 0 0 0 0 0 0 0 0 0 0 120 120 300 13 0 0 0 0 0 0 0 0 0 0 0 0 0 0 0 0 0 0 0 0 0 0 0 0 0 0 0 0 0 0 0 0 0 0 0 0 0 0 0 0 125040 2.7 7.5 9 4</v>
      </c>
    </row>
    <row r="90" spans="1:9">
      <c r="A90" t="str">
        <f t="shared" si="4"/>
        <v xml:space="preserve">  SCOM /EUC-VMXC00F-100-100-0-0 Gtype ATTA DTREF /EuC-CATA-SUPP/COMMON/2-DTSE PTREF /EuC-CATA-SUPP/COMMON/S_T_X_X_X_CL00_X-PTSE GMREF /EuC-CATA-SUPP/COMMON/S_T_X_X_X_CL00_X-GMSE PARA 100 100 115 115 ATT ATT 0 0 8.80 185.5 115 226 50 8 11 0 120 0 0 0 0 0 0 0 0 0 0 0 0 120 120 300 13 0 0 0 0 0 0 0 0 0 0 0 0 0 0 0 0 0 0 0 0 0 0 0 0 0 0 0 0 0 0 0 0 0 0 0 0 0 0 0 0 125080 3.4 9.3 11.2 5</v>
      </c>
      <c r="B90" t="str">
        <f t="shared" si="3"/>
        <v xml:space="preserve"> </v>
      </c>
      <c r="C90" t="s">
        <v>596</v>
      </c>
      <c r="D90" t="str">
        <f>CATA!CR43</f>
        <v>/EUC-VMXC00F-100-100-0-0</v>
      </c>
      <c r="E90" t="s">
        <v>599</v>
      </c>
      <c r="F90" t="str">
        <f>"DTREF "&amp;Detailtext!$G$7</f>
        <v>DTREF /EuC-CATA-SUPP/COMMON/2-DTSE</v>
      </c>
      <c r="G90" t="str">
        <f>"PTREF "&amp;CATA!CV43</f>
        <v>PTREF /EuC-CATA-SUPP/COMMON/S_T_X_X_X_CL00_X-PTSE</v>
      </c>
      <c r="H90" t="str">
        <f>"GMREF "&amp;CATA!CU43</f>
        <v>GMREF /EuC-CATA-SUPP/COMMON/S_T_X_X_X_CL00_X-GMSE</v>
      </c>
      <c r="I90" t="str">
        <f>CATA!CQ43</f>
        <v>PARA 100 100 115 115 ATT ATT 0 0 8.80 185.5 115 226 50 8 11 0 120 0 0 0 0 0 0 0 0 0 0 0 0 120 120 300 13 0 0 0 0 0 0 0 0 0 0 0 0 0 0 0 0 0 0 0 0 0 0 0 0 0 0 0 0 0 0 0 0 0 0 0 0 0 0 0 0 125080 3.4 9.3 11.2 5</v>
      </c>
    </row>
    <row r="91" spans="1:9">
      <c r="A91" t="str">
        <f t="shared" si="4"/>
        <v xml:space="preserve">  SCOM /EUC-VMXM00F-125-125-0-0 Gtype ATTA DTREF /EuC-CATA-SUPP/COMMON/2-DTSE PTREF /EuC-CATA-SUPP/COMMON/D_LL_X_X_X_CL00_ST-PTSE GMREF /EuC-CATA-SUPP/COMMON/D_LL_X_X_X_CL00_ST-GMSE PARA 125 125 140 140 ATT ATT 0 0 24.00 230 140 252 50 8 11 0 152 0 0 0 0 0 0 0 0 0 0 0 0 200 144 300 12 20 0 0 0 0 0 0 0 0 0 0 0 0 0 0 0 0 0 0 0 0 0 0 0 0 0 0 0 0 0 0 100 200 0 35 100 12 0 20 0 125100 4.3 11.7 14.4 6</v>
      </c>
      <c r="B91" t="str">
        <f t="shared" si="3"/>
        <v xml:space="preserve"> </v>
      </c>
      <c r="C91" t="s">
        <v>596</v>
      </c>
      <c r="D91" t="str">
        <f>CATA!CR44</f>
        <v>/EUC-VMXM00F-125-125-0-0</v>
      </c>
      <c r="E91" t="s">
        <v>599</v>
      </c>
      <c r="F91" t="str">
        <f>"DTREF "&amp;Detailtext!$G$7</f>
        <v>DTREF /EuC-CATA-SUPP/COMMON/2-DTSE</v>
      </c>
      <c r="G91" t="str">
        <f>"PTREF "&amp;CATA!CV44</f>
        <v>PTREF /EuC-CATA-SUPP/COMMON/D_LL_X_X_X_CL00_ST-PTSE</v>
      </c>
      <c r="H91" t="str">
        <f>"GMREF "&amp;CATA!CU44</f>
        <v>GMREF /EuC-CATA-SUPP/COMMON/D_LL_X_X_X_CL00_ST-GMSE</v>
      </c>
      <c r="I91" t="str">
        <f>CATA!CQ44</f>
        <v>PARA 125 125 140 140 ATT ATT 0 0 24.00 230 140 252 50 8 11 0 152 0 0 0 0 0 0 0 0 0 0 0 0 200 144 300 12 20 0 0 0 0 0 0 0 0 0 0 0 0 0 0 0 0 0 0 0 0 0 0 0 0 0 0 0 0 0 0 100 200 0 35 100 12 0 20 0 125100 4.3 11.7 14.4 6</v>
      </c>
    </row>
    <row r="92" spans="1:9">
      <c r="A92" t="str">
        <f t="shared" si="4"/>
        <v xml:space="preserve">  SCOM /EUC-VMXM00F-150-150-0-0 Gtype ATTA DTREF /EuC-CATA-SUPP/COMMON/2-DTSE PTREF /EuC-CATA-SUPP/COMMON/D_LL_X_X_X_CL00_ST-PTSE GMREF /EuC-CATA-SUPP/COMMON/D_LL_X_X_X_CL00_ST-GMSE PARA 150 150 169 169 ATT ATT 0 0 25.00 245 169 280 50 8 11 0 152.5 0 0 0 0 0 0 0 0 0 0 0 0 200 162 300 12 20 0 0 0 0 0 0 0 0 0 0 0 0 0 0 0 0 0 0 0 0 0 0 0 0 0 0 0 0 0 0 100 200 0 35 100 12 0 20 0 125101 5.4 14 18.1 6</v>
      </c>
      <c r="B92" t="str">
        <f t="shared" si="3"/>
        <v xml:space="preserve"> </v>
      </c>
      <c r="C92" t="s">
        <v>596</v>
      </c>
      <c r="D92" t="str">
        <f>CATA!CR45</f>
        <v>/EUC-VMXM00F-150-150-0-0</v>
      </c>
      <c r="E92" t="s">
        <v>599</v>
      </c>
      <c r="F92" t="str">
        <f>"DTREF "&amp;Detailtext!$G$7</f>
        <v>DTREF /EuC-CATA-SUPP/COMMON/2-DTSE</v>
      </c>
      <c r="G92" t="str">
        <f>"PTREF "&amp;CATA!CV45</f>
        <v>PTREF /EuC-CATA-SUPP/COMMON/D_LL_X_X_X_CL00_ST-PTSE</v>
      </c>
      <c r="H92" t="str">
        <f>"GMREF "&amp;CATA!CU45</f>
        <v>GMREF /EuC-CATA-SUPP/COMMON/D_LL_X_X_X_CL00_ST-GMSE</v>
      </c>
      <c r="I92" t="str">
        <f>CATA!CQ45</f>
        <v>PARA 150 150 169 169 ATT ATT 0 0 25.00 245 169 280 50 8 11 0 152.5 0 0 0 0 0 0 0 0 0 0 0 0 200 162 300 12 20 0 0 0 0 0 0 0 0 0 0 0 0 0 0 0 0 0 0 0 0 0 0 0 0 0 0 0 0 0 0 100 200 0 35 100 12 0 20 0 125101 5.4 14 18.1 6</v>
      </c>
    </row>
    <row r="93" spans="1:9">
      <c r="A93" t="str">
        <f t="shared" si="4"/>
        <v xml:space="preserve">  SCOM /EUC-VMXM00F-200-200-0-0 Gtype ATTA DTREF /EuC-CATA-SUPP/COMMON/2-DTSE PTREF /EuC-CATA-SUPP/COMMON/D_LL_X_X_X_CL00_ST-PTSE GMREF /EuC-CATA-SUPP/COMMON/D_LL_X_X_X_CL00_ST-GMSE PARA 200 200 220 220 ATT ATT 0 0 27.00 270 220 332 50 8 11 0 152 0 0 0 0 0 0 0 0 0 0 0 0 200 190 300 12 20 0 0 0 0 0 0 0 0 0 0 0 0 0 0 0 0 0 0 0 0 0 0 0 0 0 0 0 0 0 0 100 200 0 35 100 12 0 20 0 125102 7.8 18.6 26.1 6</v>
      </c>
      <c r="B93" t="str">
        <f t="shared" si="3"/>
        <v xml:space="preserve"> </v>
      </c>
      <c r="C93" t="s">
        <v>596</v>
      </c>
      <c r="D93" t="str">
        <f>CATA!CR46</f>
        <v>/EUC-VMXM00F-200-200-0-0</v>
      </c>
      <c r="E93" t="s">
        <v>599</v>
      </c>
      <c r="F93" t="str">
        <f>"DTREF "&amp;Detailtext!$G$7</f>
        <v>DTREF /EuC-CATA-SUPP/COMMON/2-DTSE</v>
      </c>
      <c r="G93" t="str">
        <f>"PTREF "&amp;CATA!CV46</f>
        <v>PTREF /EuC-CATA-SUPP/COMMON/D_LL_X_X_X_CL00_ST-PTSE</v>
      </c>
      <c r="H93" t="str">
        <f>"GMREF "&amp;CATA!CU46</f>
        <v>GMREF /EuC-CATA-SUPP/COMMON/D_LL_X_X_X_CL00_ST-GMSE</v>
      </c>
      <c r="I93" t="str">
        <f>CATA!CQ46</f>
        <v>PARA 200 200 220 220 ATT ATT 0 0 27.00 270 220 332 50 8 11 0 152 0 0 0 0 0 0 0 0 0 0 0 0 200 190 300 12 20 0 0 0 0 0 0 0 0 0 0 0 0 0 0 0 0 0 0 0 0 0 0 0 0 0 0 0 0 0 0 100 200 0 35 100 12 0 20 0 125102 7.8 18.6 26.1 6</v>
      </c>
    </row>
    <row r="94" spans="1:9">
      <c r="A94" t="str">
        <f t="shared" si="4"/>
        <v xml:space="preserve">  SCOM /EUC-VMXM00F-250-250-0-0 Gtype ATTA DTREF /EuC-CATA-SUPP/COMMON/2-DTSE PTREF /EuC-CATA-SUPP/COMMON/D_LL_X_X_X_CL00_ST-PTSE GMREF /EuC-CATA-SUPP/COMMON/D_LL_X_X_X_CL00_ST-GMSE PARA 250 250 273 273 ATT ATT 0 0 29.00 297 273 408 60 8 14 0 152.5 0 0 0 0 0 0 0 0 0 0 0 0 200 215 300 12 20 0 0 0 0 0 0 0 0 0 0 0 0 0 0 0 0 0 0 0 0 0 0 0 0 0 0 0 0 0 0 100 200 0 35 100 12 0 20 0 125103 10.2 23.3 33.9 6</v>
      </c>
      <c r="B94" t="str">
        <f t="shared" si="3"/>
        <v xml:space="preserve"> </v>
      </c>
      <c r="C94" t="s">
        <v>596</v>
      </c>
      <c r="D94" t="str">
        <f>CATA!CR47</f>
        <v>/EUC-VMXM00F-250-250-0-0</v>
      </c>
      <c r="E94" t="s">
        <v>599</v>
      </c>
      <c r="F94" t="str">
        <f>"DTREF "&amp;Detailtext!$G$7</f>
        <v>DTREF /EuC-CATA-SUPP/COMMON/2-DTSE</v>
      </c>
      <c r="G94" t="str">
        <f>"PTREF "&amp;CATA!CV47</f>
        <v>PTREF /EuC-CATA-SUPP/COMMON/D_LL_X_X_X_CL00_ST-PTSE</v>
      </c>
      <c r="H94" t="str">
        <f>"GMREF "&amp;CATA!CU47</f>
        <v>GMREF /EuC-CATA-SUPP/COMMON/D_LL_X_X_X_CL00_ST-GMSE</v>
      </c>
      <c r="I94" t="str">
        <f>CATA!CQ47</f>
        <v>PARA 250 250 273 273 ATT ATT 0 0 29.00 297 273 408 60 8 14 0 152.5 0 0 0 0 0 0 0 0 0 0 0 0 200 215 300 12 20 0 0 0 0 0 0 0 0 0 0 0 0 0 0 0 0 0 0 0 0 0 0 0 0 0 0 0 0 0 0 100 200 0 35 100 12 0 20 0 125103 10.2 23.3 33.9 6</v>
      </c>
    </row>
    <row r="95" spans="1:9">
      <c r="A95" t="str">
        <f t="shared" si="4"/>
        <v xml:space="preserve">  SCOM /EUC-VMXM00F-300-300-0-0 Gtype ATTA DTREF /EuC-CATA-SUPP/COMMON/2-DTSE PTREF /EuC-CATA-SUPP/COMMON/D_LL_X_SS_X_CL00_ST-PTSE GMREF /EuC-CATA-SUPP/COMMON/D_LL_X_SS_X_CL00_ST-GMSE PARA 300 300 324 324 ATT ATT 0 0 37.87 322 324 458 60 8 14 0 152 0 0 0 0 0 0 0 0 0 0 0 0 200 261 400 12 20 0 0 0 0 0 0 0 0 0 0 0 0 0 0 0 0 0 0 0 0 0 0 0 0 0 12 100 100 1 0 100 200 0 24 100 12 0 20 0 125104 12.6 28 42.2 6</v>
      </c>
      <c r="B95" t="str">
        <f t="shared" si="3"/>
        <v xml:space="preserve"> </v>
      </c>
      <c r="C95" t="s">
        <v>596</v>
      </c>
      <c r="D95" t="str">
        <f>CATA!CR48</f>
        <v>/EUC-VMXM00F-300-300-0-0</v>
      </c>
      <c r="E95" t="s">
        <v>599</v>
      </c>
      <c r="F95" t="str">
        <f>"DTREF "&amp;Detailtext!$G$7</f>
        <v>DTREF /EuC-CATA-SUPP/COMMON/2-DTSE</v>
      </c>
      <c r="G95" t="str">
        <f>"PTREF "&amp;CATA!CV48</f>
        <v>PTREF /EuC-CATA-SUPP/COMMON/D_LL_X_SS_X_CL00_ST-PTSE</v>
      </c>
      <c r="H95" t="str">
        <f>"GMREF "&amp;CATA!CU48</f>
        <v>GMREF /EuC-CATA-SUPP/COMMON/D_LL_X_SS_X_CL00_ST-GMSE</v>
      </c>
      <c r="I95" t="str">
        <f>CATA!CQ48</f>
        <v>PARA 300 300 324 324 ATT ATT 0 0 37.87 322 324 458 60 8 14 0 152 0 0 0 0 0 0 0 0 0 0 0 0 200 261 400 12 20 0 0 0 0 0 0 0 0 0 0 0 0 0 0 0 0 0 0 0 0 0 0 0 0 0 12 100 100 1 0 100 200 0 24 100 12 0 20 0 125104 12.6 28 42.2 6</v>
      </c>
    </row>
    <row r="96" spans="1:9">
      <c r="A96" t="str">
        <f t="shared" si="4"/>
        <v xml:space="preserve">  SCOM /EUC-VMXM00F-350-350-0-0 Gtype ATTA DTREF /EuC-CATA-SUPP/COMMON/2-DTSE PTREF /EuC-CATA-SUPP/COMMON/D_LL_X_SS_X_CL00_ST-PTSE GMREF /EuC-CATA-SUPP/COMMON/D_LL_X_SS_X_CL00_ST-GMSE PARA 350 350 356 356 ATT ATT 0 0 39.87 338 356 504 60 8 14 0 152 0 0 0 0 0 0 0 0 0 0 0 0 200 276 400 12 20 0 0 0 0 0 0 0 0 0 0 0 0 0 0 0 0 0 0 0 0 0 0 0 0 0 12 100 100 1 0 100 200 0 24 100 12 0 20 0 125105 14.6 32.6 48.8 6</v>
      </c>
      <c r="B96" t="str">
        <f t="shared" si="3"/>
        <v xml:space="preserve"> </v>
      </c>
      <c r="C96" t="s">
        <v>596</v>
      </c>
      <c r="D96" t="str">
        <f>CATA!CR49</f>
        <v>/EUC-VMXM00F-350-350-0-0</v>
      </c>
      <c r="E96" t="s">
        <v>599</v>
      </c>
      <c r="F96" t="str">
        <f>"DTREF "&amp;Detailtext!$G$7</f>
        <v>DTREF /EuC-CATA-SUPP/COMMON/2-DTSE</v>
      </c>
      <c r="G96" t="str">
        <f>"PTREF "&amp;CATA!CV49</f>
        <v>PTREF /EuC-CATA-SUPP/COMMON/D_LL_X_SS_X_CL00_ST-PTSE</v>
      </c>
      <c r="H96" t="str">
        <f>"GMREF "&amp;CATA!CU49</f>
        <v>GMREF /EuC-CATA-SUPP/COMMON/D_LL_X_SS_X_CL00_ST-GMSE</v>
      </c>
      <c r="I96" t="str">
        <f>CATA!CQ49</f>
        <v>PARA 350 350 356 356 ATT ATT 0 0 39.87 338 356 504 60 8 14 0 152 0 0 0 0 0 0 0 0 0 0 0 0 200 276 400 12 20 0 0 0 0 0 0 0 0 0 0 0 0 0 0 0 0 0 0 0 0 0 0 0 0 0 12 100 100 1 0 100 200 0 24 100 12 0 20 0 125105 14.6 32.6 48.8 6</v>
      </c>
    </row>
    <row r="97" spans="1:9">
      <c r="A97" t="str">
        <f t="shared" si="4"/>
        <v xml:space="preserve">  SCOM /EUC-VMXM00F-400-400-0-0 Gtype ATTA DTREF /EuC-CATA-SUPP/COMMON/2-DTSE PTREF /EuC-CATA-SUPP/COMMON/D_LL_X_SS_X_CL00_ST-PTSE GMREF /EuC-CATA-SUPP/COMMON/D_LL_X_SS_X_CL00_ST-GMSE PARA 400 400 407 407 ATT ATT 0 0 48.87 364 407 570 70 10 18 0 150.5 0 0 0 0 0 0 0 0 0 0 0 0 200 303 400 12 20 0 0 0 0 0 0 0 0 0 0 0 0 0 0 0 0 0 0 0 0 0 0 0 0 0 12 100 100 1 0 100 200 0 24 100 12 0 20 0 125115 17.2 37.3 57.5 6</v>
      </c>
      <c r="B97" t="str">
        <f t="shared" si="3"/>
        <v xml:space="preserve"> </v>
      </c>
      <c r="C97" t="s">
        <v>596</v>
      </c>
      <c r="D97" t="str">
        <f>CATA!CR50</f>
        <v>/EUC-VMXM00F-400-400-0-0</v>
      </c>
      <c r="E97" t="s">
        <v>599</v>
      </c>
      <c r="F97" t="str">
        <f>"DTREF "&amp;Detailtext!$G$7</f>
        <v>DTREF /EuC-CATA-SUPP/COMMON/2-DTSE</v>
      </c>
      <c r="G97" t="str">
        <f>"PTREF "&amp;CATA!CV50</f>
        <v>PTREF /EuC-CATA-SUPP/COMMON/D_LL_X_SS_X_CL00_ST-PTSE</v>
      </c>
      <c r="H97" t="str">
        <f>"GMREF "&amp;CATA!CU50</f>
        <v>GMREF /EuC-CATA-SUPP/COMMON/D_LL_X_SS_X_CL00_ST-GMSE</v>
      </c>
      <c r="I97" t="str">
        <f>CATA!CQ50</f>
        <v>PARA 400 400 407 407 ATT ATT 0 0 48.87 364 407 570 70 10 18 0 150.5 0 0 0 0 0 0 0 0 0 0 0 0 200 303 400 12 20 0 0 0 0 0 0 0 0 0 0 0 0 0 0 0 0 0 0 0 0 0 0 0 0 0 12 100 100 1 0 100 200 0 24 100 12 0 20 0 125115 17.2 37.3 57.5 6</v>
      </c>
    </row>
    <row r="98" spans="1:9">
      <c r="A98" s="71"/>
      <c r="B98" t="str">
        <f t="shared" si="3"/>
        <v xml:space="preserve"> </v>
      </c>
      <c r="C98" t="s">
        <v>596</v>
      </c>
      <c r="D98" t="str">
        <f>CATA!CR51</f>
        <v>/EUC-VMXM00F-450-450-0-0</v>
      </c>
      <c r="E98" t="s">
        <v>599</v>
      </c>
      <c r="F98" t="str">
        <f>"DTREF "&amp;Detailtext!$G$7</f>
        <v>DTREF /EuC-CATA-SUPP/COMMON/2-DTSE</v>
      </c>
      <c r="G98" t="str">
        <f>"PTREF "&amp;CATA!CV51</f>
        <v>PTREF /EuC-CATA-SUPP/COMMON/D_LL_X_SS_X_CL00_ST-PTSE</v>
      </c>
      <c r="H98" t="str">
        <f>"GMREF "&amp;CATA!CU51</f>
        <v>GMREF /EuC-CATA-SUPP/COMMON/D_LL_X_SS_X_CL00_ST-GMSE</v>
      </c>
      <c r="I98" t="str">
        <f>CATA!CQ51</f>
        <v>PARA 450 450 456 456 ATT ATT 0 0 1.87 0 456 620 70 10 18 0 -238 0 0 0 0 0 0 0 0 0 0 0 0 200 0 400 12 20 0 0 0 0 0 0 0 0 0 0 0 0 0 0 0 0 0 0 0 0 0 0 0 0 0 12 100 100 1 0 100 200 0 24 100 12 0 20 0  0 0 0 6</v>
      </c>
    </row>
    <row r="99" spans="1:9">
      <c r="A99" t="str">
        <f t="shared" si="4"/>
        <v xml:space="preserve">  SCOM /EUC-VMXM00F-500-500-0-0 Gtype ATTA DTREF /EuC-CATA-SUPP/COMMON/2-DTSE PTREF /EuC-CATA-SUPP/COMMON/D_LL_X_SS_X_CL00_ST-PTSE GMREF /EuC-CATA-SUPP/COMMON/D_LL_X_SS_X_CL00_ST-GMSE PARA 500 500 508 508 ATT ATT 0 0 52.87 414 508 686 70 10 18 0 150 0 0 0 0 0 0 0 0 0 0 0 0 200 342 400 12 10 0 0 0 0 0 0 0 0 0 0 0 0 0 0 0 0 0 0 0 0 0 0 0 0 0 12 100 100 1 0 100 200 0 24 100 12 0 20 0 125116 22.6 46.6 75.4 6</v>
      </c>
      <c r="B99" t="str">
        <f t="shared" si="3"/>
        <v xml:space="preserve"> </v>
      </c>
      <c r="C99" t="s">
        <v>596</v>
      </c>
      <c r="D99" t="str">
        <f>CATA!CR52</f>
        <v>/EUC-VMXM00F-500-500-0-0</v>
      </c>
      <c r="E99" t="s">
        <v>599</v>
      </c>
      <c r="F99" t="str">
        <f>"DTREF "&amp;Detailtext!$G$7</f>
        <v>DTREF /EuC-CATA-SUPP/COMMON/2-DTSE</v>
      </c>
      <c r="G99" t="str">
        <f>"PTREF "&amp;CATA!CV52</f>
        <v>PTREF /EuC-CATA-SUPP/COMMON/D_LL_X_SS_X_CL00_ST-PTSE</v>
      </c>
      <c r="H99" t="str">
        <f>"GMREF "&amp;CATA!CU52</f>
        <v>GMREF /EuC-CATA-SUPP/COMMON/D_LL_X_SS_X_CL00_ST-GMSE</v>
      </c>
      <c r="I99" t="str">
        <f>CATA!CQ52</f>
        <v>PARA 500 500 508 508 ATT ATT 0 0 52.87 414 508 686 70 10 18 0 150 0 0 0 0 0 0 0 0 0 0 0 0 200 342 400 12 10 0 0 0 0 0 0 0 0 0 0 0 0 0 0 0 0 0 0 0 0 0 0 0 0 0 12 100 100 1 0 100 200 0 24 100 12 0 20 0 125116 22.6 46.6 75.4 6</v>
      </c>
    </row>
    <row r="100" spans="1:9">
      <c r="A100" t="str">
        <f t="shared" si="4"/>
        <v xml:space="preserve">  SCOM /EUC-VMXM00F-600-600-0-0 Gtype ATTA DTREF /EuC-CATA-SUPP/COMMON/2-DTSE PTREF /EuC-CATA-SUPP/COMMON/DC_LL_X_SS_X_CL00_ST-PTSE GMREF /EuC-CATA-SUPP/COMMON/DC_LL_X_SS_X_CL00_ST-GMSE PARA 600 600 610 610 ATT ATT 0 0 90.81 465 610 760 120 10 20 0 150 0 0 0 0 0 0 120 40 7 150 0 0 200 378 500 12 20 0 0 0 0 0 0 0 0 0 0 0 0 0 0 0 0 0 0 0 0 0 0 0 0 0 12 150 100 1 0 150 200 0 24 100 12 0 20 0 125117 29.7 50 99.1 6</v>
      </c>
      <c r="B100" t="str">
        <f t="shared" si="3"/>
        <v xml:space="preserve"> </v>
      </c>
      <c r="C100" t="s">
        <v>596</v>
      </c>
      <c r="D100" t="str">
        <f>CATA!CR53</f>
        <v>/EUC-VMXM00F-600-600-0-0</v>
      </c>
      <c r="E100" t="s">
        <v>599</v>
      </c>
      <c r="F100" t="str">
        <f>"DTREF "&amp;Detailtext!$G$7</f>
        <v>DTREF /EuC-CATA-SUPP/COMMON/2-DTSE</v>
      </c>
      <c r="G100" t="str">
        <f>"PTREF "&amp;CATA!CV53</f>
        <v>PTREF /EuC-CATA-SUPP/COMMON/DC_LL_X_SS_X_CL00_ST-PTSE</v>
      </c>
      <c r="H100" t="str">
        <f>"GMREF "&amp;CATA!CU53</f>
        <v>GMREF /EuC-CATA-SUPP/COMMON/DC_LL_X_SS_X_CL00_ST-GMSE</v>
      </c>
      <c r="I100" t="str">
        <f>CATA!CQ53</f>
        <v>PARA 600 600 610 610 ATT ATT 0 0 90.81 465 610 760 120 10 20 0 150 0 0 0 0 0 0 120 40 7 150 0 0 200 378 500 12 20 0 0 0 0 0 0 0 0 0 0 0 0 0 0 0 0 0 0 0 0 0 0 0 0 0 12 150 100 1 0 150 200 0 24 100 12 0 20 0 125117 29.7 50 99.1 6</v>
      </c>
    </row>
    <row r="101" spans="1:9">
      <c r="A101" t="str">
        <f t="shared" si="4"/>
        <v xml:space="preserve">  SCOM /EUC-VMXM00F-700-700-0-0 Gtype ATTA DTREF /EuC-CATA-SUPP/COMMON/2-DTSE PTREF /EuC-CATA-SUPP/COMMON/DC_LL_X_SS_X_CL00_ST-PTSE GMREF /EuC-CATA-SUPP/COMMON/DC_LL_X_SS_X_CL00_ST-GMSE PARA 700 700 711 711 ATT ATT 0 0 96.81 515.5 711 865 120 10 20 0 150 0 0 0 0 0 0 120 40 7 150 0 0 200 412 500 12 20 0 0 0 0 0 0 0 0 0 0 0 0 0 0 0 0 0 0 0 0 0 0 0 0 0 12 150 100 1 0 150 200 0 24 100 12 0 20 0 125118 36.2 50 120.6 6</v>
      </c>
      <c r="B101" t="str">
        <f t="shared" si="3"/>
        <v xml:space="preserve"> </v>
      </c>
      <c r="C101" t="s">
        <v>596</v>
      </c>
      <c r="D101" t="str">
        <f>CATA!CR54</f>
        <v>/EUC-VMXM00F-700-700-0-0</v>
      </c>
      <c r="E101" t="s">
        <v>599</v>
      </c>
      <c r="F101" t="str">
        <f>"DTREF "&amp;Detailtext!$G$7</f>
        <v>DTREF /EuC-CATA-SUPP/COMMON/2-DTSE</v>
      </c>
      <c r="G101" t="str">
        <f>"PTREF "&amp;CATA!CV54</f>
        <v>PTREF /EuC-CATA-SUPP/COMMON/DC_LL_X_SS_X_CL00_ST-PTSE</v>
      </c>
      <c r="H101" t="str">
        <f>"GMREF "&amp;CATA!CU54</f>
        <v>GMREF /EuC-CATA-SUPP/COMMON/DC_LL_X_SS_X_CL00_ST-GMSE</v>
      </c>
      <c r="I101" t="str">
        <f>CATA!CQ54</f>
        <v>PARA 700 700 711 711 ATT ATT 0 0 96.81 515.5 711 865 120 10 20 0 150 0 0 0 0 0 0 120 40 7 150 0 0 200 412 500 12 20 0 0 0 0 0 0 0 0 0 0 0 0 0 0 0 0 0 0 0 0 0 0 0 0 0 12 150 100 1 0 150 200 0 24 100 12 0 20 0 125118 36.2 50 120.6 6</v>
      </c>
    </row>
    <row r="102" spans="1:9">
      <c r="A102" t="str">
        <f t="shared" si="4"/>
        <v xml:space="preserve">  SCOM /EUC-VMXM00F-800-800-0-0 Gtype ATTA DTREF /EuC-CATA-SUPP/COMMON/2-DTSE PTREF /EuC-CATA-SUPP/COMMON/DC_LL_X_SS_X_CL00_ST-PTSE GMREF /EuC-CATA-SUPP/COMMON/DC_LL_X_SS_X_CL00_ST-GMSE PARA 800 800 813 813 ATT ATT 0 0 115.62 566.5 813 965 120 10 20 0 150 0 0 0 0 0 0 120 40 7 150 0 0 200 442 500 12 20 0 0 0 0 0 0 0 0 0 0 0 0 0 0 0 0 0 0 0 0 0 0 0 0 0 12 200 150 1 0 150 200 0 24 100 12 0 20 0 125119 43.3 50 144.2 6</v>
      </c>
      <c r="B102" t="str">
        <f t="shared" si="3"/>
        <v xml:space="preserve"> </v>
      </c>
      <c r="C102" t="s">
        <v>596</v>
      </c>
      <c r="D102" t="str">
        <f>CATA!CR55</f>
        <v>/EUC-VMXM00F-800-800-0-0</v>
      </c>
      <c r="E102" t="s">
        <v>599</v>
      </c>
      <c r="F102" t="str">
        <f>"DTREF "&amp;Detailtext!$G$7</f>
        <v>DTREF /EuC-CATA-SUPP/COMMON/2-DTSE</v>
      </c>
      <c r="G102" t="str">
        <f>"PTREF "&amp;CATA!CV55</f>
        <v>PTREF /EuC-CATA-SUPP/COMMON/DC_LL_X_SS_X_CL00_ST-PTSE</v>
      </c>
      <c r="H102" t="str">
        <f>"GMREF "&amp;CATA!CU55</f>
        <v>GMREF /EuC-CATA-SUPP/COMMON/DC_LL_X_SS_X_CL00_ST-GMSE</v>
      </c>
      <c r="I102" t="str">
        <f>CATA!CQ55</f>
        <v>PARA 800 800 813 813 ATT ATT 0 0 115.62 566.5 813 965 120 10 20 0 150 0 0 0 0 0 0 120 40 7 150 0 0 200 442 500 12 20 0 0 0 0 0 0 0 0 0 0 0 0 0 0 0 0 0 0 0 0 0 0 0 0 0 12 200 150 1 0 150 200 0 24 100 12 0 20 0 125119 43.3 50 144.2 6</v>
      </c>
    </row>
    <row r="103" spans="1:9">
      <c r="A103" t="str">
        <f t="shared" si="4"/>
        <v xml:space="preserve">  SCOM /EUC-VMXM00F-900-900-0-0 Gtype ATTA DTREF /EuC-CATA-SUPP/COMMON/2-DTSE PTREF /EuC-CATA-SUPP/COMMON/DC_LL_X_SS_X_CL00_ST-PTSE GMREF /EuC-CATA-SUPP/COMMON/DC_LL_X_SS_X_CL00_ST-GMSE PARA 900 900 915 915 ATT ATT 0 0 115.62 617 915 1070 120 10 20 0 149.5 0 0 0 0 0 0 120 40 7 150 0 0 200 470 500 12 20 0 0 0 0 0 0 0 0 0 0 0 0 0 0 0 0 0 0 0 0 0 0 0 0 0 12 200 150 1 0 150 200 0 24 100 12 0 20 0 125141 51.2 50 170.8 6</v>
      </c>
      <c r="B103" t="str">
        <f t="shared" si="3"/>
        <v xml:space="preserve"> </v>
      </c>
      <c r="C103" t="s">
        <v>596</v>
      </c>
      <c r="D103" t="str">
        <f>CATA!CR56</f>
        <v>/EUC-VMXM00F-900-900-0-0</v>
      </c>
      <c r="E103" t="s">
        <v>599</v>
      </c>
      <c r="F103" t="str">
        <f>"DTREF "&amp;Detailtext!$G$7</f>
        <v>DTREF /EuC-CATA-SUPP/COMMON/2-DTSE</v>
      </c>
      <c r="G103" t="str">
        <f>"PTREF "&amp;CATA!CV56</f>
        <v>PTREF /EuC-CATA-SUPP/COMMON/DC_LL_X_SS_X_CL00_ST-PTSE</v>
      </c>
      <c r="H103" t="str">
        <f>"GMREF "&amp;CATA!CU56</f>
        <v>GMREF /EuC-CATA-SUPP/COMMON/DC_LL_X_SS_X_CL00_ST-GMSE</v>
      </c>
      <c r="I103" t="str">
        <f>CATA!CQ56</f>
        <v>PARA 900 900 915 915 ATT ATT 0 0 115.62 617 915 1070 120 10 20 0 149.5 0 0 0 0 0 0 120 40 7 150 0 0 200 470 500 12 20 0 0 0 0 0 0 0 0 0 0 0 0 0 0 0 0 0 0 0 0 0 0 0 0 0 12 200 150 1 0 150 200 0 24 100 12 0 20 0 125141 51.2 50 170.8 6</v>
      </c>
    </row>
    <row r="104" spans="1:9">
      <c r="A104" t="str">
        <f t="shared" si="4"/>
        <v xml:space="preserve">  SCOM /EUC-VMXM00F-1000-1000-0-0 Gtype ATTA DTREF /EuC-CATA-SUPP/COMMON/2-DTSE PTREF /EuC-CATA-SUPP/COMMON/DC_LL_X_SS_X_CL00_ST-PTSE GMREF /EuC-CATA-SUPP/COMMON/DC_LL_X_SS_X_CL00_ST-GMSE PARA 1000 1000 1016 1016 ATT ATT 0 0 125.62 668 1016 1170 120 10 20 0 150 0 0 0 0 0 0 120 40 7 150 0 0 200 496 500 12 20 0 0 0 0 0 0 0 0 0 0 0 0 0 0 0 0 0 0 0 0 0 0 0 0 0 12 200 150 1 0 150 200 0 24 100 12 0 20 0 125142 58.7 50 195.8 6</v>
      </c>
      <c r="B104" t="str">
        <f t="shared" si="3"/>
        <v xml:space="preserve"> </v>
      </c>
      <c r="C104" t="s">
        <v>596</v>
      </c>
      <c r="D104" t="str">
        <f>CATA!CR57</f>
        <v>/EUC-VMXM00F-1000-1000-0-0</v>
      </c>
      <c r="E104" t="s">
        <v>599</v>
      </c>
      <c r="F104" t="str">
        <f>"DTREF "&amp;Detailtext!$G$7</f>
        <v>DTREF /EuC-CATA-SUPP/COMMON/2-DTSE</v>
      </c>
      <c r="G104" t="str">
        <f>"PTREF "&amp;CATA!CV57</f>
        <v>PTREF /EuC-CATA-SUPP/COMMON/DC_LL_X_SS_X_CL00_ST-PTSE</v>
      </c>
      <c r="H104" t="str">
        <f>"GMREF "&amp;CATA!CU57</f>
        <v>GMREF /EuC-CATA-SUPP/COMMON/DC_LL_X_SS_X_CL00_ST-GMSE</v>
      </c>
      <c r="I104" t="str">
        <f>CATA!CQ57</f>
        <v>PARA 1000 1000 1016 1016 ATT ATT 0 0 125.62 668 1016 1170 120 10 20 0 150 0 0 0 0 0 0 120 40 7 150 0 0 200 496 500 12 20 0 0 0 0 0 0 0 0 0 0 0 0 0 0 0 0 0 0 0 0 0 0 0 0 0 12 200 150 1 0 150 200 0 24 100 12 0 20 0 125142 58.7 50 195.8 6</v>
      </c>
    </row>
    <row r="105" spans="1:9">
      <c r="A105" t="str">
        <f t="shared" si="4"/>
        <v xml:space="preserve">  SCOM /EUC-VMXM00F-1200-1200-0-0 Gtype ATTA DTREF /EuC-CATA-SUPP/COMMON/2-DTSE PTREF /EuC-CATA-SUPP/COMMON/DC_LL_X_SS_X_CL00_ST-PTSE GMREF /EuC-CATA-SUPP/COMMON/DC_LL_X_SS_X_CL00_ST-GMSE PARA 1200 1200 1220 1220 ATT ATT 0 0 135.62 770 1220 1380 120 10 20 0 150 0 0 0 0 0 0 120 40 7 150 0 0 200 546 500 12 20 0 0 0 0 0 0 0 0 0 0 0 0 0 0 0 0 0 0 0 0 0 0 0 0 0 12 200 150 1 0 150 200 0 24 100 12 0 20 0 125143 64.4 50 214.5 6</v>
      </c>
      <c r="B105" t="str">
        <f t="shared" si="3"/>
        <v xml:space="preserve"> </v>
      </c>
      <c r="C105" t="s">
        <v>596</v>
      </c>
      <c r="D105" t="str">
        <f>CATA!CR58</f>
        <v>/EUC-VMXM00F-1200-1200-0-0</v>
      </c>
      <c r="E105" t="s">
        <v>599</v>
      </c>
      <c r="F105" t="str">
        <f>"DTREF "&amp;Detailtext!$G$7</f>
        <v>DTREF /EuC-CATA-SUPP/COMMON/2-DTSE</v>
      </c>
      <c r="G105" t="str">
        <f>"PTREF "&amp;CATA!CV58</f>
        <v>PTREF /EuC-CATA-SUPP/COMMON/DC_LL_X_SS_X_CL00_ST-PTSE</v>
      </c>
      <c r="H105" t="str">
        <f>"GMREF "&amp;CATA!CU58</f>
        <v>GMREF /EuC-CATA-SUPP/COMMON/DC_LL_X_SS_X_CL00_ST-GMSE</v>
      </c>
      <c r="I105" t="str">
        <f>CATA!CQ58</f>
        <v>PARA 1200 1200 1220 1220 ATT ATT 0 0 135.62 770 1220 1380 120 10 20 0 150 0 0 0 0 0 0 120 40 7 150 0 0 200 546 500 12 20 0 0 0 0 0 0 0 0 0 0 0 0 0 0 0 0 0 0 0 0 0 0 0 0 0 12 200 150 1 0 150 200 0 24 100 12 0 20 0 125143 64.4 50 214.5 6</v>
      </c>
    </row>
    <row r="106" spans="1:9">
      <c r="B106" s="81" t="s">
        <v>604</v>
      </c>
    </row>
    <row r="108" spans="1:9">
      <c r="B108" s="83" t="s">
        <v>564</v>
      </c>
    </row>
    <row r="109" spans="1:9">
      <c r="B109" s="83" t="s">
        <v>604</v>
      </c>
    </row>
  </sheetData>
  <dataValidations disablePrompts="1" count="1">
    <dataValidation type="list" allowBlank="1" showInputMessage="1" showErrorMessage="1" sqref="B106" xr:uid="{78EFE171-4BD6-41B5-A7AC-5B2F6EC4A8EF}">
      <formula1>$B$108:$B$109</formula1>
    </dataValidation>
  </dataValidation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D6BAC-3A37-48F8-AEA4-644E45589F0E}">
  <dimension ref="B3:G14"/>
  <sheetViews>
    <sheetView workbookViewId="0">
      <selection activeCell="K49" sqref="K49"/>
    </sheetView>
    <sheetView workbookViewId="1"/>
    <sheetView workbookViewId="2"/>
  </sheetViews>
  <sheetFormatPr baseColWidth="10" defaultRowHeight="12.75"/>
  <cols>
    <col min="2" max="2" width="14.85546875" bestFit="1" customWidth="1"/>
    <col min="3" max="3" width="14.28515625" bestFit="1" customWidth="1"/>
    <col min="4" max="4" width="48" bestFit="1" customWidth="1"/>
    <col min="5" max="5" width="26.140625" bestFit="1" customWidth="1"/>
    <col min="6" max="6" width="16.140625" bestFit="1" customWidth="1"/>
    <col min="7" max="7" width="14.85546875" bestFit="1" customWidth="1"/>
  </cols>
  <sheetData>
    <row r="3" spans="2:7">
      <c r="B3" t="s">
        <v>816</v>
      </c>
      <c r="C3" t="s">
        <v>369</v>
      </c>
      <c r="D3" t="s">
        <v>829</v>
      </c>
      <c r="E3" t="s">
        <v>825</v>
      </c>
      <c r="F3" t="s">
        <v>826</v>
      </c>
      <c r="G3" t="s">
        <v>827</v>
      </c>
    </row>
    <row r="4" spans="2:7">
      <c r="B4" t="s">
        <v>817</v>
      </c>
      <c r="C4" t="s">
        <v>830</v>
      </c>
      <c r="D4" t="s">
        <v>824</v>
      </c>
      <c r="F4" t="s">
        <v>828</v>
      </c>
      <c r="G4" t="s">
        <v>828</v>
      </c>
    </row>
    <row r="5" spans="2:7">
      <c r="B5" t="s">
        <v>818</v>
      </c>
      <c r="C5" t="s">
        <v>830</v>
      </c>
      <c r="D5" t="s">
        <v>834</v>
      </c>
      <c r="E5" s="71" t="s">
        <v>836</v>
      </c>
      <c r="F5" t="s">
        <v>828</v>
      </c>
      <c r="G5" t="s">
        <v>828</v>
      </c>
    </row>
    <row r="6" spans="2:7">
      <c r="B6" t="s">
        <v>820</v>
      </c>
      <c r="C6" t="s">
        <v>830</v>
      </c>
      <c r="D6" t="s">
        <v>824</v>
      </c>
      <c r="F6" t="s">
        <v>828</v>
      </c>
      <c r="G6" t="s">
        <v>828</v>
      </c>
    </row>
    <row r="7" spans="2:7">
      <c r="B7" t="s">
        <v>821</v>
      </c>
      <c r="C7" t="s">
        <v>830</v>
      </c>
      <c r="D7" t="s">
        <v>824</v>
      </c>
      <c r="F7" t="s">
        <v>828</v>
      </c>
      <c r="G7" t="s">
        <v>828</v>
      </c>
    </row>
    <row r="8" spans="2:7">
      <c r="B8" t="s">
        <v>822</v>
      </c>
      <c r="C8" t="s">
        <v>823</v>
      </c>
      <c r="D8" t="s">
        <v>835</v>
      </c>
      <c r="E8" t="s">
        <v>828</v>
      </c>
      <c r="F8" s="71"/>
    </row>
    <row r="9" spans="2:7">
      <c r="B9" t="s">
        <v>819</v>
      </c>
      <c r="C9" t="s">
        <v>823</v>
      </c>
      <c r="D9" t="s">
        <v>835</v>
      </c>
      <c r="E9" t="s">
        <v>828</v>
      </c>
      <c r="F9" s="71"/>
    </row>
    <row r="12" spans="2:7">
      <c r="D12" s="15" t="s">
        <v>825</v>
      </c>
      <c r="E12" s="11" t="s">
        <v>831</v>
      </c>
    </row>
    <row r="13" spans="2:7">
      <c r="D13" s="15" t="s">
        <v>826</v>
      </c>
      <c r="E13" s="13" t="s">
        <v>832</v>
      </c>
    </row>
    <row r="14" spans="2:7">
      <c r="D14" s="16" t="s">
        <v>827</v>
      </c>
      <c r="E14" s="11" t="s">
        <v>833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TBH</vt:lpstr>
      <vt:lpstr>Standard</vt:lpstr>
      <vt:lpstr>LSTWLD</vt:lpstr>
      <vt:lpstr>Detailtext</vt:lpstr>
      <vt:lpstr>CATA</vt:lpstr>
      <vt:lpstr>DRWGNUM</vt:lpstr>
      <vt:lpstr>Codes</vt:lpstr>
      <vt:lpstr>Texts</vt:lpstr>
      <vt:lpstr>CATE+SCOM_131</vt:lpstr>
      <vt:lpstr>CATE+SCOM_132</vt:lpstr>
      <vt:lpstr>Rohrklasse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Mayer</dc:creator>
  <cp:lastModifiedBy>Martin Mayer</cp:lastModifiedBy>
  <dcterms:created xsi:type="dcterms:W3CDTF">2024-07-16T07:52:11Z</dcterms:created>
  <dcterms:modified xsi:type="dcterms:W3CDTF">2025-01-28T08:38:20Z</dcterms:modified>
</cp:coreProperties>
</file>